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Olga Y\Dropbox (1)\MetroVault Cranston\Bahlmann Capital Group\TOM\Staff\"/>
    </mc:Choice>
  </mc:AlternateContent>
  <xr:revisionPtr revIDLastSave="0" documentId="13_ncr:1_{38170E9C-C2FC-4D0D-A01E-7778BC828A9C}" xr6:coauthVersionLast="47" xr6:coauthVersionMax="47" xr10:uidLastSave="{00000000-0000-0000-0000-000000000000}"/>
  <bookViews>
    <workbookView xWindow="-110" yWindow="-110" windowWidth="19420" windowHeight="11500" tabRatio="943" xr2:uid="{9DD39146-BB33-42D0-91D0-E2F3E46BE2D2}"/>
  </bookViews>
  <sheets>
    <sheet name="Assumptions &amp; Inputs" sheetId="1" r:id="rId1"/>
    <sheet name="SF Breakdown" sheetId="13" r:id="rId2"/>
    <sheet name="Sources &amp; Uses" sheetId="5" r:id="rId3"/>
    <sheet name="Monthly PF Cash Flow" sheetId="4" r:id="rId4"/>
    <sheet name="Pro Forma (Annual)" sheetId="9" r:id="rId5"/>
    <sheet name="Untrended Pro Forma" sheetId="16" r:id="rId6"/>
    <sheet name="Investor Returns - Pari Passu" sheetId="30" r:id="rId7"/>
    <sheet name="Investor Returns - Sep Pref Pay" sheetId="23" r:id="rId8"/>
    <sheet name="Budget to Convert Existing Bldg" sheetId="20" r:id="rId9"/>
    <sheet name="Budget for New Bldg" sheetId="19" r:id="rId10"/>
    <sheet name="Property Data" sheetId="28" r:id="rId11"/>
    <sheet name="Rental Income Model" sheetId="26" r:id="rId12"/>
    <sheet name="5 Year Model" sheetId="27" r:id="rId13"/>
    <sheet name="5 Year Summary" sheetId="29" r:id="rId14"/>
    <sheet name="RE Tax UW" sheetId="17" r:id="rId15"/>
    <sheet name="Comps" sheetId="12" r:id="rId16"/>
  </sheets>
  <externalReferences>
    <externalReference r:id="rId1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0" i="19" l="1"/>
  <c r="H233" i="20"/>
  <c r="H164" i="20"/>
  <c r="G169" i="20"/>
  <c r="G85" i="20"/>
  <c r="V10" i="1"/>
  <c r="M41" i="5"/>
  <c r="C92" i="4"/>
  <c r="C91" i="4"/>
  <c r="H91" i="4"/>
  <c r="H93" i="4" s="1"/>
  <c r="I91" i="4"/>
  <c r="J91" i="4"/>
  <c r="J93" i="4" s="1"/>
  <c r="K91" i="4"/>
  <c r="K93" i="4" s="1"/>
  <c r="L91" i="4"/>
  <c r="M91" i="4"/>
  <c r="M93" i="4" s="1"/>
  <c r="N91" i="4"/>
  <c r="O91" i="4"/>
  <c r="O93" i="4" s="1"/>
  <c r="P91" i="4"/>
  <c r="P93" i="4" s="1"/>
  <c r="Q91" i="4"/>
  <c r="R91" i="4"/>
  <c r="R93" i="4" s="1"/>
  <c r="S91" i="4"/>
  <c r="T91" i="4"/>
  <c r="T93" i="4" s="1"/>
  <c r="V91" i="4"/>
  <c r="W91" i="4"/>
  <c r="X91" i="4"/>
  <c r="Y91" i="4"/>
  <c r="Z91" i="4"/>
  <c r="AA91" i="4"/>
  <c r="AB91" i="4"/>
  <c r="AC91" i="4"/>
  <c r="AD91" i="4"/>
  <c r="AE91" i="4"/>
  <c r="AF91" i="4"/>
  <c r="AG91" i="4"/>
  <c r="AH91" i="4"/>
  <c r="AI91" i="4"/>
  <c r="AI93" i="4" s="1"/>
  <c r="AJ91" i="4"/>
  <c r="AJ93" i="4" s="1"/>
  <c r="AK91" i="4"/>
  <c r="AL91" i="4"/>
  <c r="AM91" i="4"/>
  <c r="AN91" i="4"/>
  <c r="AO91" i="4"/>
  <c r="AO93" i="4" s="1"/>
  <c r="AP91" i="4"/>
  <c r="AQ91" i="4"/>
  <c r="AQ93" i="4" s="1"/>
  <c r="AR91" i="4"/>
  <c r="AS91" i="4"/>
  <c r="AS93" i="4" s="1"/>
  <c r="AT91" i="4"/>
  <c r="AU91" i="4"/>
  <c r="AU93" i="4" s="1"/>
  <c r="AV91" i="4"/>
  <c r="AV93" i="4" s="1"/>
  <c r="AW91" i="4"/>
  <c r="AX91" i="4"/>
  <c r="AY91" i="4"/>
  <c r="AZ91" i="4"/>
  <c r="BA91" i="4"/>
  <c r="BA93" i="4" s="1"/>
  <c r="BB91" i="4"/>
  <c r="BC91" i="4"/>
  <c r="BC93" i="4" s="1"/>
  <c r="BD91" i="4"/>
  <c r="BE91" i="4"/>
  <c r="BE93" i="4" s="1"/>
  <c r="BF91" i="4"/>
  <c r="BG91" i="4"/>
  <c r="BG93" i="4" s="1"/>
  <c r="BH91" i="4"/>
  <c r="BH93" i="4" s="1"/>
  <c r="BI91" i="4"/>
  <c r="BJ91" i="4"/>
  <c r="BJ93" i="4" s="1"/>
  <c r="BK91" i="4"/>
  <c r="BK93" i="4" s="1"/>
  <c r="BL91" i="4"/>
  <c r="BL93" i="4" s="1"/>
  <c r="BM91" i="4"/>
  <c r="BM93" i="4" s="1"/>
  <c r="BN91" i="4"/>
  <c r="BO91" i="4"/>
  <c r="BO93" i="4" s="1"/>
  <c r="BP91" i="4"/>
  <c r="BQ91" i="4"/>
  <c r="BQ93" i="4" s="1"/>
  <c r="BR91" i="4"/>
  <c r="BS91" i="4"/>
  <c r="BS93" i="4" s="1"/>
  <c r="BT91" i="4"/>
  <c r="BT93" i="4" s="1"/>
  <c r="BU91" i="4"/>
  <c r="BV91" i="4"/>
  <c r="BV93" i="4" s="1"/>
  <c r="BW91" i="4"/>
  <c r="BW93" i="4" s="1"/>
  <c r="BX91" i="4"/>
  <c r="BX93" i="4" s="1"/>
  <c r="BY91" i="4"/>
  <c r="BY93" i="4" s="1"/>
  <c r="BZ91" i="4"/>
  <c r="CA91" i="4"/>
  <c r="CA93" i="4" s="1"/>
  <c r="H92" i="4"/>
  <c r="I92" i="4"/>
  <c r="J92" i="4"/>
  <c r="K92" i="4"/>
  <c r="L92" i="4"/>
  <c r="M92" i="4"/>
  <c r="N92" i="4"/>
  <c r="O92" i="4"/>
  <c r="P92" i="4"/>
  <c r="Q92" i="4"/>
  <c r="R92" i="4"/>
  <c r="S92" i="4"/>
  <c r="T92" i="4"/>
  <c r="U92" i="4"/>
  <c r="V92" i="4"/>
  <c r="W92" i="4"/>
  <c r="X92" i="4"/>
  <c r="Y92" i="4"/>
  <c r="Z92" i="4"/>
  <c r="AA92" i="4"/>
  <c r="AB92" i="4"/>
  <c r="AC92" i="4"/>
  <c r="AD92" i="4"/>
  <c r="AE92" i="4"/>
  <c r="AF92" i="4"/>
  <c r="AH92" i="4"/>
  <c r="AI92" i="4"/>
  <c r="AJ92" i="4"/>
  <c r="AK92" i="4"/>
  <c r="AL92" i="4"/>
  <c r="AM92" i="4"/>
  <c r="AN92" i="4"/>
  <c r="AO92" i="4"/>
  <c r="AP92" i="4"/>
  <c r="AQ92" i="4"/>
  <c r="AR92" i="4"/>
  <c r="AS92" i="4"/>
  <c r="AT92" i="4"/>
  <c r="AU92" i="4"/>
  <c r="AV92" i="4"/>
  <c r="AW92" i="4"/>
  <c r="AX92" i="4"/>
  <c r="AY92" i="4"/>
  <c r="AZ92" i="4"/>
  <c r="BA92" i="4"/>
  <c r="BB92" i="4"/>
  <c r="BC92" i="4"/>
  <c r="BD92" i="4"/>
  <c r="BE92" i="4"/>
  <c r="BF92" i="4"/>
  <c r="BG92" i="4"/>
  <c r="BH92" i="4"/>
  <c r="BI92" i="4"/>
  <c r="BJ92" i="4"/>
  <c r="BK92" i="4"/>
  <c r="BL92" i="4"/>
  <c r="BM92" i="4"/>
  <c r="BN92" i="4"/>
  <c r="BO92" i="4"/>
  <c r="BP92" i="4"/>
  <c r="BQ92" i="4"/>
  <c r="BR92" i="4"/>
  <c r="BS92" i="4"/>
  <c r="BT92" i="4"/>
  <c r="BU92" i="4"/>
  <c r="BV92" i="4"/>
  <c r="BW92" i="4"/>
  <c r="BX92" i="4"/>
  <c r="BY92" i="4"/>
  <c r="BZ92" i="4"/>
  <c r="CA92" i="4"/>
  <c r="G92" i="4"/>
  <c r="G91" i="4"/>
  <c r="J62" i="5"/>
  <c r="J59" i="5"/>
  <c r="I60" i="5"/>
  <c r="G20" i="16"/>
  <c r="D44" i="29"/>
  <c r="E44" i="29" s="1"/>
  <c r="F44" i="29" s="1"/>
  <c r="G44" i="29" s="1"/>
  <c r="E43" i="29"/>
  <c r="F43" i="29" s="1"/>
  <c r="G43" i="29" s="1"/>
  <c r="D43" i="29"/>
  <c r="C44" i="29"/>
  <c r="C43" i="29"/>
  <c r="D47" i="5"/>
  <c r="AZ93" i="4" l="1"/>
  <c r="AN93" i="4"/>
  <c r="AM93" i="4"/>
  <c r="AX93" i="4"/>
  <c r="G93" i="4"/>
  <c r="BR93" i="4"/>
  <c r="BF93" i="4"/>
  <c r="AT93" i="4"/>
  <c r="AH93" i="4"/>
  <c r="I93" i="4"/>
  <c r="AY93" i="4"/>
  <c r="N93" i="4"/>
  <c r="AL93" i="4"/>
  <c r="BZ93" i="4"/>
  <c r="BN93" i="4"/>
  <c r="BB93" i="4"/>
  <c r="AP93" i="4"/>
  <c r="Q93" i="4"/>
  <c r="AE93" i="4"/>
  <c r="AD93" i="4"/>
  <c r="AC93" i="4"/>
  <c r="AB93" i="4"/>
  <c r="AA93" i="4"/>
  <c r="Z93" i="4"/>
  <c r="Y93" i="4"/>
  <c r="X93" i="4"/>
  <c r="W93" i="4"/>
  <c r="V93" i="4"/>
  <c r="BP93" i="4"/>
  <c r="BD93" i="4"/>
  <c r="AR93" i="4"/>
  <c r="AF93" i="4"/>
  <c r="S93" i="4"/>
  <c r="BI93" i="4"/>
  <c r="BU93" i="4"/>
  <c r="AW93" i="4"/>
  <c r="AK93" i="4"/>
  <c r="L93" i="4"/>
  <c r="D56" i="30" l="1"/>
  <c r="D116" i="30"/>
  <c r="D114" i="30"/>
  <c r="E109" i="30"/>
  <c r="B109" i="30" s="1"/>
  <c r="D98" i="30"/>
  <c r="D97" i="30"/>
  <c r="D71" i="30"/>
  <c r="B70" i="30"/>
  <c r="A73" i="30" s="1"/>
  <c r="D75" i="30"/>
  <c r="D52" i="30"/>
  <c r="B51" i="30"/>
  <c r="A54" i="30" s="1"/>
  <c r="B32" i="30"/>
  <c r="D35" i="30" s="1"/>
  <c r="E15" i="30"/>
  <c r="F15" i="30" s="1"/>
  <c r="G15" i="30" s="1"/>
  <c r="H15" i="30" s="1"/>
  <c r="I15" i="30" s="1"/>
  <c r="J15" i="30" s="1"/>
  <c r="K15" i="30" s="1"/>
  <c r="L15" i="30" s="1"/>
  <c r="M15" i="30" s="1"/>
  <c r="N15" i="30" s="1"/>
  <c r="O15" i="30" s="1"/>
  <c r="P15" i="30" s="1"/>
  <c r="Q15" i="30" s="1"/>
  <c r="R15" i="30" s="1"/>
  <c r="S15" i="30" s="1"/>
  <c r="T15" i="30" s="1"/>
  <c r="U15" i="30" s="1"/>
  <c r="V15" i="30" s="1"/>
  <c r="W15" i="30" s="1"/>
  <c r="X15" i="30" s="1"/>
  <c r="Y15" i="30" s="1"/>
  <c r="Z15" i="30" s="1"/>
  <c r="AA15" i="30" s="1"/>
  <c r="AB15" i="30" s="1"/>
  <c r="AC15" i="30" s="1"/>
  <c r="AD15" i="30" s="1"/>
  <c r="AE15" i="30" s="1"/>
  <c r="AF15" i="30" s="1"/>
  <c r="AG15" i="30" s="1"/>
  <c r="AH15" i="30" s="1"/>
  <c r="AI15" i="30" s="1"/>
  <c r="AJ15" i="30" s="1"/>
  <c r="AK15" i="30" s="1"/>
  <c r="AL15" i="30" s="1"/>
  <c r="AM15" i="30" s="1"/>
  <c r="AN15" i="30" s="1"/>
  <c r="AO15" i="30" s="1"/>
  <c r="AP15" i="30" s="1"/>
  <c r="AQ15" i="30" s="1"/>
  <c r="AR15" i="30" s="1"/>
  <c r="AS15" i="30" s="1"/>
  <c r="AT15" i="30" s="1"/>
  <c r="AU15" i="30" s="1"/>
  <c r="AV15" i="30" s="1"/>
  <c r="AW15" i="30" s="1"/>
  <c r="AX15" i="30" s="1"/>
  <c r="AY15" i="30" s="1"/>
  <c r="AZ15" i="30" s="1"/>
  <c r="BA15" i="30" s="1"/>
  <c r="BB15" i="30" s="1"/>
  <c r="BC15" i="30" s="1"/>
  <c r="BD15" i="30" s="1"/>
  <c r="BE15" i="30" s="1"/>
  <c r="BF15" i="30" s="1"/>
  <c r="BG15" i="30" s="1"/>
  <c r="BH15" i="30" s="1"/>
  <c r="BI15" i="30" s="1"/>
  <c r="BJ15" i="30" s="1"/>
  <c r="BK15" i="30" s="1"/>
  <c r="BL15" i="30" s="1"/>
  <c r="C3" i="30"/>
  <c r="C67" i="30" s="1"/>
  <c r="C2" i="30"/>
  <c r="C77" i="23"/>
  <c r="D20" i="1"/>
  <c r="G88" i="4"/>
  <c r="D111" i="30" s="1"/>
  <c r="D73" i="30" l="1"/>
  <c r="A35" i="30"/>
  <c r="D54" i="30"/>
  <c r="D63" i="26" l="1"/>
  <c r="E63" i="26"/>
  <c r="F63" i="26"/>
  <c r="G63" i="26"/>
  <c r="H63" i="26"/>
  <c r="I63" i="26"/>
  <c r="J63" i="26"/>
  <c r="K63" i="26"/>
  <c r="L63" i="26"/>
  <c r="M63" i="26"/>
  <c r="N63" i="26"/>
  <c r="O63" i="26"/>
  <c r="P63" i="26"/>
  <c r="Q63" i="26"/>
  <c r="R63" i="26"/>
  <c r="S63" i="26"/>
  <c r="T63" i="26"/>
  <c r="U63" i="26"/>
  <c r="V63" i="26"/>
  <c r="W63" i="26"/>
  <c r="X63" i="26"/>
  <c r="Y63" i="26"/>
  <c r="Z63" i="26"/>
  <c r="AA63" i="26"/>
  <c r="AB63" i="26"/>
  <c r="AC63" i="26"/>
  <c r="AD63" i="26"/>
  <c r="AE63" i="26"/>
  <c r="AF63" i="26"/>
  <c r="AG63" i="26"/>
  <c r="AH63" i="26"/>
  <c r="AI63" i="26"/>
  <c r="AJ63" i="26"/>
  <c r="AK63" i="26"/>
  <c r="AL63" i="26"/>
  <c r="AM63" i="26"/>
  <c r="AN63" i="26"/>
  <c r="AO63" i="26"/>
  <c r="AP63" i="26"/>
  <c r="AQ63" i="26"/>
  <c r="AR63" i="26"/>
  <c r="AS63" i="26"/>
  <c r="AT63" i="26"/>
  <c r="AU63" i="26"/>
  <c r="AV63" i="26"/>
  <c r="AW63" i="26"/>
  <c r="AX63" i="26"/>
  <c r="AY63" i="26"/>
  <c r="AZ63" i="26"/>
  <c r="BA63" i="26"/>
  <c r="BB63" i="26"/>
  <c r="BC63" i="26"/>
  <c r="BD63" i="26"/>
  <c r="BE63" i="26"/>
  <c r="BF63" i="26"/>
  <c r="BG63" i="26"/>
  <c r="BH63" i="26"/>
  <c r="BI63" i="26"/>
  <c r="BJ63" i="26"/>
  <c r="C63" i="26"/>
  <c r="M31" i="4"/>
  <c r="N31" i="4"/>
  <c r="O31" i="4"/>
  <c r="M51" i="4"/>
  <c r="M53" i="4" s="1"/>
  <c r="N51" i="4"/>
  <c r="N53" i="4" s="1"/>
  <c r="O51" i="4"/>
  <c r="O53" i="4" s="1"/>
  <c r="C119" i="4"/>
  <c r="M24" i="5"/>
  <c r="G64" i="28"/>
  <c r="D27" i="29"/>
  <c r="E27" i="29"/>
  <c r="F27" i="29"/>
  <c r="G27" i="29"/>
  <c r="D33" i="29"/>
  <c r="E33" i="29"/>
  <c r="F33" i="29"/>
  <c r="G33" i="29"/>
  <c r="D34" i="29"/>
  <c r="E34" i="29"/>
  <c r="F34" i="29"/>
  <c r="G34" i="29"/>
  <c r="D35" i="29"/>
  <c r="E35" i="29"/>
  <c r="F35" i="29"/>
  <c r="G35" i="29"/>
  <c r="D38" i="29"/>
  <c r="E38" i="29"/>
  <c r="F38" i="29"/>
  <c r="G38" i="29"/>
  <c r="C38" i="29"/>
  <c r="C35" i="29"/>
  <c r="C34" i="29"/>
  <c r="C33" i="29"/>
  <c r="C27" i="29"/>
  <c r="D20" i="29"/>
  <c r="E20" i="29"/>
  <c r="F20" i="29"/>
  <c r="G20" i="29"/>
  <c r="D21" i="29"/>
  <c r="E21" i="29"/>
  <c r="F21" i="29"/>
  <c r="G21" i="29"/>
  <c r="C21" i="29"/>
  <c r="C20" i="29"/>
  <c r="G45" i="29"/>
  <c r="F45" i="29"/>
  <c r="E45" i="29"/>
  <c r="D45" i="29"/>
  <c r="C45" i="29"/>
  <c r="B93" i="16"/>
  <c r="C97" i="4" s="1"/>
  <c r="O26" i="1"/>
  <c r="O25" i="1"/>
  <c r="H31" i="4" l="1"/>
  <c r="I31" i="4"/>
  <c r="J31" i="4"/>
  <c r="K31" i="4"/>
  <c r="L31" i="4"/>
  <c r="G31" i="4"/>
  <c r="F20" i="16"/>
  <c r="Q66" i="13"/>
  <c r="G222" i="20"/>
  <c r="G221" i="20"/>
  <c r="G220" i="20"/>
  <c r="G219" i="20"/>
  <c r="G218" i="20"/>
  <c r="G217" i="20"/>
  <c r="K216" i="20"/>
  <c r="G215" i="20"/>
  <c r="G214" i="20"/>
  <c r="G213" i="20"/>
  <c r="K209" i="20"/>
  <c r="G199" i="20"/>
  <c r="G198" i="20"/>
  <c r="G193" i="20"/>
  <c r="G192" i="20"/>
  <c r="G190" i="20"/>
  <c r="G187" i="20"/>
  <c r="G186" i="20"/>
  <c r="K177" i="20"/>
  <c r="H175" i="20"/>
  <c r="H170" i="20"/>
  <c r="G168" i="20"/>
  <c r="G167" i="20"/>
  <c r="G166" i="20"/>
  <c r="G165" i="20"/>
  <c r="G161" i="20"/>
  <c r="G160" i="20"/>
  <c r="H154" i="20"/>
  <c r="K150" i="20"/>
  <c r="H149" i="20"/>
  <c r="K145" i="20"/>
  <c r="H144" i="20"/>
  <c r="H139" i="20"/>
  <c r="H134" i="20"/>
  <c r="H129" i="20"/>
  <c r="H124" i="20"/>
  <c r="K122" i="20"/>
  <c r="G122" i="20"/>
  <c r="K121" i="20"/>
  <c r="H119" i="20"/>
  <c r="K115" i="20"/>
  <c r="H114" i="20"/>
  <c r="K110" i="20"/>
  <c r="H109" i="20"/>
  <c r="H104" i="20"/>
  <c r="H99" i="20"/>
  <c r="H94" i="20"/>
  <c r="H89" i="20"/>
  <c r="K86" i="20"/>
  <c r="K85" i="20"/>
  <c r="H84" i="20"/>
  <c r="J84" i="20" s="1"/>
  <c r="H79" i="20"/>
  <c r="H74" i="20"/>
  <c r="H69" i="20"/>
  <c r="G65" i="20"/>
  <c r="H64" i="20" s="1"/>
  <c r="J64" i="20" s="1"/>
  <c r="K60" i="20"/>
  <c r="H59" i="20"/>
  <c r="H54" i="20"/>
  <c r="H49" i="20"/>
  <c r="H44" i="20"/>
  <c r="H39" i="20"/>
  <c r="K36" i="20"/>
  <c r="K35" i="20"/>
  <c r="H34" i="20"/>
  <c r="G30" i="20"/>
  <c r="H29" i="20" s="1"/>
  <c r="H24" i="20"/>
  <c r="K20" i="20"/>
  <c r="H19" i="20"/>
  <c r="G16" i="20"/>
  <c r="K16" i="20" s="1"/>
  <c r="H12" i="20"/>
  <c r="H9" i="20"/>
  <c r="G4" i="20"/>
  <c r="K251" i="19"/>
  <c r="K250" i="19"/>
  <c r="K249" i="19"/>
  <c r="D33" i="5" s="1"/>
  <c r="G229" i="19"/>
  <c r="G228" i="19"/>
  <c r="G227" i="19"/>
  <c r="G226" i="19"/>
  <c r="G225" i="19"/>
  <c r="G224" i="19"/>
  <c r="G223" i="19"/>
  <c r="G222" i="19"/>
  <c r="G221" i="19"/>
  <c r="G220" i="19"/>
  <c r="H213" i="19"/>
  <c r="J213" i="19" s="1"/>
  <c r="G206" i="19"/>
  <c r="H189" i="19" s="1"/>
  <c r="G205" i="19"/>
  <c r="G200" i="19"/>
  <c r="G199" i="19"/>
  <c r="G197" i="19"/>
  <c r="G194" i="19"/>
  <c r="G193" i="19"/>
  <c r="H182" i="19"/>
  <c r="J182" i="19" s="1"/>
  <c r="H177" i="19"/>
  <c r="J177" i="19" s="1"/>
  <c r="H171" i="19"/>
  <c r="J171" i="19" s="1"/>
  <c r="J166" i="19"/>
  <c r="H166" i="19"/>
  <c r="H161" i="19"/>
  <c r="J161" i="19" s="1"/>
  <c r="H156" i="19"/>
  <c r="J156" i="19" s="1"/>
  <c r="K152" i="19"/>
  <c r="H151" i="19"/>
  <c r="J151" i="19" s="1"/>
  <c r="H146" i="19"/>
  <c r="J146" i="19" s="1"/>
  <c r="H141" i="19"/>
  <c r="J141" i="19" s="1"/>
  <c r="H136" i="19"/>
  <c r="J136" i="19" s="1"/>
  <c r="H131" i="19"/>
  <c r="J131" i="19" s="1"/>
  <c r="G127" i="19"/>
  <c r="K127" i="19" s="1"/>
  <c r="K187" i="19" s="1"/>
  <c r="H126" i="19"/>
  <c r="J126" i="19" s="1"/>
  <c r="H121" i="19"/>
  <c r="J121" i="19" s="1"/>
  <c r="H116" i="19"/>
  <c r="J116" i="19" s="1"/>
  <c r="H111" i="19"/>
  <c r="J111" i="19" s="1"/>
  <c r="H106" i="19"/>
  <c r="J106" i="19" s="1"/>
  <c r="H101" i="19"/>
  <c r="J101" i="19" s="1"/>
  <c r="H96" i="19"/>
  <c r="J96" i="19" s="1"/>
  <c r="H91" i="19"/>
  <c r="J91" i="19" s="1"/>
  <c r="H86" i="19"/>
  <c r="J86" i="19" s="1"/>
  <c r="H81" i="19"/>
  <c r="J81" i="19" s="1"/>
  <c r="H76" i="19"/>
  <c r="J76" i="19" s="1"/>
  <c r="J71" i="19"/>
  <c r="H71" i="19"/>
  <c r="H66" i="19"/>
  <c r="J66" i="19" s="1"/>
  <c r="H61" i="19"/>
  <c r="J61" i="19" s="1"/>
  <c r="H56" i="19"/>
  <c r="J56" i="19" s="1"/>
  <c r="J51" i="19"/>
  <c r="H51" i="19"/>
  <c r="C47" i="19"/>
  <c r="H46" i="19"/>
  <c r="J46" i="19" s="1"/>
  <c r="K43" i="19"/>
  <c r="H41" i="19"/>
  <c r="J41" i="19" s="1"/>
  <c r="J36" i="19"/>
  <c r="H36" i="19"/>
  <c r="H31" i="19"/>
  <c r="J31" i="19" s="1"/>
  <c r="H26" i="19"/>
  <c r="J26" i="19" s="1"/>
  <c r="G22" i="19"/>
  <c r="C19" i="19"/>
  <c r="H18" i="19"/>
  <c r="J18" i="19" s="1"/>
  <c r="H9" i="19"/>
  <c r="J9" i="19" s="1"/>
  <c r="D45" i="5" l="1"/>
  <c r="H159" i="20"/>
  <c r="F33" i="5"/>
  <c r="G33" i="5"/>
  <c r="J99" i="20"/>
  <c r="J170" i="20"/>
  <c r="J109" i="20"/>
  <c r="J164" i="20"/>
  <c r="J69" i="20"/>
  <c r="J74" i="20"/>
  <c r="J79" i="20"/>
  <c r="H206" i="20"/>
  <c r="J206" i="20" s="1"/>
  <c r="J139" i="20"/>
  <c r="J39" i="20"/>
  <c r="J149" i="20"/>
  <c r="J175" i="20"/>
  <c r="H182" i="20"/>
  <c r="J119" i="20"/>
  <c r="J54" i="20"/>
  <c r="J19" i="20"/>
  <c r="J59" i="20"/>
  <c r="J154" i="20"/>
  <c r="J89" i="20"/>
  <c r="K180" i="20"/>
  <c r="J24" i="20"/>
  <c r="J94" i="20"/>
  <c r="J124" i="20"/>
  <c r="H180" i="20"/>
  <c r="J182" i="20"/>
  <c r="J159" i="20"/>
  <c r="J9" i="20"/>
  <c r="J144" i="20"/>
  <c r="J12" i="20"/>
  <c r="J29" i="20"/>
  <c r="J44" i="20"/>
  <c r="J129" i="20"/>
  <c r="J34" i="20"/>
  <c r="J104" i="20"/>
  <c r="J114" i="20"/>
  <c r="J49" i="20"/>
  <c r="J134" i="20"/>
  <c r="J189" i="19"/>
  <c r="K252" i="19"/>
  <c r="H187" i="19"/>
  <c r="L180" i="20" l="1"/>
  <c r="H226" i="20"/>
  <c r="I180" i="20" s="1"/>
  <c r="H233" i="19"/>
  <c r="I187" i="19" s="1"/>
  <c r="L187" i="19"/>
  <c r="J180" i="20" l="1"/>
  <c r="I84" i="20"/>
  <c r="G228" i="20"/>
  <c r="H228" i="20" s="1"/>
  <c r="G227" i="20"/>
  <c r="H227" i="20" s="1"/>
  <c r="I170" i="20"/>
  <c r="I74" i="20"/>
  <c r="G229" i="20"/>
  <c r="H229" i="20" s="1"/>
  <c r="I109" i="20"/>
  <c r="I144" i="20"/>
  <c r="I89" i="20"/>
  <c r="I69" i="20"/>
  <c r="I104" i="20"/>
  <c r="I175" i="20"/>
  <c r="I44" i="20"/>
  <c r="I34" i="20"/>
  <c r="I154" i="20"/>
  <c r="I139" i="20"/>
  <c r="I12" i="20"/>
  <c r="I124" i="20"/>
  <c r="I206" i="20"/>
  <c r="I29" i="20"/>
  <c r="I64" i="20"/>
  <c r="I129" i="20"/>
  <c r="I99" i="20"/>
  <c r="I49" i="20"/>
  <c r="I9" i="20"/>
  <c r="I54" i="20"/>
  <c r="I39" i="20"/>
  <c r="I149" i="20"/>
  <c r="I24" i="20"/>
  <c r="I182" i="20"/>
  <c r="I59" i="20"/>
  <c r="I164" i="20"/>
  <c r="I134" i="20"/>
  <c r="I159" i="20"/>
  <c r="I19" i="20"/>
  <c r="I119" i="20"/>
  <c r="I114" i="20"/>
  <c r="I79" i="20"/>
  <c r="I94" i="20"/>
  <c r="I151" i="19"/>
  <c r="I131" i="19"/>
  <c r="J187" i="19"/>
  <c r="I36" i="19"/>
  <c r="I182" i="19"/>
  <c r="I161" i="19"/>
  <c r="I126" i="19"/>
  <c r="G236" i="19"/>
  <c r="H236" i="19" s="1"/>
  <c r="G235" i="19"/>
  <c r="H235" i="19" s="1"/>
  <c r="G234" i="19"/>
  <c r="H234" i="19" s="1"/>
  <c r="I18" i="19"/>
  <c r="I91" i="19"/>
  <c r="I116" i="19"/>
  <c r="I26" i="19"/>
  <c r="I51" i="19"/>
  <c r="I171" i="19"/>
  <c r="I46" i="19"/>
  <c r="I213" i="19"/>
  <c r="I66" i="19"/>
  <c r="I121" i="19"/>
  <c r="I177" i="19"/>
  <c r="I111" i="19"/>
  <c r="I41" i="19"/>
  <c r="I86" i="19"/>
  <c r="I136" i="19"/>
  <c r="I106" i="19"/>
  <c r="I189" i="19"/>
  <c r="I61" i="19"/>
  <c r="I31" i="19"/>
  <c r="I56" i="19"/>
  <c r="I156" i="19"/>
  <c r="I76" i="19"/>
  <c r="I96" i="19"/>
  <c r="I141" i="19"/>
  <c r="I81" i="19"/>
  <c r="I9" i="19"/>
  <c r="I71" i="19"/>
  <c r="I101" i="19"/>
  <c r="I146" i="19"/>
  <c r="I166" i="19"/>
  <c r="H239" i="19" l="1"/>
  <c r="H232" i="20"/>
  <c r="H242" i="19"/>
  <c r="D32" i="5" s="1"/>
  <c r="I239" i="19"/>
  <c r="H235" i="20" l="1"/>
  <c r="I4" i="20"/>
  <c r="G237" i="20"/>
  <c r="H238" i="20" s="1"/>
  <c r="I242" i="19"/>
  <c r="I4" i="19"/>
  <c r="G244" i="19"/>
  <c r="H245" i="19" s="1"/>
  <c r="D31" i="5" l="1"/>
  <c r="K254" i="19"/>
  <c r="I245" i="19"/>
  <c r="F31" i="5" l="1"/>
  <c r="G31" i="5"/>
  <c r="B43" i="16"/>
  <c r="D43" i="16" s="1"/>
  <c r="E43" i="16" s="1"/>
  <c r="B42" i="16"/>
  <c r="B49" i="16"/>
  <c r="D49" i="16" s="1"/>
  <c r="E49" i="16" s="1"/>
  <c r="B48" i="16"/>
  <c r="D48" i="16" s="1"/>
  <c r="E48" i="16" s="1"/>
  <c r="B47" i="16"/>
  <c r="B46" i="16"/>
  <c r="B45" i="16"/>
  <c r="D45" i="16" s="1"/>
  <c r="B44" i="16"/>
  <c r="D44" i="16" s="1"/>
  <c r="E44" i="16" s="1"/>
  <c r="B41" i="16"/>
  <c r="B40" i="16"/>
  <c r="B39" i="16"/>
  <c r="B36" i="16"/>
  <c r="B32" i="16"/>
  <c r="C30" i="4" s="1"/>
  <c r="B31" i="16"/>
  <c r="B30" i="16"/>
  <c r="D30" i="16" s="1"/>
  <c r="B25" i="16"/>
  <c r="D24" i="16"/>
  <c r="E24" i="16" s="1"/>
  <c r="D55" i="16"/>
  <c r="E55" i="16" s="1"/>
  <c r="D31" i="16"/>
  <c r="E31" i="16" s="1"/>
  <c r="E53" i="16"/>
  <c r="E54" i="16"/>
  <c r="BY17" i="4"/>
  <c r="BZ17" i="4"/>
  <c r="CA17" i="4"/>
  <c r="D42" i="16" l="1"/>
  <c r="E42" i="16" s="1"/>
  <c r="E30" i="16"/>
  <c r="E45" i="16"/>
  <c r="G72" i="4" l="1"/>
  <c r="H51" i="4"/>
  <c r="H53" i="4" s="1"/>
  <c r="I51" i="4"/>
  <c r="I53" i="4" s="1"/>
  <c r="J51" i="4"/>
  <c r="J53" i="4" s="1"/>
  <c r="K51" i="4"/>
  <c r="K53" i="4" s="1"/>
  <c r="L51" i="4"/>
  <c r="L53" i="4" s="1"/>
  <c r="G51" i="4"/>
  <c r="G53" i="4" s="1"/>
  <c r="P52" i="4"/>
  <c r="Q52" i="4" s="1"/>
  <c r="R52" i="4" s="1"/>
  <c r="S52" i="4" s="1"/>
  <c r="T52" i="4" s="1"/>
  <c r="U52" i="4" s="1"/>
  <c r="V52" i="4" s="1"/>
  <c r="W52" i="4" s="1"/>
  <c r="X52" i="4" s="1"/>
  <c r="Y52" i="4" s="1"/>
  <c r="AN51" i="4"/>
  <c r="AO51" i="4" s="1"/>
  <c r="AP51" i="4" s="1"/>
  <c r="AQ51" i="4" s="1"/>
  <c r="AR51" i="4" s="1"/>
  <c r="AS51" i="4" s="1"/>
  <c r="AT51" i="4" s="1"/>
  <c r="AU51" i="4" s="1"/>
  <c r="AV51" i="4" s="1"/>
  <c r="AW51" i="4" s="1"/>
  <c r="AX51" i="4" s="1"/>
  <c r="AY51" i="4" s="1"/>
  <c r="P51" i="4"/>
  <c r="Q4" i="4"/>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BE4" i="4" s="1"/>
  <c r="BF4" i="4" s="1"/>
  <c r="BG4" i="4" s="1"/>
  <c r="BH4" i="4" s="1"/>
  <c r="BI4" i="4" s="1"/>
  <c r="BJ4" i="4" s="1"/>
  <c r="BK4" i="4" s="1"/>
  <c r="BL4" i="4" s="1"/>
  <c r="BM4" i="4" s="1"/>
  <c r="BN4" i="4" s="1"/>
  <c r="BO4" i="4" s="1"/>
  <c r="BP4" i="4" s="1"/>
  <c r="BQ4" i="4" s="1"/>
  <c r="BR4" i="4" s="1"/>
  <c r="BS4" i="4" s="1"/>
  <c r="BT4" i="4" s="1"/>
  <c r="BU4" i="4" s="1"/>
  <c r="BV4" i="4" s="1"/>
  <c r="BW4" i="4" s="1"/>
  <c r="BX4" i="4" s="1"/>
  <c r="BY4" i="4" s="1"/>
  <c r="BZ4" i="4" s="1"/>
  <c r="CA4" i="4" s="1"/>
  <c r="BW47" i="4"/>
  <c r="BX47" i="4" s="1"/>
  <c r="BY47" i="4" s="1"/>
  <c r="BZ47" i="4" s="1"/>
  <c r="CA47" i="4" s="1"/>
  <c r="AV29" i="4"/>
  <c r="AP29" i="4"/>
  <c r="AC28" i="4"/>
  <c r="BX17" i="4"/>
  <c r="D9" i="4"/>
  <c r="C9" i="4"/>
  <c r="E9" i="4" s="1"/>
  <c r="D9" i="28"/>
  <c r="F30" i="27" s="1"/>
  <c r="S37" i="4" s="1"/>
  <c r="C76" i="26"/>
  <c r="L69" i="27"/>
  <c r="L68" i="27"/>
  <c r="L67" i="27"/>
  <c r="L66" i="27"/>
  <c r="L64" i="27"/>
  <c r="L63" i="27"/>
  <c r="L62" i="27"/>
  <c r="D6" i="27"/>
  <c r="C7" i="27"/>
  <c r="D7" i="27" s="1"/>
  <c r="E7" i="27" s="1"/>
  <c r="F7" i="27" s="1"/>
  <c r="G7" i="27" s="1"/>
  <c r="H7" i="27" s="1"/>
  <c r="I7" i="27" s="1"/>
  <c r="J7" i="27" s="1"/>
  <c r="K7" i="27" s="1"/>
  <c r="L7" i="27" s="1"/>
  <c r="M7" i="27" s="1"/>
  <c r="N7" i="27" s="1"/>
  <c r="O7" i="27" s="1"/>
  <c r="P7" i="27" s="1"/>
  <c r="Q7" i="27" s="1"/>
  <c r="R7" i="27" s="1"/>
  <c r="S7" i="27" s="1"/>
  <c r="T7" i="27" s="1"/>
  <c r="U7" i="27" s="1"/>
  <c r="V7" i="27" s="1"/>
  <c r="W7" i="27" s="1"/>
  <c r="X7" i="27" s="1"/>
  <c r="Y7" i="27" s="1"/>
  <c r="Z7" i="27" s="1"/>
  <c r="AA7" i="27" s="1"/>
  <c r="AB7" i="27" s="1"/>
  <c r="AC7" i="27" s="1"/>
  <c r="AD7" i="27" s="1"/>
  <c r="AE7" i="27" s="1"/>
  <c r="AF7" i="27" s="1"/>
  <c r="AG7" i="27" s="1"/>
  <c r="AH7" i="27" s="1"/>
  <c r="AI7" i="27" s="1"/>
  <c r="AJ7" i="27" s="1"/>
  <c r="AK7" i="27" s="1"/>
  <c r="AL7" i="27" s="1"/>
  <c r="AM7" i="27" s="1"/>
  <c r="AN7" i="27" s="1"/>
  <c r="AO7" i="27" s="1"/>
  <c r="AP7" i="27" s="1"/>
  <c r="AQ7" i="27" s="1"/>
  <c r="AR7" i="27" s="1"/>
  <c r="AS7" i="27" s="1"/>
  <c r="AT7" i="27" s="1"/>
  <c r="AU7" i="27" s="1"/>
  <c r="AV7" i="27" s="1"/>
  <c r="AW7" i="27" s="1"/>
  <c r="AX7" i="27" s="1"/>
  <c r="AY7" i="27" s="1"/>
  <c r="AZ7" i="27" s="1"/>
  <c r="BA7" i="27" s="1"/>
  <c r="BB7" i="27" s="1"/>
  <c r="BC7" i="27" s="1"/>
  <c r="BD7" i="27" s="1"/>
  <c r="BE7" i="27" s="1"/>
  <c r="BF7" i="27" s="1"/>
  <c r="BG7" i="27" s="1"/>
  <c r="BH7" i="27" s="1"/>
  <c r="BI7" i="27" s="1"/>
  <c r="BJ7" i="27" s="1"/>
  <c r="C21" i="27"/>
  <c r="P28" i="4" s="1"/>
  <c r="D21" i="27"/>
  <c r="Q28" i="4" s="1"/>
  <c r="E21" i="27"/>
  <c r="R28" i="4" s="1"/>
  <c r="F21" i="27"/>
  <c r="S28" i="4" s="1"/>
  <c r="G21" i="27"/>
  <c r="T28" i="4" s="1"/>
  <c r="H21" i="27"/>
  <c r="U28" i="4" s="1"/>
  <c r="I21" i="27"/>
  <c r="V28" i="4" s="1"/>
  <c r="J21" i="27"/>
  <c r="W28" i="4" s="1"/>
  <c r="K21" i="27"/>
  <c r="X28" i="4" s="1"/>
  <c r="L21" i="27"/>
  <c r="Y28" i="4" s="1"/>
  <c r="M21" i="27"/>
  <c r="Z28" i="4" s="1"/>
  <c r="N21" i="27"/>
  <c r="AA28" i="4" s="1"/>
  <c r="O21" i="27"/>
  <c r="AB28" i="4" s="1"/>
  <c r="P21" i="27"/>
  <c r="Q21" i="27"/>
  <c r="AD28" i="4" s="1"/>
  <c r="R21" i="27"/>
  <c r="AE28" i="4" s="1"/>
  <c r="S21" i="27"/>
  <c r="AF28" i="4" s="1"/>
  <c r="T21" i="27"/>
  <c r="AG28" i="4" s="1"/>
  <c r="U21" i="27"/>
  <c r="AH28" i="4" s="1"/>
  <c r="V21" i="27"/>
  <c r="AI28" i="4" s="1"/>
  <c r="W21" i="27"/>
  <c r="AJ28" i="4" s="1"/>
  <c r="X21" i="27"/>
  <c r="AK28" i="4" s="1"/>
  <c r="Y21" i="27"/>
  <c r="AL28" i="4" s="1"/>
  <c r="Z21" i="27"/>
  <c r="AM28" i="4" s="1"/>
  <c r="AA21" i="27"/>
  <c r="AN28" i="4" s="1"/>
  <c r="AB21" i="27"/>
  <c r="AO28" i="4" s="1"/>
  <c r="AC21" i="27"/>
  <c r="AP28" i="4" s="1"/>
  <c r="AD21" i="27"/>
  <c r="AQ28" i="4" s="1"/>
  <c r="AE21" i="27"/>
  <c r="AR28" i="4" s="1"/>
  <c r="AF21" i="27"/>
  <c r="AS28" i="4" s="1"/>
  <c r="AG21" i="27"/>
  <c r="AT28" i="4" s="1"/>
  <c r="AH21" i="27"/>
  <c r="AU28" i="4" s="1"/>
  <c r="AI21" i="27"/>
  <c r="AV28" i="4" s="1"/>
  <c r="AJ21" i="27"/>
  <c r="AW28" i="4" s="1"/>
  <c r="AK21" i="27"/>
  <c r="AX28" i="4" s="1"/>
  <c r="AL21" i="27"/>
  <c r="AY28" i="4" s="1"/>
  <c r="AM21" i="27"/>
  <c r="AZ28" i="4" s="1"/>
  <c r="AN21" i="27"/>
  <c r="BA28" i="4" s="1"/>
  <c r="AO21" i="27"/>
  <c r="BB28" i="4" s="1"/>
  <c r="AP21" i="27"/>
  <c r="BC28" i="4" s="1"/>
  <c r="AQ21" i="27"/>
  <c r="BD28" i="4" s="1"/>
  <c r="AR21" i="27"/>
  <c r="BE28" i="4" s="1"/>
  <c r="AS21" i="27"/>
  <c r="BF28" i="4" s="1"/>
  <c r="AT21" i="27"/>
  <c r="BG28" i="4" s="1"/>
  <c r="AU21" i="27"/>
  <c r="BH28" i="4" s="1"/>
  <c r="AV21" i="27"/>
  <c r="BI28" i="4" s="1"/>
  <c r="AW21" i="27"/>
  <c r="BJ28" i="4" s="1"/>
  <c r="AX21" i="27"/>
  <c r="BK28" i="4" s="1"/>
  <c r="AY21" i="27"/>
  <c r="BL28" i="4" s="1"/>
  <c r="AZ21" i="27"/>
  <c r="BM28" i="4" s="1"/>
  <c r="BA21" i="27"/>
  <c r="BN28" i="4" s="1"/>
  <c r="BB21" i="27"/>
  <c r="BO28" i="4" s="1"/>
  <c r="BC21" i="27"/>
  <c r="BP28" i="4" s="1"/>
  <c r="BD21" i="27"/>
  <c r="BQ28" i="4" s="1"/>
  <c r="BE21" i="27"/>
  <c r="BR28" i="4" s="1"/>
  <c r="BF21" i="27"/>
  <c r="BS28" i="4" s="1"/>
  <c r="BG21" i="27"/>
  <c r="BT28" i="4" s="1"/>
  <c r="BH21" i="27"/>
  <c r="BU28" i="4" s="1"/>
  <c r="BI21" i="27"/>
  <c r="BV28" i="4" s="1"/>
  <c r="BJ21" i="27"/>
  <c r="BW28" i="4" s="1"/>
  <c r="BX28" i="4" s="1"/>
  <c r="BY28" i="4" s="1"/>
  <c r="C22" i="27"/>
  <c r="P29" i="4" s="1"/>
  <c r="D22" i="27"/>
  <c r="Q29" i="4" s="1"/>
  <c r="E22" i="27"/>
  <c r="R29" i="4" s="1"/>
  <c r="F22" i="27"/>
  <c r="S29" i="4" s="1"/>
  <c r="G22" i="27"/>
  <c r="T29" i="4" s="1"/>
  <c r="H22" i="27"/>
  <c r="U29" i="4" s="1"/>
  <c r="I22" i="27"/>
  <c r="V29" i="4" s="1"/>
  <c r="J22" i="27"/>
  <c r="W29" i="4" s="1"/>
  <c r="K22" i="27"/>
  <c r="X29" i="4" s="1"/>
  <c r="L22" i="27"/>
  <c r="Y29" i="4" s="1"/>
  <c r="M22" i="27"/>
  <c r="Z29" i="4" s="1"/>
  <c r="N22" i="27"/>
  <c r="AA29" i="4" s="1"/>
  <c r="O22" i="27"/>
  <c r="AB29" i="4" s="1"/>
  <c r="P22" i="27"/>
  <c r="AC29" i="4" s="1"/>
  <c r="Q22" i="27"/>
  <c r="AD29" i="4" s="1"/>
  <c r="R22" i="27"/>
  <c r="AE29" i="4" s="1"/>
  <c r="S22" i="27"/>
  <c r="AF29" i="4" s="1"/>
  <c r="T22" i="27"/>
  <c r="AG29" i="4" s="1"/>
  <c r="U22" i="27"/>
  <c r="AH29" i="4" s="1"/>
  <c r="V22" i="27"/>
  <c r="AI29" i="4" s="1"/>
  <c r="W22" i="27"/>
  <c r="AJ29" i="4" s="1"/>
  <c r="X22" i="27"/>
  <c r="AK29" i="4" s="1"/>
  <c r="Y22" i="27"/>
  <c r="AL29" i="4" s="1"/>
  <c r="Z22" i="27"/>
  <c r="AM29" i="4" s="1"/>
  <c r="AA22" i="27"/>
  <c r="AN29" i="4" s="1"/>
  <c r="AB22" i="27"/>
  <c r="AO29" i="4" s="1"/>
  <c r="AC22" i="27"/>
  <c r="AD22" i="27"/>
  <c r="AQ29" i="4" s="1"/>
  <c r="AE22" i="27"/>
  <c r="AR29" i="4" s="1"/>
  <c r="AF22" i="27"/>
  <c r="AS29" i="4" s="1"/>
  <c r="AG22" i="27"/>
  <c r="AT29" i="4" s="1"/>
  <c r="AH22" i="27"/>
  <c r="AU29" i="4" s="1"/>
  <c r="AI22" i="27"/>
  <c r="AJ22" i="27"/>
  <c r="AW29" i="4" s="1"/>
  <c r="AK22" i="27"/>
  <c r="AX29" i="4" s="1"/>
  <c r="AL22" i="27"/>
  <c r="AY29" i="4" s="1"/>
  <c r="AM22" i="27"/>
  <c r="AZ29" i="4" s="1"/>
  <c r="AN22" i="27"/>
  <c r="BA29" i="4" s="1"/>
  <c r="AO22" i="27"/>
  <c r="BB29" i="4" s="1"/>
  <c r="AP22" i="27"/>
  <c r="BC29" i="4" s="1"/>
  <c r="AQ22" i="27"/>
  <c r="BD29" i="4" s="1"/>
  <c r="AR22" i="27"/>
  <c r="BE29" i="4" s="1"/>
  <c r="AS22" i="27"/>
  <c r="BF29" i="4" s="1"/>
  <c r="AT22" i="27"/>
  <c r="BG29" i="4" s="1"/>
  <c r="AU22" i="27"/>
  <c r="BH29" i="4" s="1"/>
  <c r="AV22" i="27"/>
  <c r="BI29" i="4" s="1"/>
  <c r="AW22" i="27"/>
  <c r="BJ29" i="4" s="1"/>
  <c r="AX22" i="27"/>
  <c r="BK29" i="4" s="1"/>
  <c r="AY22" i="27"/>
  <c r="BL29" i="4" s="1"/>
  <c r="AZ22" i="27"/>
  <c r="BM29" i="4" s="1"/>
  <c r="BA22" i="27"/>
  <c r="BN29" i="4" s="1"/>
  <c r="BB22" i="27"/>
  <c r="BO29" i="4" s="1"/>
  <c r="BC22" i="27"/>
  <c r="BP29" i="4" s="1"/>
  <c r="BD22" i="27"/>
  <c r="BQ29" i="4" s="1"/>
  <c r="BE22" i="27"/>
  <c r="BR29" i="4" s="1"/>
  <c r="BF22" i="27"/>
  <c r="BS29" i="4" s="1"/>
  <c r="BG22" i="27"/>
  <c r="BT29" i="4" s="1"/>
  <c r="BH22" i="27"/>
  <c r="BU29" i="4" s="1"/>
  <c r="BI22" i="27"/>
  <c r="BV29" i="4" s="1"/>
  <c r="BJ22" i="27"/>
  <c r="BW29" i="4" s="1"/>
  <c r="BX29" i="4" s="1"/>
  <c r="BY29" i="4" s="1"/>
  <c r="BZ29" i="4" s="1"/>
  <c r="CA29" i="4" s="1"/>
  <c r="C28" i="27"/>
  <c r="H78" i="28" s="1"/>
  <c r="L70" i="27" s="1"/>
  <c r="D28" i="27"/>
  <c r="Q35" i="4" s="1"/>
  <c r="E28" i="27"/>
  <c r="R35" i="4" s="1"/>
  <c r="F28" i="27"/>
  <c r="S35" i="4" s="1"/>
  <c r="G28" i="27"/>
  <c r="T35" i="4" s="1"/>
  <c r="H28" i="27"/>
  <c r="U35" i="4" s="1"/>
  <c r="I28" i="27"/>
  <c r="V35" i="4" s="1"/>
  <c r="J28" i="27"/>
  <c r="W35" i="4" s="1"/>
  <c r="K28" i="27"/>
  <c r="X35" i="4" s="1"/>
  <c r="L28" i="27"/>
  <c r="Y35" i="4" s="1"/>
  <c r="M28" i="27"/>
  <c r="Z35" i="4" s="1"/>
  <c r="N28" i="27"/>
  <c r="AA35" i="4" s="1"/>
  <c r="O28" i="27"/>
  <c r="AB35" i="4" s="1"/>
  <c r="P28" i="27"/>
  <c r="AC35" i="4" s="1"/>
  <c r="Q28" i="27"/>
  <c r="AD35" i="4" s="1"/>
  <c r="R28" i="27"/>
  <c r="AE35" i="4" s="1"/>
  <c r="S28" i="27"/>
  <c r="AF35" i="4" s="1"/>
  <c r="T28" i="27"/>
  <c r="AG35" i="4" s="1"/>
  <c r="U28" i="27"/>
  <c r="AH35" i="4" s="1"/>
  <c r="V28" i="27"/>
  <c r="AI35" i="4" s="1"/>
  <c r="W28" i="27"/>
  <c r="AJ35" i="4" s="1"/>
  <c r="X28" i="27"/>
  <c r="AK35" i="4" s="1"/>
  <c r="Y28" i="27"/>
  <c r="AL35" i="4" s="1"/>
  <c r="Z28" i="27"/>
  <c r="AM35" i="4" s="1"/>
  <c r="AA28" i="27"/>
  <c r="AN35" i="4" s="1"/>
  <c r="AB28" i="27"/>
  <c r="AO35" i="4" s="1"/>
  <c r="AC28" i="27"/>
  <c r="AP35" i="4" s="1"/>
  <c r="AD28" i="27"/>
  <c r="AQ35" i="4" s="1"/>
  <c r="AE28" i="27"/>
  <c r="AR35" i="4" s="1"/>
  <c r="AF28" i="27"/>
  <c r="AS35" i="4" s="1"/>
  <c r="AG28" i="27"/>
  <c r="AT35" i="4" s="1"/>
  <c r="AH28" i="27"/>
  <c r="AU35" i="4" s="1"/>
  <c r="AI28" i="27"/>
  <c r="AV35" i="4" s="1"/>
  <c r="AJ28" i="27"/>
  <c r="AW35" i="4" s="1"/>
  <c r="AK28" i="27"/>
  <c r="AX35" i="4" s="1"/>
  <c r="AL28" i="27"/>
  <c r="AY35" i="4" s="1"/>
  <c r="AM28" i="27"/>
  <c r="AZ35" i="4" s="1"/>
  <c r="AN28" i="27"/>
  <c r="BA35" i="4" s="1"/>
  <c r="AO28" i="27"/>
  <c r="BB35" i="4" s="1"/>
  <c r="AP28" i="27"/>
  <c r="BC35" i="4" s="1"/>
  <c r="AQ28" i="27"/>
  <c r="BD35" i="4" s="1"/>
  <c r="AR28" i="27"/>
  <c r="BE35" i="4" s="1"/>
  <c r="AS28" i="27"/>
  <c r="BF35" i="4" s="1"/>
  <c r="AT28" i="27"/>
  <c r="BG35" i="4" s="1"/>
  <c r="AU28" i="27"/>
  <c r="BH35" i="4" s="1"/>
  <c r="AV28" i="27"/>
  <c r="BI35" i="4" s="1"/>
  <c r="AW28" i="27"/>
  <c r="BJ35" i="4" s="1"/>
  <c r="AX28" i="27"/>
  <c r="BK35" i="4" s="1"/>
  <c r="AY28" i="27"/>
  <c r="BL35" i="4" s="1"/>
  <c r="AZ28" i="27"/>
  <c r="BM35" i="4" s="1"/>
  <c r="BA28" i="27"/>
  <c r="BN35" i="4" s="1"/>
  <c r="BB28" i="27"/>
  <c r="BO35" i="4" s="1"/>
  <c r="BC28" i="27"/>
  <c r="BP35" i="4" s="1"/>
  <c r="BD28" i="27"/>
  <c r="BQ35" i="4" s="1"/>
  <c r="BE28" i="27"/>
  <c r="BR35" i="4" s="1"/>
  <c r="BF28" i="27"/>
  <c r="BS35" i="4" s="1"/>
  <c r="BG28" i="27"/>
  <c r="BT35" i="4" s="1"/>
  <c r="BH28" i="27"/>
  <c r="BU35" i="4" s="1"/>
  <c r="BI28" i="27"/>
  <c r="BV35" i="4" s="1"/>
  <c r="BJ28" i="27"/>
  <c r="BW35" i="4" s="1"/>
  <c r="BX35" i="4" s="1"/>
  <c r="BY35" i="4" s="1"/>
  <c r="BZ35" i="4" s="1"/>
  <c r="CA35" i="4" s="1"/>
  <c r="E30" i="27"/>
  <c r="R37" i="4" s="1"/>
  <c r="M30" i="27"/>
  <c r="Z37" i="4" s="1"/>
  <c r="Q30" i="27"/>
  <c r="AD37" i="4" s="1"/>
  <c r="X30" i="27"/>
  <c r="AK37" i="4" s="1"/>
  <c r="Y30" i="27"/>
  <c r="AL37" i="4" s="1"/>
  <c r="AC30" i="27"/>
  <c r="AP37" i="4" s="1"/>
  <c r="AJ30" i="27"/>
  <c r="AW37" i="4" s="1"/>
  <c r="AK30" i="27"/>
  <c r="AX37" i="4" s="1"/>
  <c r="AN30" i="27"/>
  <c r="BA37" i="4" s="1"/>
  <c r="AO30" i="27"/>
  <c r="BB37" i="4" s="1"/>
  <c r="AV30" i="27"/>
  <c r="BI37" i="4" s="1"/>
  <c r="AW30" i="27"/>
  <c r="BJ37" i="4" s="1"/>
  <c r="AZ30" i="27"/>
  <c r="BM37" i="4" s="1"/>
  <c r="BA30" i="27"/>
  <c r="BN37" i="4" s="1"/>
  <c r="BH30" i="27"/>
  <c r="BU37" i="4" s="1"/>
  <c r="BI30" i="27"/>
  <c r="BV37" i="4" s="1"/>
  <c r="D31" i="27"/>
  <c r="Q38" i="4" s="1"/>
  <c r="E31" i="27"/>
  <c r="R38" i="4" s="1"/>
  <c r="L31" i="27"/>
  <c r="Y38" i="4" s="1"/>
  <c r="M31" i="27"/>
  <c r="Z38" i="4" s="1"/>
  <c r="P31" i="27"/>
  <c r="AC38" i="4" s="1"/>
  <c r="Q31" i="27"/>
  <c r="AD38" i="4" s="1"/>
  <c r="X31" i="27"/>
  <c r="AK38" i="4" s="1"/>
  <c r="Y31" i="27"/>
  <c r="AL38" i="4" s="1"/>
  <c r="AB31" i="27"/>
  <c r="AO38" i="4" s="1"/>
  <c r="AC31" i="27"/>
  <c r="AP38" i="4" s="1"/>
  <c r="AJ31" i="27"/>
  <c r="AW38" i="4" s="1"/>
  <c r="AK31" i="27"/>
  <c r="AX38" i="4" s="1"/>
  <c r="AN31" i="27"/>
  <c r="BA38" i="4" s="1"/>
  <c r="AO31" i="27"/>
  <c r="BB38" i="4" s="1"/>
  <c r="AV31" i="27"/>
  <c r="BI38" i="4" s="1"/>
  <c r="AW31" i="27"/>
  <c r="BJ38" i="4" s="1"/>
  <c r="AZ31" i="27"/>
  <c r="BM38" i="4" s="1"/>
  <c r="BA31" i="27"/>
  <c r="BN38" i="4" s="1"/>
  <c r="BH31" i="27"/>
  <c r="BU38" i="4" s="1"/>
  <c r="BI31" i="27"/>
  <c r="BV38" i="4" s="1"/>
  <c r="C34" i="27"/>
  <c r="P41" i="4" s="1"/>
  <c r="D34" i="27"/>
  <c r="Q41" i="4" s="1"/>
  <c r="E34" i="27"/>
  <c r="R41" i="4" s="1"/>
  <c r="F34" i="27"/>
  <c r="S41" i="4" s="1"/>
  <c r="G34" i="27"/>
  <c r="T41" i="4" s="1"/>
  <c r="H34" i="27"/>
  <c r="U41" i="4" s="1"/>
  <c r="I34" i="27"/>
  <c r="V41" i="4" s="1"/>
  <c r="J34" i="27"/>
  <c r="W41" i="4" s="1"/>
  <c r="K34" i="27"/>
  <c r="X41" i="4" s="1"/>
  <c r="L34" i="27"/>
  <c r="Y41" i="4" s="1"/>
  <c r="M34" i="27"/>
  <c r="Z41" i="4" s="1"/>
  <c r="N34" i="27"/>
  <c r="AA41" i="4" s="1"/>
  <c r="O34" i="27"/>
  <c r="AB41" i="4" s="1"/>
  <c r="P34" i="27"/>
  <c r="AC41" i="4" s="1"/>
  <c r="Q34" i="27"/>
  <c r="AD41" i="4" s="1"/>
  <c r="R34" i="27"/>
  <c r="AE41" i="4" s="1"/>
  <c r="S34" i="27"/>
  <c r="AF41" i="4" s="1"/>
  <c r="T34" i="27"/>
  <c r="AG41" i="4" s="1"/>
  <c r="U34" i="27"/>
  <c r="AH41" i="4" s="1"/>
  <c r="V34" i="27"/>
  <c r="AI41" i="4" s="1"/>
  <c r="W34" i="27"/>
  <c r="AJ41" i="4" s="1"/>
  <c r="X34" i="27"/>
  <c r="AK41" i="4" s="1"/>
  <c r="Y34" i="27"/>
  <c r="AL41" i="4" s="1"/>
  <c r="Z34" i="27"/>
  <c r="AM41" i="4" s="1"/>
  <c r="AA34" i="27"/>
  <c r="AN41" i="4" s="1"/>
  <c r="AB34" i="27"/>
  <c r="AO41" i="4" s="1"/>
  <c r="AC34" i="27"/>
  <c r="AP41" i="4" s="1"/>
  <c r="AD34" i="27"/>
  <c r="AQ41" i="4" s="1"/>
  <c r="AE34" i="27"/>
  <c r="AR41" i="4" s="1"/>
  <c r="AF34" i="27"/>
  <c r="AS41" i="4" s="1"/>
  <c r="AG34" i="27"/>
  <c r="AT41" i="4" s="1"/>
  <c r="AH34" i="27"/>
  <c r="AU41" i="4" s="1"/>
  <c r="AI34" i="27"/>
  <c r="AV41" i="4" s="1"/>
  <c r="AJ34" i="27"/>
  <c r="AW41" i="4" s="1"/>
  <c r="AK34" i="27"/>
  <c r="AX41" i="4" s="1"/>
  <c r="AL34" i="27"/>
  <c r="AY41" i="4" s="1"/>
  <c r="AM34" i="27"/>
  <c r="AZ41" i="4" s="1"/>
  <c r="AN34" i="27"/>
  <c r="BA41" i="4" s="1"/>
  <c r="AO34" i="27"/>
  <c r="BB41" i="4" s="1"/>
  <c r="AP34" i="27"/>
  <c r="BC41" i="4" s="1"/>
  <c r="AQ34" i="27"/>
  <c r="BD41" i="4" s="1"/>
  <c r="AR34" i="27"/>
  <c r="BE41" i="4" s="1"/>
  <c r="AS34" i="27"/>
  <c r="BF41" i="4" s="1"/>
  <c r="AT34" i="27"/>
  <c r="BG41" i="4" s="1"/>
  <c r="AU34" i="27"/>
  <c r="BH41" i="4" s="1"/>
  <c r="AV34" i="27"/>
  <c r="BI41" i="4" s="1"/>
  <c r="AW34" i="27"/>
  <c r="BJ41" i="4" s="1"/>
  <c r="AX34" i="27"/>
  <c r="BK41" i="4" s="1"/>
  <c r="AY34" i="27"/>
  <c r="BL41" i="4" s="1"/>
  <c r="AZ34" i="27"/>
  <c r="BM41" i="4" s="1"/>
  <c r="BA34" i="27"/>
  <c r="BN41" i="4" s="1"/>
  <c r="BB34" i="27"/>
  <c r="BO41" i="4" s="1"/>
  <c r="BC34" i="27"/>
  <c r="BP41" i="4" s="1"/>
  <c r="BD34" i="27"/>
  <c r="BQ41" i="4" s="1"/>
  <c r="BE34" i="27"/>
  <c r="BR41" i="4" s="1"/>
  <c r="BF34" i="27"/>
  <c r="BS41" i="4" s="1"/>
  <c r="BG34" i="27"/>
  <c r="BT41" i="4" s="1"/>
  <c r="BH34" i="27"/>
  <c r="BU41" i="4" s="1"/>
  <c r="BI34" i="27"/>
  <c r="BV41" i="4" s="1"/>
  <c r="BJ34" i="27"/>
  <c r="BW41" i="4" s="1"/>
  <c r="BX41" i="4" s="1"/>
  <c r="BY41" i="4" s="1"/>
  <c r="BZ41" i="4" s="1"/>
  <c r="CA41" i="4" s="1"/>
  <c r="C35" i="27"/>
  <c r="P42" i="4" s="1"/>
  <c r="D35" i="27"/>
  <c r="Q42" i="4" s="1"/>
  <c r="E35" i="27"/>
  <c r="R42" i="4" s="1"/>
  <c r="F35" i="27"/>
  <c r="S42" i="4" s="1"/>
  <c r="G35" i="27"/>
  <c r="T42" i="4" s="1"/>
  <c r="H35" i="27"/>
  <c r="U42" i="4" s="1"/>
  <c r="I35" i="27"/>
  <c r="V42" i="4" s="1"/>
  <c r="J35" i="27"/>
  <c r="W42" i="4" s="1"/>
  <c r="K35" i="27"/>
  <c r="X42" i="4" s="1"/>
  <c r="L35" i="27"/>
  <c r="Y42" i="4" s="1"/>
  <c r="M35" i="27"/>
  <c r="Z42" i="4" s="1"/>
  <c r="N35" i="27"/>
  <c r="AA42" i="4" s="1"/>
  <c r="O35" i="27"/>
  <c r="AB42" i="4" s="1"/>
  <c r="P35" i="27"/>
  <c r="AC42" i="4" s="1"/>
  <c r="Q35" i="27"/>
  <c r="AD42" i="4" s="1"/>
  <c r="R35" i="27"/>
  <c r="AE42" i="4" s="1"/>
  <c r="S35" i="27"/>
  <c r="AF42" i="4" s="1"/>
  <c r="T35" i="27"/>
  <c r="AG42" i="4" s="1"/>
  <c r="U35" i="27"/>
  <c r="AH42" i="4" s="1"/>
  <c r="V35" i="27"/>
  <c r="AI42" i="4" s="1"/>
  <c r="W35" i="27"/>
  <c r="AJ42" i="4" s="1"/>
  <c r="X35" i="27"/>
  <c r="AK42" i="4" s="1"/>
  <c r="Y35" i="27"/>
  <c r="AL42" i="4" s="1"/>
  <c r="Z35" i="27"/>
  <c r="AM42" i="4" s="1"/>
  <c r="AA35" i="27"/>
  <c r="AN42" i="4" s="1"/>
  <c r="AB35" i="27"/>
  <c r="AO42" i="4" s="1"/>
  <c r="AC35" i="27"/>
  <c r="AP42" i="4" s="1"/>
  <c r="AD35" i="27"/>
  <c r="AQ42" i="4" s="1"/>
  <c r="AE35" i="27"/>
  <c r="AR42" i="4" s="1"/>
  <c r="AF35" i="27"/>
  <c r="AS42" i="4" s="1"/>
  <c r="AG35" i="27"/>
  <c r="AT42" i="4" s="1"/>
  <c r="AH35" i="27"/>
  <c r="AU42" i="4" s="1"/>
  <c r="AI35" i="27"/>
  <c r="AV42" i="4" s="1"/>
  <c r="AJ35" i="27"/>
  <c r="AW42" i="4" s="1"/>
  <c r="AK35" i="27"/>
  <c r="AX42" i="4" s="1"/>
  <c r="AL35" i="27"/>
  <c r="AY42" i="4" s="1"/>
  <c r="AM35" i="27"/>
  <c r="AZ42" i="4" s="1"/>
  <c r="AN35" i="27"/>
  <c r="BA42" i="4" s="1"/>
  <c r="AO35" i="27"/>
  <c r="BB42" i="4" s="1"/>
  <c r="AP35" i="27"/>
  <c r="BC42" i="4" s="1"/>
  <c r="AQ35" i="27"/>
  <c r="BD42" i="4" s="1"/>
  <c r="AR35" i="27"/>
  <c r="BE42" i="4" s="1"/>
  <c r="AS35" i="27"/>
  <c r="BF42" i="4" s="1"/>
  <c r="AT35" i="27"/>
  <c r="BG42" i="4" s="1"/>
  <c r="AU35" i="27"/>
  <c r="BH42" i="4" s="1"/>
  <c r="AV35" i="27"/>
  <c r="BI42" i="4" s="1"/>
  <c r="AW35" i="27"/>
  <c r="BJ42" i="4" s="1"/>
  <c r="AX35" i="27"/>
  <c r="BK42" i="4" s="1"/>
  <c r="AY35" i="27"/>
  <c r="BL42" i="4" s="1"/>
  <c r="AZ35" i="27"/>
  <c r="BM42" i="4" s="1"/>
  <c r="BA35" i="27"/>
  <c r="BN42" i="4" s="1"/>
  <c r="BB35" i="27"/>
  <c r="BO42" i="4" s="1"/>
  <c r="BC35" i="27"/>
  <c r="BP42" i="4" s="1"/>
  <c r="BD35" i="27"/>
  <c r="BQ42" i="4" s="1"/>
  <c r="BE35" i="27"/>
  <c r="BR42" i="4" s="1"/>
  <c r="BF35" i="27"/>
  <c r="BS42" i="4" s="1"/>
  <c r="BG35" i="27"/>
  <c r="BT42" i="4" s="1"/>
  <c r="BH35" i="27"/>
  <c r="BU42" i="4" s="1"/>
  <c r="BI35" i="27"/>
  <c r="BV42" i="4" s="1"/>
  <c r="BJ35" i="27"/>
  <c r="BW42" i="4" s="1"/>
  <c r="BX42" i="4" s="1"/>
  <c r="BY42" i="4" s="1"/>
  <c r="BZ42" i="4" s="1"/>
  <c r="CA42" i="4" s="1"/>
  <c r="C36" i="27"/>
  <c r="P43" i="4" s="1"/>
  <c r="D36" i="27"/>
  <c r="Q43" i="4" s="1"/>
  <c r="E36" i="27"/>
  <c r="R43" i="4" s="1"/>
  <c r="F36" i="27"/>
  <c r="S43" i="4" s="1"/>
  <c r="G36" i="27"/>
  <c r="T43" i="4" s="1"/>
  <c r="H36" i="27"/>
  <c r="U43" i="4" s="1"/>
  <c r="I36" i="27"/>
  <c r="V43" i="4" s="1"/>
  <c r="J36" i="27"/>
  <c r="W43" i="4" s="1"/>
  <c r="K36" i="27"/>
  <c r="X43" i="4" s="1"/>
  <c r="L36" i="27"/>
  <c r="Y43" i="4" s="1"/>
  <c r="M36" i="27"/>
  <c r="Z43" i="4" s="1"/>
  <c r="N36" i="27"/>
  <c r="AA43" i="4" s="1"/>
  <c r="O36" i="27"/>
  <c r="AB43" i="4" s="1"/>
  <c r="P36" i="27"/>
  <c r="AC43" i="4" s="1"/>
  <c r="Q36" i="27"/>
  <c r="AD43" i="4" s="1"/>
  <c r="R36" i="27"/>
  <c r="AE43" i="4" s="1"/>
  <c r="S36" i="27"/>
  <c r="AF43" i="4" s="1"/>
  <c r="T36" i="27"/>
  <c r="AG43" i="4" s="1"/>
  <c r="U36" i="27"/>
  <c r="AH43" i="4" s="1"/>
  <c r="V36" i="27"/>
  <c r="AI43" i="4" s="1"/>
  <c r="W36" i="27"/>
  <c r="AJ43" i="4" s="1"/>
  <c r="X36" i="27"/>
  <c r="AK43" i="4" s="1"/>
  <c r="Y36" i="27"/>
  <c r="AL43" i="4" s="1"/>
  <c r="Z36" i="27"/>
  <c r="AM43" i="4" s="1"/>
  <c r="AA36" i="27"/>
  <c r="AN43" i="4" s="1"/>
  <c r="AB36" i="27"/>
  <c r="AO43" i="4" s="1"/>
  <c r="AC36" i="27"/>
  <c r="AP43" i="4" s="1"/>
  <c r="AD36" i="27"/>
  <c r="AQ43" i="4" s="1"/>
  <c r="AE36" i="27"/>
  <c r="AR43" i="4" s="1"/>
  <c r="AF36" i="27"/>
  <c r="AS43" i="4" s="1"/>
  <c r="AG36" i="27"/>
  <c r="AT43" i="4" s="1"/>
  <c r="AH36" i="27"/>
  <c r="AU43" i="4" s="1"/>
  <c r="AI36" i="27"/>
  <c r="AV43" i="4" s="1"/>
  <c r="AJ36" i="27"/>
  <c r="AW43" i="4" s="1"/>
  <c r="AK36" i="27"/>
  <c r="AX43" i="4" s="1"/>
  <c r="AL36" i="27"/>
  <c r="AY43" i="4" s="1"/>
  <c r="AM36" i="27"/>
  <c r="AZ43" i="4" s="1"/>
  <c r="AN36" i="27"/>
  <c r="BA43" i="4" s="1"/>
  <c r="AO36" i="27"/>
  <c r="BB43" i="4" s="1"/>
  <c r="AP36" i="27"/>
  <c r="BC43" i="4" s="1"/>
  <c r="AQ36" i="27"/>
  <c r="BD43" i="4" s="1"/>
  <c r="AR36" i="27"/>
  <c r="BE43" i="4" s="1"/>
  <c r="AS36" i="27"/>
  <c r="BF43" i="4" s="1"/>
  <c r="AT36" i="27"/>
  <c r="BG43" i="4" s="1"/>
  <c r="AU36" i="27"/>
  <c r="BH43" i="4" s="1"/>
  <c r="AV36" i="27"/>
  <c r="BI43" i="4" s="1"/>
  <c r="AW36" i="27"/>
  <c r="BJ43" i="4" s="1"/>
  <c r="AX36" i="27"/>
  <c r="BK43" i="4" s="1"/>
  <c r="AY36" i="27"/>
  <c r="BL43" i="4" s="1"/>
  <c r="AZ36" i="27"/>
  <c r="BM43" i="4" s="1"/>
  <c r="BA36" i="27"/>
  <c r="BN43" i="4" s="1"/>
  <c r="BB36" i="27"/>
  <c r="BO43" i="4" s="1"/>
  <c r="BC36" i="27"/>
  <c r="BP43" i="4" s="1"/>
  <c r="BD36" i="27"/>
  <c r="BQ43" i="4" s="1"/>
  <c r="BE36" i="27"/>
  <c r="BR43" i="4" s="1"/>
  <c r="BF36" i="27"/>
  <c r="BS43" i="4" s="1"/>
  <c r="BG36" i="27"/>
  <c r="BT43" i="4" s="1"/>
  <c r="BH36" i="27"/>
  <c r="BU43" i="4" s="1"/>
  <c r="BI36" i="27"/>
  <c r="BV43" i="4" s="1"/>
  <c r="BJ36" i="27"/>
  <c r="BW43" i="4" s="1"/>
  <c r="BX43" i="4" s="1"/>
  <c r="BY43" i="4" s="1"/>
  <c r="BZ43" i="4" s="1"/>
  <c r="CA43" i="4" s="1"/>
  <c r="C39" i="27"/>
  <c r="P46" i="4" s="1"/>
  <c r="D39" i="27"/>
  <c r="Q46" i="4" s="1"/>
  <c r="E39" i="27"/>
  <c r="R46" i="4" s="1"/>
  <c r="F39" i="27"/>
  <c r="S46" i="4" s="1"/>
  <c r="G39" i="27"/>
  <c r="T46" i="4" s="1"/>
  <c r="H39" i="27"/>
  <c r="U46" i="4" s="1"/>
  <c r="I39" i="27"/>
  <c r="V46" i="4" s="1"/>
  <c r="J39" i="27"/>
  <c r="W46" i="4" s="1"/>
  <c r="K39" i="27"/>
  <c r="X46" i="4" s="1"/>
  <c r="L39" i="27"/>
  <c r="Y46" i="4" s="1"/>
  <c r="M39" i="27"/>
  <c r="Z46" i="4" s="1"/>
  <c r="N39" i="27"/>
  <c r="AA46" i="4" s="1"/>
  <c r="O39" i="27"/>
  <c r="AB46" i="4" s="1"/>
  <c r="P39" i="27"/>
  <c r="AC46" i="4" s="1"/>
  <c r="Q39" i="27"/>
  <c r="AD46" i="4" s="1"/>
  <c r="R39" i="27"/>
  <c r="AE46" i="4" s="1"/>
  <c r="S39" i="27"/>
  <c r="AF46" i="4" s="1"/>
  <c r="T39" i="27"/>
  <c r="AG46" i="4" s="1"/>
  <c r="U39" i="27"/>
  <c r="AH46" i="4" s="1"/>
  <c r="V39" i="27"/>
  <c r="AI46" i="4" s="1"/>
  <c r="W39" i="27"/>
  <c r="AJ46" i="4" s="1"/>
  <c r="X39" i="27"/>
  <c r="AK46" i="4" s="1"/>
  <c r="Y39" i="27"/>
  <c r="AL46" i="4" s="1"/>
  <c r="Z39" i="27"/>
  <c r="AM46" i="4" s="1"/>
  <c r="AA39" i="27"/>
  <c r="AN46" i="4" s="1"/>
  <c r="AB39" i="27"/>
  <c r="AO46" i="4" s="1"/>
  <c r="AC39" i="27"/>
  <c r="AP46" i="4" s="1"/>
  <c r="AD39" i="27"/>
  <c r="AQ46" i="4" s="1"/>
  <c r="AE39" i="27"/>
  <c r="AR46" i="4" s="1"/>
  <c r="AF39" i="27"/>
  <c r="AS46" i="4" s="1"/>
  <c r="AG39" i="27"/>
  <c r="AT46" i="4" s="1"/>
  <c r="AH39" i="27"/>
  <c r="AU46" i="4" s="1"/>
  <c r="AI39" i="27"/>
  <c r="AV46" i="4" s="1"/>
  <c r="AJ39" i="27"/>
  <c r="AW46" i="4" s="1"/>
  <c r="AK39" i="27"/>
  <c r="AX46" i="4" s="1"/>
  <c r="AL39" i="27"/>
  <c r="AY46" i="4" s="1"/>
  <c r="AM39" i="27"/>
  <c r="AZ46" i="4" s="1"/>
  <c r="AN39" i="27"/>
  <c r="BA46" i="4" s="1"/>
  <c r="AO39" i="27"/>
  <c r="BB46" i="4" s="1"/>
  <c r="AP39" i="27"/>
  <c r="BC46" i="4" s="1"/>
  <c r="AQ39" i="27"/>
  <c r="BD46" i="4" s="1"/>
  <c r="AR39" i="27"/>
  <c r="BE46" i="4" s="1"/>
  <c r="AS39" i="27"/>
  <c r="BF46" i="4" s="1"/>
  <c r="AT39" i="27"/>
  <c r="BG46" i="4" s="1"/>
  <c r="AU39" i="27"/>
  <c r="BH46" i="4" s="1"/>
  <c r="AV39" i="27"/>
  <c r="BI46" i="4" s="1"/>
  <c r="AW39" i="27"/>
  <c r="BJ46" i="4" s="1"/>
  <c r="AX39" i="27"/>
  <c r="BK46" i="4" s="1"/>
  <c r="AY39" i="27"/>
  <c r="BL46" i="4" s="1"/>
  <c r="AZ39" i="27"/>
  <c r="BM46" i="4" s="1"/>
  <c r="BA39" i="27"/>
  <c r="BN46" i="4" s="1"/>
  <c r="BB39" i="27"/>
  <c r="BO46" i="4" s="1"/>
  <c r="BC39" i="27"/>
  <c r="BP46" i="4" s="1"/>
  <c r="BD39" i="27"/>
  <c r="BQ46" i="4" s="1"/>
  <c r="BE39" i="27"/>
  <c r="BR46" i="4" s="1"/>
  <c r="BF39" i="27"/>
  <c r="BS46" i="4" s="1"/>
  <c r="BG39" i="27"/>
  <c r="BT46" i="4" s="1"/>
  <c r="BH39" i="27"/>
  <c r="BU46" i="4" s="1"/>
  <c r="BI39" i="27"/>
  <c r="BV46" i="4" s="1"/>
  <c r="BJ39" i="27"/>
  <c r="BW46" i="4" s="1"/>
  <c r="BX46" i="4" s="1"/>
  <c r="BY46" i="4" s="1"/>
  <c r="BZ46" i="4" s="1"/>
  <c r="CA46" i="4" s="1"/>
  <c r="C40" i="27"/>
  <c r="D40" i="27"/>
  <c r="Q47" i="4" s="1"/>
  <c r="E40" i="27"/>
  <c r="R47" i="4" s="1"/>
  <c r="F40" i="27"/>
  <c r="S47" i="4" s="1"/>
  <c r="G40" i="27"/>
  <c r="T47" i="4" s="1"/>
  <c r="H40" i="27"/>
  <c r="U47" i="4" s="1"/>
  <c r="I40" i="27"/>
  <c r="V47" i="4" s="1"/>
  <c r="J40" i="27"/>
  <c r="W47" i="4" s="1"/>
  <c r="K40" i="27"/>
  <c r="X47" i="4" s="1"/>
  <c r="L40" i="27"/>
  <c r="Y47" i="4" s="1"/>
  <c r="M40" i="27"/>
  <c r="Z47" i="4" s="1"/>
  <c r="N40" i="27"/>
  <c r="AA47" i="4" s="1"/>
  <c r="O40" i="27"/>
  <c r="P40" i="27"/>
  <c r="AC47" i="4" s="1"/>
  <c r="Q40" i="27"/>
  <c r="AD47" i="4" s="1"/>
  <c r="R40" i="27"/>
  <c r="AE47" i="4" s="1"/>
  <c r="S40" i="27"/>
  <c r="AF47" i="4" s="1"/>
  <c r="T40" i="27"/>
  <c r="AG47" i="4" s="1"/>
  <c r="U40" i="27"/>
  <c r="AH47" i="4" s="1"/>
  <c r="V40" i="27"/>
  <c r="AI47" i="4" s="1"/>
  <c r="W40" i="27"/>
  <c r="AJ47" i="4" s="1"/>
  <c r="X40" i="27"/>
  <c r="AK47" i="4" s="1"/>
  <c r="Y40" i="27"/>
  <c r="AL47" i="4" s="1"/>
  <c r="Z40" i="27"/>
  <c r="AM47" i="4" s="1"/>
  <c r="AA40" i="27"/>
  <c r="AB40" i="27"/>
  <c r="AO47" i="4" s="1"/>
  <c r="AC40" i="27"/>
  <c r="AP47" i="4" s="1"/>
  <c r="AD40" i="27"/>
  <c r="AQ47" i="4" s="1"/>
  <c r="AE40" i="27"/>
  <c r="AR47" i="4" s="1"/>
  <c r="AF40" i="27"/>
  <c r="AS47" i="4" s="1"/>
  <c r="AG40" i="27"/>
  <c r="AT47" i="4" s="1"/>
  <c r="AH40" i="27"/>
  <c r="AU47" i="4" s="1"/>
  <c r="AI40" i="27"/>
  <c r="AV47" i="4" s="1"/>
  <c r="AJ40" i="27"/>
  <c r="AW47" i="4" s="1"/>
  <c r="AK40" i="27"/>
  <c r="AX47" i="4" s="1"/>
  <c r="AL40" i="27"/>
  <c r="AY47" i="4" s="1"/>
  <c r="AM40" i="27"/>
  <c r="AN40" i="27"/>
  <c r="BA47" i="4" s="1"/>
  <c r="AO40" i="27"/>
  <c r="BB47" i="4" s="1"/>
  <c r="AP40" i="27"/>
  <c r="BC47" i="4" s="1"/>
  <c r="AQ40" i="27"/>
  <c r="BD47" i="4" s="1"/>
  <c r="AR40" i="27"/>
  <c r="BE47" i="4" s="1"/>
  <c r="AS40" i="27"/>
  <c r="BF47" i="4" s="1"/>
  <c r="AT40" i="27"/>
  <c r="BG47" i="4" s="1"/>
  <c r="AU40" i="27"/>
  <c r="BH47" i="4" s="1"/>
  <c r="AV40" i="27"/>
  <c r="BI47" i="4" s="1"/>
  <c r="AW40" i="27"/>
  <c r="BJ47" i="4" s="1"/>
  <c r="AX40" i="27"/>
  <c r="BK47" i="4" s="1"/>
  <c r="AY40" i="27"/>
  <c r="AZ40" i="27"/>
  <c r="BM47" i="4" s="1"/>
  <c r="BA40" i="27"/>
  <c r="BN47" i="4" s="1"/>
  <c r="BB40" i="27"/>
  <c r="BO47" i="4" s="1"/>
  <c r="BC40" i="27"/>
  <c r="BP47" i="4" s="1"/>
  <c r="BD40" i="27"/>
  <c r="BQ47" i="4" s="1"/>
  <c r="BE40" i="27"/>
  <c r="BR47" i="4" s="1"/>
  <c r="BF40" i="27"/>
  <c r="BS47" i="4" s="1"/>
  <c r="BG40" i="27"/>
  <c r="BT47" i="4" s="1"/>
  <c r="BH40" i="27"/>
  <c r="BU47" i="4" s="1"/>
  <c r="BI40" i="27"/>
  <c r="BV47" i="4" s="1"/>
  <c r="BJ40"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AO47" i="27"/>
  <c r="AP47" i="27"/>
  <c r="AQ47" i="27"/>
  <c r="AR47" i="27"/>
  <c r="AS47" i="27"/>
  <c r="AT47" i="27"/>
  <c r="AU47" i="27"/>
  <c r="AV47" i="27"/>
  <c r="AW47" i="27"/>
  <c r="AX47" i="27"/>
  <c r="AY47" i="27"/>
  <c r="AZ47" i="27"/>
  <c r="BA47" i="27"/>
  <c r="BB47" i="27"/>
  <c r="BC47" i="27"/>
  <c r="BD47" i="27"/>
  <c r="BE47" i="27"/>
  <c r="BF47" i="27"/>
  <c r="BG47" i="27"/>
  <c r="BH47" i="27"/>
  <c r="BI47" i="27"/>
  <c r="BJ47" i="27"/>
  <c r="G54" i="28"/>
  <c r="H29" i="28"/>
  <c r="H23" i="28"/>
  <c r="H16" i="28"/>
  <c r="AB30" i="27" l="1"/>
  <c r="AO37" i="4" s="1"/>
  <c r="P30" i="27"/>
  <c r="AC37" i="4" s="1"/>
  <c r="D30" i="27"/>
  <c r="Q37" i="4" s="1"/>
  <c r="AY31" i="27"/>
  <c r="AM31" i="27"/>
  <c r="AA31" i="27"/>
  <c r="O31" i="27"/>
  <c r="C31" i="27"/>
  <c r="AY30" i="27"/>
  <c r="AM30" i="27"/>
  <c r="AA30" i="27"/>
  <c r="O30" i="27"/>
  <c r="C30" i="27"/>
  <c r="C41" i="26"/>
  <c r="BJ31" i="27"/>
  <c r="BW38" i="4" s="1"/>
  <c r="BX38" i="4" s="1"/>
  <c r="BY38" i="4" s="1"/>
  <c r="BZ38" i="4" s="1"/>
  <c r="CA38" i="4" s="1"/>
  <c r="AX31" i="27"/>
  <c r="BK38" i="4" s="1"/>
  <c r="AL31" i="27"/>
  <c r="AY38" i="4" s="1"/>
  <c r="Z31" i="27"/>
  <c r="AM38" i="4" s="1"/>
  <c r="N31" i="27"/>
  <c r="AA38" i="4" s="1"/>
  <c r="BJ30" i="27"/>
  <c r="BW37" i="4" s="1"/>
  <c r="BX37" i="4" s="1"/>
  <c r="BY37" i="4" s="1"/>
  <c r="BZ37" i="4" s="1"/>
  <c r="CA37" i="4" s="1"/>
  <c r="AX30" i="27"/>
  <c r="BK37" i="4" s="1"/>
  <c r="AL30" i="27"/>
  <c r="AY37" i="4" s="1"/>
  <c r="Z30" i="27"/>
  <c r="AM37" i="4" s="1"/>
  <c r="N30" i="27"/>
  <c r="AA37" i="4" s="1"/>
  <c r="L30" i="27"/>
  <c r="Y37" i="4" s="1"/>
  <c r="AU31" i="27"/>
  <c r="BH38" i="4" s="1"/>
  <c r="W31" i="27"/>
  <c r="AJ38" i="4" s="1"/>
  <c r="BG30" i="27"/>
  <c r="BT37" i="4" s="1"/>
  <c r="AI30" i="27"/>
  <c r="AV37" i="4" s="1"/>
  <c r="K30" i="27"/>
  <c r="X37" i="4" s="1"/>
  <c r="BF31" i="27"/>
  <c r="BS38" i="4" s="1"/>
  <c r="AT31" i="27"/>
  <c r="BG38" i="4" s="1"/>
  <c r="AH31" i="27"/>
  <c r="AU38" i="4" s="1"/>
  <c r="V31" i="27"/>
  <c r="AI38" i="4" s="1"/>
  <c r="J31" i="27"/>
  <c r="W38" i="4" s="1"/>
  <c r="BF30" i="27"/>
  <c r="BS37" i="4" s="1"/>
  <c r="AT30" i="27"/>
  <c r="BG37" i="4" s="1"/>
  <c r="AH30" i="27"/>
  <c r="AU37" i="4" s="1"/>
  <c r="V30" i="27"/>
  <c r="AI37" i="4" s="1"/>
  <c r="J30" i="27"/>
  <c r="W37" i="4" s="1"/>
  <c r="BE31" i="27"/>
  <c r="BR38" i="4" s="1"/>
  <c r="AS31" i="27"/>
  <c r="BF38" i="4" s="1"/>
  <c r="AG31" i="27"/>
  <c r="AT38" i="4" s="1"/>
  <c r="U31" i="27"/>
  <c r="AH38" i="4" s="1"/>
  <c r="I31" i="27"/>
  <c r="V38" i="4" s="1"/>
  <c r="BE30" i="27"/>
  <c r="BR37" i="4" s="1"/>
  <c r="AS30" i="27"/>
  <c r="BF37" i="4" s="1"/>
  <c r="AG30" i="27"/>
  <c r="AT37" i="4" s="1"/>
  <c r="U30" i="27"/>
  <c r="AH37" i="4" s="1"/>
  <c r="I30" i="27"/>
  <c r="V37" i="4" s="1"/>
  <c r="AI31" i="27"/>
  <c r="AV38" i="4" s="1"/>
  <c r="AR31" i="27"/>
  <c r="BE38" i="4" s="1"/>
  <c r="AR30" i="27"/>
  <c r="BE37" i="4" s="1"/>
  <c r="AF30" i="27"/>
  <c r="AS37" i="4" s="1"/>
  <c r="H30" i="27"/>
  <c r="U37" i="4" s="1"/>
  <c r="W30" i="27"/>
  <c r="AJ37" i="4" s="1"/>
  <c r="T31" i="27"/>
  <c r="AG38" i="4" s="1"/>
  <c r="BC31" i="27"/>
  <c r="BP38" i="4" s="1"/>
  <c r="G31" i="27"/>
  <c r="T38" i="4" s="1"/>
  <c r="AE30" i="27"/>
  <c r="AR37" i="4" s="1"/>
  <c r="G30" i="27"/>
  <c r="T37" i="4" s="1"/>
  <c r="BG31" i="27"/>
  <c r="BT38" i="4" s="1"/>
  <c r="K31" i="27"/>
  <c r="X38" i="4" s="1"/>
  <c r="AU30" i="27"/>
  <c r="BH37" i="4" s="1"/>
  <c r="BD31" i="27"/>
  <c r="BQ38" i="4" s="1"/>
  <c r="AF31" i="27"/>
  <c r="AS38" i="4" s="1"/>
  <c r="H31" i="27"/>
  <c r="U38" i="4" s="1"/>
  <c r="BD30" i="27"/>
  <c r="BQ37" i="4" s="1"/>
  <c r="T30" i="27"/>
  <c r="AG37" i="4" s="1"/>
  <c r="AQ31" i="27"/>
  <c r="BD38" i="4" s="1"/>
  <c r="AE31" i="27"/>
  <c r="AR38" i="4" s="1"/>
  <c r="S31" i="27"/>
  <c r="AF38" i="4" s="1"/>
  <c r="BC30" i="27"/>
  <c r="BP37" i="4" s="1"/>
  <c r="AQ30" i="27"/>
  <c r="BD37" i="4" s="1"/>
  <c r="S30" i="27"/>
  <c r="AF37" i="4" s="1"/>
  <c r="BB31" i="27"/>
  <c r="BO38" i="4" s="1"/>
  <c r="AP31" i="27"/>
  <c r="BC38" i="4" s="1"/>
  <c r="AD31" i="27"/>
  <c r="AQ38" i="4" s="1"/>
  <c r="R31" i="27"/>
  <c r="AE38" i="4" s="1"/>
  <c r="F31" i="27"/>
  <c r="S38" i="4" s="1"/>
  <c r="BB30" i="27"/>
  <c r="BO37" i="4" s="1"/>
  <c r="AP30" i="27"/>
  <c r="BC37" i="4" s="1"/>
  <c r="AD30" i="27"/>
  <c r="AQ37" i="4" s="1"/>
  <c r="R30" i="27"/>
  <c r="AE37" i="4" s="1"/>
  <c r="P47" i="4"/>
  <c r="C39" i="29"/>
  <c r="AZ47" i="4"/>
  <c r="F39" i="29"/>
  <c r="BL47" i="4"/>
  <c r="G39" i="29"/>
  <c r="AN47" i="4"/>
  <c r="E39" i="29"/>
  <c r="AB47" i="4"/>
  <c r="D39" i="29"/>
  <c r="P35" i="4"/>
  <c r="D9" i="27"/>
  <c r="Q16" i="4" s="1"/>
  <c r="Q14" i="4" s="1"/>
  <c r="E6" i="27"/>
  <c r="D10" i="27"/>
  <c r="Q17" i="4" s="1"/>
  <c r="D37" i="16"/>
  <c r="E37" i="16" s="1"/>
  <c r="BZ28" i="4"/>
  <c r="P53" i="4"/>
  <c r="Q51" i="4"/>
  <c r="R51" i="4" s="1"/>
  <c r="S51" i="4" s="1"/>
  <c r="T51" i="4" s="1"/>
  <c r="U51" i="4" s="1"/>
  <c r="V51" i="4" s="1"/>
  <c r="W51" i="4" s="1"/>
  <c r="X51" i="4" s="1"/>
  <c r="Y51" i="4" s="1"/>
  <c r="Z51" i="4" s="1"/>
  <c r="AA51" i="4" s="1"/>
  <c r="AB51" i="4" s="1"/>
  <c r="AC51" i="4" s="1"/>
  <c r="AD51" i="4" s="1"/>
  <c r="AE51" i="4" s="1"/>
  <c r="AF51" i="4" s="1"/>
  <c r="AG51" i="4" s="1"/>
  <c r="AH51" i="4" s="1"/>
  <c r="AI51" i="4" s="1"/>
  <c r="AJ51" i="4" s="1"/>
  <c r="AK51" i="4" s="1"/>
  <c r="Z52" i="4"/>
  <c r="AZ51" i="4"/>
  <c r="AN37" i="4" l="1"/>
  <c r="E29" i="29"/>
  <c r="AB37" i="4"/>
  <c r="D29" i="29"/>
  <c r="AZ37" i="4"/>
  <c r="F29" i="29"/>
  <c r="BL37" i="4"/>
  <c r="G29" i="29"/>
  <c r="AN38" i="4"/>
  <c r="E30" i="29"/>
  <c r="AZ38" i="4"/>
  <c r="F30" i="29"/>
  <c r="P38" i="4"/>
  <c r="C30" i="29"/>
  <c r="BL38" i="4"/>
  <c r="G30" i="29"/>
  <c r="AB38" i="4"/>
  <c r="D30" i="29"/>
  <c r="D41" i="26"/>
  <c r="C47" i="26"/>
  <c r="C49" i="26" s="1"/>
  <c r="C16" i="26" s="1"/>
  <c r="C51" i="26"/>
  <c r="C12" i="26"/>
  <c r="P37" i="4"/>
  <c r="G37" i="4" s="1"/>
  <c r="C29" i="29"/>
  <c r="D16" i="27"/>
  <c r="D27" i="27" s="1"/>
  <c r="Q34" i="4" s="1"/>
  <c r="D17" i="27"/>
  <c r="Q24" i="4" s="1"/>
  <c r="D33" i="27"/>
  <c r="Q40" i="4" s="1"/>
  <c r="E10" i="27"/>
  <c r="F6" i="27"/>
  <c r="E9" i="27"/>
  <c r="R16" i="4" s="1"/>
  <c r="R14" i="4" s="1"/>
  <c r="CA28" i="4"/>
  <c r="W53" i="4"/>
  <c r="Y53" i="4"/>
  <c r="Q53" i="4"/>
  <c r="V53" i="4"/>
  <c r="X53" i="4"/>
  <c r="S53" i="4"/>
  <c r="T53" i="4"/>
  <c r="R53" i="4"/>
  <c r="U53" i="4"/>
  <c r="BA51" i="4"/>
  <c r="AL51" i="4"/>
  <c r="AA52" i="4"/>
  <c r="Z53" i="4"/>
  <c r="H37" i="4" l="1"/>
  <c r="G48" i="4"/>
  <c r="G55" i="4" s="1"/>
  <c r="G57" i="4" s="1"/>
  <c r="D46" i="26"/>
  <c r="C17" i="26"/>
  <c r="C18" i="26" s="1"/>
  <c r="C9" i="27" s="1"/>
  <c r="P16" i="4" s="1"/>
  <c r="P14" i="4" s="1"/>
  <c r="D47" i="26"/>
  <c r="D51" i="26"/>
  <c r="E46" i="26" s="1"/>
  <c r="E41" i="26"/>
  <c r="C15" i="26"/>
  <c r="Q23" i="4"/>
  <c r="G6" i="27"/>
  <c r="F10" i="27"/>
  <c r="F9" i="27"/>
  <c r="S16" i="4" s="1"/>
  <c r="E16" i="27"/>
  <c r="R17" i="4"/>
  <c r="E33" i="27"/>
  <c r="R40" i="4" s="1"/>
  <c r="E17" i="27"/>
  <c r="R24" i="4" s="1"/>
  <c r="E33" i="9"/>
  <c r="AM51" i="4"/>
  <c r="BB51" i="4"/>
  <c r="AB52" i="4"/>
  <c r="AA53" i="4"/>
  <c r="E47" i="26" l="1"/>
  <c r="E51" i="26"/>
  <c r="F46" i="26" s="1"/>
  <c r="F41" i="26"/>
  <c r="D49" i="26"/>
  <c r="D77" i="26" s="1"/>
  <c r="D68" i="26"/>
  <c r="I37" i="4"/>
  <c r="H48" i="4"/>
  <c r="H55" i="4" s="1"/>
  <c r="H57" i="4" s="1"/>
  <c r="R23" i="4"/>
  <c r="E27" i="27"/>
  <c r="R34" i="4" s="1"/>
  <c r="S14" i="4"/>
  <c r="F33" i="27"/>
  <c r="S40" i="4" s="1"/>
  <c r="S17" i="4"/>
  <c r="F17" i="27"/>
  <c r="S24" i="4" s="1"/>
  <c r="F16" i="27"/>
  <c r="H6" i="27"/>
  <c r="G9" i="27"/>
  <c r="T16" i="4" s="1"/>
  <c r="T14" i="4" s="1"/>
  <c r="G10" i="27"/>
  <c r="AC52" i="4"/>
  <c r="AB53" i="4"/>
  <c r="BC51" i="4"/>
  <c r="I48" i="4" l="1"/>
  <c r="I55" i="4" s="1"/>
  <c r="I57" i="4" s="1"/>
  <c r="J37" i="4"/>
  <c r="F47" i="26"/>
  <c r="F51" i="26"/>
  <c r="G46" i="26" s="1"/>
  <c r="G41" i="26"/>
  <c r="E49" i="26"/>
  <c r="E77" i="26" s="1"/>
  <c r="E68" i="26"/>
  <c r="G33" i="27"/>
  <c r="T40" i="4" s="1"/>
  <c r="G17" i="27"/>
  <c r="T24" i="4" s="1"/>
  <c r="T17" i="4"/>
  <c r="G16" i="27"/>
  <c r="I6" i="27"/>
  <c r="H9" i="27"/>
  <c r="U16" i="4" s="1"/>
  <c r="U14" i="4" s="1"/>
  <c r="H10" i="27"/>
  <c r="F27" i="27"/>
  <c r="S34" i="4" s="1"/>
  <c r="S23" i="4"/>
  <c r="BD51" i="4"/>
  <c r="AD52" i="4"/>
  <c r="AC53" i="4"/>
  <c r="G47" i="26" l="1"/>
  <c r="G51" i="26"/>
  <c r="H46" i="26" s="1"/>
  <c r="H41" i="26"/>
  <c r="F49" i="26"/>
  <c r="F77" i="26" s="1"/>
  <c r="F68" i="26"/>
  <c r="K37" i="4"/>
  <c r="J48" i="4"/>
  <c r="J55" i="4" s="1"/>
  <c r="J57" i="4" s="1"/>
  <c r="J6" i="27"/>
  <c r="I10" i="27"/>
  <c r="I9" i="27"/>
  <c r="V16" i="4" s="1"/>
  <c r="V14" i="4" s="1"/>
  <c r="G27" i="27"/>
  <c r="T34" i="4" s="1"/>
  <c r="T23" i="4"/>
  <c r="H16" i="27"/>
  <c r="H33" i="27"/>
  <c r="U40" i="4" s="1"/>
  <c r="H17" i="27"/>
  <c r="U24" i="4" s="1"/>
  <c r="U17" i="4"/>
  <c r="AE52" i="4"/>
  <c r="AD53" i="4"/>
  <c r="BE51" i="4"/>
  <c r="K48" i="4" l="1"/>
  <c r="K55" i="4" s="1"/>
  <c r="K57" i="4" s="1"/>
  <c r="L37" i="4"/>
  <c r="H51" i="26"/>
  <c r="I46" i="26" s="1"/>
  <c r="H47" i="26"/>
  <c r="I41" i="26"/>
  <c r="G49" i="26"/>
  <c r="G77" i="26" s="1"/>
  <c r="G68" i="26"/>
  <c r="E10" i="9"/>
  <c r="U23" i="4"/>
  <c r="H27" i="27"/>
  <c r="U34" i="4" s="1"/>
  <c r="I16" i="27"/>
  <c r="I17" i="27"/>
  <c r="V24" i="4" s="1"/>
  <c r="I33" i="27"/>
  <c r="V40" i="4" s="1"/>
  <c r="V17" i="4"/>
  <c r="K6" i="27"/>
  <c r="J10" i="27"/>
  <c r="J9" i="27"/>
  <c r="W16" i="4" s="1"/>
  <c r="BF51" i="4"/>
  <c r="AF52" i="4"/>
  <c r="AE53" i="4"/>
  <c r="L48" i="4" l="1"/>
  <c r="L55" i="4" s="1"/>
  <c r="L57" i="4" s="1"/>
  <c r="M37" i="4"/>
  <c r="I47" i="26"/>
  <c r="I51" i="26"/>
  <c r="J46" i="26" s="1"/>
  <c r="J41" i="26"/>
  <c r="H49" i="26"/>
  <c r="H77" i="26" s="1"/>
  <c r="H68" i="26"/>
  <c r="W14" i="4"/>
  <c r="L6" i="27"/>
  <c r="K10" i="27"/>
  <c r="K9" i="27"/>
  <c r="X16" i="4" s="1"/>
  <c r="X14" i="4" s="1"/>
  <c r="J33" i="27"/>
  <c r="W40" i="4" s="1"/>
  <c r="W17" i="4"/>
  <c r="J16" i="27"/>
  <c r="J17" i="27"/>
  <c r="W24" i="4" s="1"/>
  <c r="I27" i="27"/>
  <c r="V34" i="4" s="1"/>
  <c r="V23" i="4"/>
  <c r="AG52" i="4"/>
  <c r="AF53" i="4"/>
  <c r="BG51" i="4"/>
  <c r="J47" i="26" l="1"/>
  <c r="J51" i="26"/>
  <c r="K46" i="26" s="1"/>
  <c r="K41" i="26"/>
  <c r="I49" i="26"/>
  <c r="I77" i="26" s="1"/>
  <c r="I68" i="26"/>
  <c r="N37" i="4"/>
  <c r="M48" i="4"/>
  <c r="M55" i="4" s="1"/>
  <c r="M57" i="4" s="1"/>
  <c r="J27" i="27"/>
  <c r="W34" i="4" s="1"/>
  <c r="W23" i="4"/>
  <c r="K17" i="27"/>
  <c r="X24" i="4" s="1"/>
  <c r="X17" i="4"/>
  <c r="K16" i="27"/>
  <c r="K33" i="27"/>
  <c r="X40" i="4" s="1"/>
  <c r="L10" i="27"/>
  <c r="L9" i="27"/>
  <c r="Y16" i="4" s="1"/>
  <c r="Y14" i="4" s="1"/>
  <c r="M6" i="27"/>
  <c r="BH51" i="4"/>
  <c r="AH52" i="4"/>
  <c r="AG53" i="4"/>
  <c r="N48" i="4" l="1"/>
  <c r="N55" i="4" s="1"/>
  <c r="N57" i="4" s="1"/>
  <c r="O37" i="4"/>
  <c r="O48" i="4" s="1"/>
  <c r="O55" i="4" s="1"/>
  <c r="O57" i="4" s="1"/>
  <c r="I74" i="26"/>
  <c r="I72" i="26"/>
  <c r="I70" i="26"/>
  <c r="K47" i="26"/>
  <c r="K51" i="26"/>
  <c r="L46" i="26" s="1"/>
  <c r="L41" i="26"/>
  <c r="J49" i="26"/>
  <c r="J77" i="26" s="1"/>
  <c r="J68" i="26"/>
  <c r="X23" i="4"/>
  <c r="K27" i="27"/>
  <c r="X34" i="4" s="1"/>
  <c r="L17" i="27"/>
  <c r="Y24" i="4" s="1"/>
  <c r="L16" i="27"/>
  <c r="Y17" i="4"/>
  <c r="L33" i="27"/>
  <c r="Y40" i="4" s="1"/>
  <c r="M10" i="27"/>
  <c r="M9" i="27"/>
  <c r="Z16" i="4" s="1"/>
  <c r="Z14" i="4" s="1"/>
  <c r="N6" i="27"/>
  <c r="F33" i="9"/>
  <c r="AI52" i="4"/>
  <c r="AH53" i="4"/>
  <c r="BI51" i="4"/>
  <c r="J70" i="26" l="1"/>
  <c r="J74" i="26"/>
  <c r="J72" i="26"/>
  <c r="L51" i="26"/>
  <c r="M46" i="26" s="1"/>
  <c r="L47" i="26"/>
  <c r="M41" i="26"/>
  <c r="K49" i="26"/>
  <c r="K77" i="26" s="1"/>
  <c r="K68" i="26"/>
  <c r="N9" i="27"/>
  <c r="N10" i="27"/>
  <c r="O6" i="27"/>
  <c r="Z17" i="4"/>
  <c r="M16" i="27"/>
  <c r="M33" i="27"/>
  <c r="Z40" i="4" s="1"/>
  <c r="M17" i="27"/>
  <c r="Z24" i="4" s="1"/>
  <c r="L27" i="27"/>
  <c r="Y34" i="4" s="1"/>
  <c r="Y23" i="4"/>
  <c r="BJ51" i="4"/>
  <c r="AJ52" i="4"/>
  <c r="AI53" i="4"/>
  <c r="K74" i="26" l="1"/>
  <c r="K72" i="26"/>
  <c r="K70" i="26"/>
  <c r="M51" i="26"/>
  <c r="N46" i="26" s="1"/>
  <c r="M47" i="26"/>
  <c r="N41" i="26"/>
  <c r="L49" i="26"/>
  <c r="L77" i="26" s="1"/>
  <c r="L68" i="26"/>
  <c r="AA16" i="4"/>
  <c r="AA14" i="4" s="1"/>
  <c r="C9" i="29"/>
  <c r="Z23" i="4"/>
  <c r="M27" i="27"/>
  <c r="Z34" i="4" s="1"/>
  <c r="P6" i="27"/>
  <c r="O10" i="27"/>
  <c r="O9" i="27"/>
  <c r="AB16" i="4" s="1"/>
  <c r="AB14" i="4" s="1"/>
  <c r="N17" i="27"/>
  <c r="AA24" i="4" s="1"/>
  <c r="AA17" i="4"/>
  <c r="N33" i="27"/>
  <c r="AA40" i="4" s="1"/>
  <c r="N16" i="27"/>
  <c r="AK52" i="4"/>
  <c r="AJ53" i="4"/>
  <c r="BK51" i="4"/>
  <c r="L70" i="26" l="1"/>
  <c r="L74" i="26"/>
  <c r="L72" i="26"/>
  <c r="N51" i="26"/>
  <c r="O46" i="26" s="1"/>
  <c r="N47" i="26"/>
  <c r="O41" i="26"/>
  <c r="M49" i="26"/>
  <c r="M77" i="26" s="1"/>
  <c r="M68" i="26"/>
  <c r="O16" i="27"/>
  <c r="O17" i="27"/>
  <c r="AB17" i="4"/>
  <c r="O33" i="27"/>
  <c r="AA23" i="4"/>
  <c r="N27" i="27"/>
  <c r="AA34" i="4" s="1"/>
  <c r="Q6" i="27"/>
  <c r="P10" i="27"/>
  <c r="P9" i="27"/>
  <c r="AC16" i="4" s="1"/>
  <c r="AC14" i="4" s="1"/>
  <c r="BL51" i="4"/>
  <c r="AL52" i="4"/>
  <c r="AK53" i="4"/>
  <c r="M70" i="26" l="1"/>
  <c r="M72" i="26"/>
  <c r="M74" i="26"/>
  <c r="O51" i="26"/>
  <c r="P46" i="26" s="1"/>
  <c r="O47" i="26"/>
  <c r="P41" i="26"/>
  <c r="N49" i="26"/>
  <c r="N77" i="26" s="1"/>
  <c r="N68" i="26"/>
  <c r="AB40" i="4"/>
  <c r="AB24" i="4"/>
  <c r="R6" i="27"/>
  <c r="Q10" i="27"/>
  <c r="Q9" i="27"/>
  <c r="AD16" i="4" s="1"/>
  <c r="AD14" i="4" s="1"/>
  <c r="P16" i="27"/>
  <c r="AC17" i="4"/>
  <c r="P33" i="27"/>
  <c r="AC40" i="4" s="1"/>
  <c r="P17" i="27"/>
  <c r="AC24" i="4" s="1"/>
  <c r="O27" i="27"/>
  <c r="AB23" i="4"/>
  <c r="AM52" i="4"/>
  <c r="AL53" i="4"/>
  <c r="BM51" i="4"/>
  <c r="N74" i="26" l="1"/>
  <c r="N70" i="26"/>
  <c r="N72" i="26"/>
  <c r="P47" i="26"/>
  <c r="P51" i="26"/>
  <c r="Q46" i="26" s="1"/>
  <c r="Q41" i="26"/>
  <c r="O49" i="26"/>
  <c r="O77" i="26" s="1"/>
  <c r="O68" i="26"/>
  <c r="AB34" i="4"/>
  <c r="P27" i="27"/>
  <c r="AC34" i="4" s="1"/>
  <c r="AC23" i="4"/>
  <c r="Q16" i="27"/>
  <c r="Q17" i="27"/>
  <c r="AD17" i="4"/>
  <c r="Q33" i="27"/>
  <c r="S6" i="27"/>
  <c r="R9" i="27"/>
  <c r="AE16" i="4" s="1"/>
  <c r="AE14" i="4" s="1"/>
  <c r="R10" i="27"/>
  <c r="BN51" i="4"/>
  <c r="AN52" i="4"/>
  <c r="AM53" i="4"/>
  <c r="O74" i="26" l="1"/>
  <c r="O72" i="26"/>
  <c r="O70" i="26"/>
  <c r="Q47" i="26"/>
  <c r="Q51" i="26"/>
  <c r="R46" i="26" s="1"/>
  <c r="R41" i="26"/>
  <c r="P49" i="26"/>
  <c r="P77" i="26" s="1"/>
  <c r="P68" i="26"/>
  <c r="AD40" i="4"/>
  <c r="AD24" i="4"/>
  <c r="T6" i="27"/>
  <c r="S9" i="27"/>
  <c r="AF16" i="4" s="1"/>
  <c r="AF14" i="4" s="1"/>
  <c r="S10" i="27"/>
  <c r="AE17" i="4"/>
  <c r="R33" i="27"/>
  <c r="AE40" i="4" s="1"/>
  <c r="R16" i="27"/>
  <c r="R17" i="27"/>
  <c r="AE24" i="4" s="1"/>
  <c r="Q27" i="27"/>
  <c r="AD23" i="4"/>
  <c r="AN53" i="4"/>
  <c r="AO52" i="4"/>
  <c r="BO51" i="4"/>
  <c r="P70" i="26" l="1"/>
  <c r="P72" i="26"/>
  <c r="P74" i="26"/>
  <c r="R47" i="26"/>
  <c r="R51" i="26"/>
  <c r="S46" i="26" s="1"/>
  <c r="S41" i="26"/>
  <c r="Q49" i="26"/>
  <c r="Q77" i="26" s="1"/>
  <c r="Q68" i="26"/>
  <c r="AD34" i="4"/>
  <c r="AE23" i="4"/>
  <c r="R27" i="27"/>
  <c r="AE34" i="4" s="1"/>
  <c r="S17" i="27"/>
  <c r="AF17" i="4"/>
  <c r="S33" i="27"/>
  <c r="AF40" i="4" s="1"/>
  <c r="S16" i="27"/>
  <c r="U6" i="27"/>
  <c r="T9" i="27"/>
  <c r="AG16" i="4" s="1"/>
  <c r="AG14" i="4" s="1"/>
  <c r="T10" i="27"/>
  <c r="BP51" i="4"/>
  <c r="AP52" i="4"/>
  <c r="AO53" i="4"/>
  <c r="S47" i="26" l="1"/>
  <c r="S51" i="26"/>
  <c r="T46" i="26" s="1"/>
  <c r="T41" i="26"/>
  <c r="R49" i="26"/>
  <c r="R77" i="26" s="1"/>
  <c r="R68" i="26"/>
  <c r="Q72" i="26"/>
  <c r="Q74" i="26"/>
  <c r="Q70" i="26"/>
  <c r="AF24" i="4"/>
  <c r="V6" i="27"/>
  <c r="U10" i="27"/>
  <c r="U9" i="27"/>
  <c r="AH16" i="4" s="1"/>
  <c r="AH14" i="4" s="1"/>
  <c r="AF23" i="4"/>
  <c r="S27" i="27"/>
  <c r="T16" i="27"/>
  <c r="AG17" i="4"/>
  <c r="T33" i="27"/>
  <c r="AG40" i="4" s="1"/>
  <c r="T17" i="27"/>
  <c r="AG24" i="4" s="1"/>
  <c r="AQ52" i="4"/>
  <c r="AP53" i="4"/>
  <c r="BQ51" i="4"/>
  <c r="R74" i="26" l="1"/>
  <c r="R70" i="26"/>
  <c r="R72" i="26"/>
  <c r="T51" i="26"/>
  <c r="U46" i="26" s="1"/>
  <c r="T47" i="26"/>
  <c r="U41" i="26"/>
  <c r="S49" i="26"/>
  <c r="S77" i="26" s="1"/>
  <c r="S68" i="26"/>
  <c r="AF34" i="4"/>
  <c r="T27" i="27"/>
  <c r="AG34" i="4" s="1"/>
  <c r="AG23" i="4"/>
  <c r="U16" i="27"/>
  <c r="U17" i="27"/>
  <c r="U33" i="27"/>
  <c r="AH17" i="4"/>
  <c r="W6" i="27"/>
  <c r="V10" i="27"/>
  <c r="V9" i="27"/>
  <c r="AI16" i="4" s="1"/>
  <c r="BR51" i="4"/>
  <c r="AR52" i="4"/>
  <c r="AQ53" i="4"/>
  <c r="S74" i="26" l="1"/>
  <c r="S72" i="26"/>
  <c r="S70" i="26"/>
  <c r="U47" i="26"/>
  <c r="U51" i="26"/>
  <c r="V46" i="26" s="1"/>
  <c r="V41" i="26"/>
  <c r="T49" i="26"/>
  <c r="T77" i="26" s="1"/>
  <c r="T68" i="26"/>
  <c r="AH40" i="4"/>
  <c r="AH24" i="4"/>
  <c r="X6" i="27"/>
  <c r="W10" i="27"/>
  <c r="W9" i="27"/>
  <c r="AJ16" i="4" s="1"/>
  <c r="AJ14" i="4" s="1"/>
  <c r="AI14" i="4"/>
  <c r="V17" i="27"/>
  <c r="AI24" i="4" s="1"/>
  <c r="V16" i="27"/>
  <c r="V33" i="27"/>
  <c r="AI40" i="4" s="1"/>
  <c r="AI17" i="4"/>
  <c r="U27" i="27"/>
  <c r="AH23" i="4"/>
  <c r="AS52" i="4"/>
  <c r="AR53" i="4"/>
  <c r="BS51" i="4"/>
  <c r="V47" i="26" l="1"/>
  <c r="V51" i="26"/>
  <c r="W46" i="26" s="1"/>
  <c r="W41" i="26"/>
  <c r="T74" i="26"/>
  <c r="T72" i="26"/>
  <c r="T70" i="26"/>
  <c r="U49" i="26"/>
  <c r="U77" i="26" s="1"/>
  <c r="U68" i="26"/>
  <c r="AH34" i="4"/>
  <c r="V27" i="27"/>
  <c r="AI34" i="4" s="1"/>
  <c r="AI23" i="4"/>
  <c r="W17" i="27"/>
  <c r="W16" i="27"/>
  <c r="AJ17" i="4"/>
  <c r="W33" i="27"/>
  <c r="AJ40" i="4" s="1"/>
  <c r="Y6" i="27"/>
  <c r="X10" i="27"/>
  <c r="X9" i="27"/>
  <c r="AK16" i="4" s="1"/>
  <c r="AK14" i="4" s="1"/>
  <c r="BT51" i="4"/>
  <c r="AT52" i="4"/>
  <c r="AS53" i="4"/>
  <c r="U70" i="26" l="1"/>
  <c r="U72" i="26"/>
  <c r="U74" i="26"/>
  <c r="W47" i="26"/>
  <c r="W51" i="26"/>
  <c r="X46" i="26" s="1"/>
  <c r="X41" i="26"/>
  <c r="V49" i="26"/>
  <c r="V77" i="26" s="1"/>
  <c r="V68" i="26"/>
  <c r="AJ24" i="4"/>
  <c r="W27" i="27"/>
  <c r="AJ23" i="4"/>
  <c r="X33" i="27"/>
  <c r="AK40" i="4" s="1"/>
  <c r="X16" i="27"/>
  <c r="AK17" i="4"/>
  <c r="X17" i="27"/>
  <c r="AK24" i="4" s="1"/>
  <c r="Z6" i="27"/>
  <c r="Y10" i="27"/>
  <c r="Y9" i="27"/>
  <c r="AL16" i="4" s="1"/>
  <c r="AL14" i="4" s="1"/>
  <c r="AU52" i="4"/>
  <c r="AT53" i="4"/>
  <c r="BU51" i="4"/>
  <c r="V72" i="26" l="1"/>
  <c r="V70" i="26"/>
  <c r="V74" i="26"/>
  <c r="X51" i="26"/>
  <c r="Y46" i="26" s="1"/>
  <c r="X47" i="26"/>
  <c r="Y41" i="26"/>
  <c r="W49" i="26"/>
  <c r="W77" i="26" s="1"/>
  <c r="W68" i="26"/>
  <c r="AJ34" i="4"/>
  <c r="AK23" i="4"/>
  <c r="X27" i="27"/>
  <c r="AK34" i="4" s="1"/>
  <c r="AA6" i="27"/>
  <c r="Z9" i="27"/>
  <c r="Z10" i="27"/>
  <c r="AL17" i="4"/>
  <c r="Y17" i="27"/>
  <c r="AL24" i="4" s="1"/>
  <c r="Y16" i="27"/>
  <c r="Y33" i="27"/>
  <c r="AL40" i="4" s="1"/>
  <c r="BV51" i="4"/>
  <c r="AV52" i="4"/>
  <c r="AU53" i="4"/>
  <c r="W72" i="26" l="1"/>
  <c r="W70" i="26"/>
  <c r="W74" i="26"/>
  <c r="Y51" i="26"/>
  <c r="Z46" i="26" s="1"/>
  <c r="Y47" i="26"/>
  <c r="Z41" i="26"/>
  <c r="X49" i="26"/>
  <c r="X77" i="26" s="1"/>
  <c r="X68" i="26"/>
  <c r="AM16" i="4"/>
  <c r="AM14" i="4" s="1"/>
  <c r="D9" i="29"/>
  <c r="Y27" i="27"/>
  <c r="AL34" i="4" s="1"/>
  <c r="AL23" i="4"/>
  <c r="Z17" i="27"/>
  <c r="AM24" i="4" s="1"/>
  <c r="Z16" i="27"/>
  <c r="AM17" i="4"/>
  <c r="Z33" i="27"/>
  <c r="AM40" i="4" s="1"/>
  <c r="AB6" i="27"/>
  <c r="AA10" i="27"/>
  <c r="AA9" i="27"/>
  <c r="AN16" i="4" s="1"/>
  <c r="AW52" i="4"/>
  <c r="AV53" i="4"/>
  <c r="BW51" i="4"/>
  <c r="X74" i="26" l="1"/>
  <c r="X72" i="26"/>
  <c r="X70" i="26"/>
  <c r="Z51" i="26"/>
  <c r="AA46" i="26" s="1"/>
  <c r="Z47" i="26"/>
  <c r="AA41" i="26"/>
  <c r="Y49" i="26"/>
  <c r="Y77" i="26" s="1"/>
  <c r="Y68" i="26"/>
  <c r="AC6" i="27"/>
  <c r="AB10" i="27"/>
  <c r="AB9" i="27"/>
  <c r="AO16" i="4" s="1"/>
  <c r="AO14" i="4" s="1"/>
  <c r="AA16" i="27"/>
  <c r="AA33" i="27"/>
  <c r="AA17" i="27"/>
  <c r="AN17" i="4"/>
  <c r="AN14" i="4"/>
  <c r="Z27" i="27"/>
  <c r="AM34" i="4" s="1"/>
  <c r="AM23" i="4"/>
  <c r="BX51" i="4"/>
  <c r="AX52" i="4"/>
  <c r="AW53" i="4"/>
  <c r="Y70" i="26" l="1"/>
  <c r="Y72" i="26"/>
  <c r="Y74" i="26"/>
  <c r="AA51" i="26"/>
  <c r="AB46" i="26" s="1"/>
  <c r="AA47" i="26"/>
  <c r="AB41" i="26"/>
  <c r="Z49" i="26"/>
  <c r="Z77" i="26" s="1"/>
  <c r="Z68" i="26"/>
  <c r="AN24" i="4"/>
  <c r="AN40" i="4"/>
  <c r="AA27" i="27"/>
  <c r="AN23" i="4"/>
  <c r="AB17" i="27"/>
  <c r="AO24" i="4" s="1"/>
  <c r="AO17" i="4"/>
  <c r="AB16" i="27"/>
  <c r="AB33" i="27"/>
  <c r="AO40" i="4" s="1"/>
  <c r="AD6" i="27"/>
  <c r="AC9" i="27"/>
  <c r="AP16" i="4" s="1"/>
  <c r="AP14" i="4" s="1"/>
  <c r="AC10" i="27"/>
  <c r="AY52" i="4"/>
  <c r="AX53" i="4"/>
  <c r="BY51" i="4"/>
  <c r="AB47" i="26" l="1"/>
  <c r="AB51" i="26"/>
  <c r="AC46" i="26" s="1"/>
  <c r="AC41" i="26"/>
  <c r="AA49" i="26"/>
  <c r="AA77" i="26" s="1"/>
  <c r="AA68" i="26"/>
  <c r="Z72" i="26"/>
  <c r="Z70" i="26"/>
  <c r="Z74" i="26"/>
  <c r="AN34" i="4"/>
  <c r="AC33" i="27"/>
  <c r="AP40" i="4" s="1"/>
  <c r="AC16" i="27"/>
  <c r="AP17" i="4"/>
  <c r="AC17" i="27"/>
  <c r="AE6" i="27"/>
  <c r="AD10" i="27"/>
  <c r="AD9" i="27"/>
  <c r="AQ16" i="4" s="1"/>
  <c r="AQ14" i="4" s="1"/>
  <c r="AO23" i="4"/>
  <c r="AB27" i="27"/>
  <c r="AO34" i="4" s="1"/>
  <c r="BZ51" i="4"/>
  <c r="AZ52" i="4"/>
  <c r="AY53" i="4"/>
  <c r="AA74" i="26" l="1"/>
  <c r="AA72" i="26"/>
  <c r="AA70" i="26"/>
  <c r="AC47" i="26"/>
  <c r="AC51" i="26"/>
  <c r="AD46" i="26" s="1"/>
  <c r="AD41" i="26"/>
  <c r="AB49" i="26"/>
  <c r="AB77" i="26" s="1"/>
  <c r="AB68" i="26"/>
  <c r="AP24" i="4"/>
  <c r="AQ17" i="4"/>
  <c r="AD16" i="27"/>
  <c r="AD17" i="27"/>
  <c r="AQ24" i="4" s="1"/>
  <c r="AD33" i="27"/>
  <c r="AQ40" i="4" s="1"/>
  <c r="AF6" i="27"/>
  <c r="AE9" i="27"/>
  <c r="AR16" i="4" s="1"/>
  <c r="AR14" i="4" s="1"/>
  <c r="AE10" i="27"/>
  <c r="AP23" i="4"/>
  <c r="AC27" i="27"/>
  <c r="BA52" i="4"/>
  <c r="AZ53" i="4"/>
  <c r="CA51" i="4"/>
  <c r="AB70" i="26" l="1"/>
  <c r="AB72" i="26"/>
  <c r="AB74" i="26"/>
  <c r="AD47" i="26"/>
  <c r="AD51" i="26"/>
  <c r="AE46" i="26" s="1"/>
  <c r="AE41" i="26"/>
  <c r="AC49" i="26"/>
  <c r="AC77" i="26" s="1"/>
  <c r="AC68" i="26"/>
  <c r="AP34" i="4"/>
  <c r="AE17" i="27"/>
  <c r="AE33" i="27"/>
  <c r="AR17" i="4"/>
  <c r="AE16" i="27"/>
  <c r="AG6" i="27"/>
  <c r="AF9" i="27"/>
  <c r="AS16" i="4" s="1"/>
  <c r="AS14" i="4" s="1"/>
  <c r="AF10" i="27"/>
  <c r="AD27" i="27"/>
  <c r="AQ34" i="4" s="1"/>
  <c r="AQ23" i="4"/>
  <c r="BB52" i="4"/>
  <c r="BA53" i="4"/>
  <c r="AE47" i="26" l="1"/>
  <c r="AE51" i="26"/>
  <c r="AF46" i="26" s="1"/>
  <c r="AF41" i="26"/>
  <c r="AC72" i="26"/>
  <c r="AC74" i="26"/>
  <c r="AC70" i="26"/>
  <c r="AD49" i="26"/>
  <c r="AD77" i="26" s="1"/>
  <c r="AD68" i="26"/>
  <c r="AR40" i="4"/>
  <c r="AR24" i="4"/>
  <c r="AH6" i="27"/>
  <c r="AG10" i="27"/>
  <c r="AG9" i="27"/>
  <c r="AT16" i="4" s="1"/>
  <c r="AT14" i="4" s="1"/>
  <c r="AF33" i="27"/>
  <c r="AS40" i="4" s="1"/>
  <c r="AF17" i="27"/>
  <c r="AS24" i="4" s="1"/>
  <c r="AF16" i="27"/>
  <c r="AS17" i="4"/>
  <c r="AR23" i="4"/>
  <c r="AE27" i="27"/>
  <c r="AR34" i="4" s="1"/>
  <c r="BC52" i="4"/>
  <c r="BB53" i="4"/>
  <c r="AD74" i="26" l="1"/>
  <c r="AD70" i="26"/>
  <c r="AD72" i="26"/>
  <c r="AF51" i="26"/>
  <c r="AG46" i="26" s="1"/>
  <c r="AF47" i="26"/>
  <c r="AG41" i="26"/>
  <c r="AE49" i="26"/>
  <c r="AE77" i="26" s="1"/>
  <c r="AE68" i="26"/>
  <c r="AS23" i="4"/>
  <c r="AF27" i="27"/>
  <c r="AS34" i="4" s="1"/>
  <c r="AG16" i="27"/>
  <c r="AG17" i="27"/>
  <c r="AT24" i="4" s="1"/>
  <c r="AT17" i="4"/>
  <c r="AG33" i="27"/>
  <c r="AI6" i="27"/>
  <c r="AH10" i="27"/>
  <c r="AH9" i="27"/>
  <c r="AU16" i="4" s="1"/>
  <c r="BD52" i="4"/>
  <c r="BC53" i="4"/>
  <c r="AG47" i="26" l="1"/>
  <c r="AG51" i="26"/>
  <c r="AH46" i="26" s="1"/>
  <c r="AH41" i="26"/>
  <c r="AF49" i="26"/>
  <c r="AF77" i="26" s="1"/>
  <c r="AF68" i="26"/>
  <c r="AE72" i="26"/>
  <c r="AE70" i="26"/>
  <c r="AE74" i="26"/>
  <c r="AT40" i="4"/>
  <c r="AJ6" i="27"/>
  <c r="AI10" i="27"/>
  <c r="AI9" i="27"/>
  <c r="AV16" i="4" s="1"/>
  <c r="AV14" i="4" s="1"/>
  <c r="AH16" i="27"/>
  <c r="AH17" i="27"/>
  <c r="AU24" i="4" s="1"/>
  <c r="AH33" i="27"/>
  <c r="AU40" i="4" s="1"/>
  <c r="AU17" i="4"/>
  <c r="AT23" i="4"/>
  <c r="AG27" i="27"/>
  <c r="AT34" i="4" s="1"/>
  <c r="AU14" i="4"/>
  <c r="BE52" i="4"/>
  <c r="BD53" i="4"/>
  <c r="AF70" i="26" l="1"/>
  <c r="AF72" i="26"/>
  <c r="AF74" i="26"/>
  <c r="AH47" i="26"/>
  <c r="AH51" i="26"/>
  <c r="AI46" i="26" s="1"/>
  <c r="AI41" i="26"/>
  <c r="AG49" i="26"/>
  <c r="AG77" i="26" s="1"/>
  <c r="AG68" i="26"/>
  <c r="AI17" i="27"/>
  <c r="AV24" i="4" s="1"/>
  <c r="AV17" i="4"/>
  <c r="AI33" i="27"/>
  <c r="AV40" i="4" s="1"/>
  <c r="AI16" i="27"/>
  <c r="AU23" i="4"/>
  <c r="AH27" i="27"/>
  <c r="AU34" i="4" s="1"/>
  <c r="AK6" i="27"/>
  <c r="AJ10" i="27"/>
  <c r="AJ9" i="27"/>
  <c r="AW16" i="4" s="1"/>
  <c r="AW14" i="4" s="1"/>
  <c r="BF52" i="4"/>
  <c r="BE53" i="4"/>
  <c r="AH49" i="26" l="1"/>
  <c r="AH77" i="26" s="1"/>
  <c r="AH68" i="26"/>
  <c r="AG70" i="26"/>
  <c r="AG72" i="26"/>
  <c r="AG74" i="26"/>
  <c r="AI47" i="26"/>
  <c r="AI51" i="26"/>
  <c r="AJ46" i="26" s="1"/>
  <c r="AJ41" i="26"/>
  <c r="AJ33" i="27"/>
  <c r="AW40" i="4" s="1"/>
  <c r="AJ16" i="27"/>
  <c r="AJ17" i="27"/>
  <c r="AW24" i="4" s="1"/>
  <c r="AW17" i="4"/>
  <c r="AI27" i="27"/>
  <c r="AV34" i="4" s="1"/>
  <c r="AV23" i="4"/>
  <c r="AL6" i="27"/>
  <c r="AK10" i="27"/>
  <c r="AK9" i="27"/>
  <c r="AX16" i="4" s="1"/>
  <c r="AX14" i="4" s="1"/>
  <c r="BG52" i="4"/>
  <c r="BF53" i="4"/>
  <c r="AJ51" i="26" l="1"/>
  <c r="AK46" i="26" s="1"/>
  <c r="AJ47" i="26"/>
  <c r="AK41" i="26"/>
  <c r="AI49" i="26"/>
  <c r="AI77" i="26" s="1"/>
  <c r="AI68" i="26"/>
  <c r="AH74" i="26"/>
  <c r="AH70" i="26"/>
  <c r="AH72" i="26"/>
  <c r="AM6" i="27"/>
  <c r="AL9" i="27"/>
  <c r="AL10" i="27"/>
  <c r="AJ27" i="27"/>
  <c r="AW34" i="4" s="1"/>
  <c r="AW23" i="4"/>
  <c r="AX17" i="4"/>
  <c r="AK16" i="27"/>
  <c r="AK33" i="27"/>
  <c r="AX40" i="4" s="1"/>
  <c r="AK17" i="27"/>
  <c r="AX24" i="4" s="1"/>
  <c r="BH52" i="4"/>
  <c r="BG53" i="4"/>
  <c r="AI74" i="26" l="1"/>
  <c r="AI72" i="26"/>
  <c r="AI70" i="26"/>
  <c r="AK51" i="26"/>
  <c r="AL46" i="26" s="1"/>
  <c r="AK47" i="26"/>
  <c r="AL41" i="26"/>
  <c r="AJ49" i="26"/>
  <c r="AJ77" i="26" s="1"/>
  <c r="AJ68" i="26"/>
  <c r="AY16" i="4"/>
  <c r="AY14" i="4" s="1"/>
  <c r="E9" i="29"/>
  <c r="AX23" i="4"/>
  <c r="AK27" i="27"/>
  <c r="AX34" i="4" s="1"/>
  <c r="AL17" i="27"/>
  <c r="AY24" i="4" s="1"/>
  <c r="AY17" i="4"/>
  <c r="AL33" i="27"/>
  <c r="AY40" i="4" s="1"/>
  <c r="AL16" i="27"/>
  <c r="AN6" i="27"/>
  <c r="AM10" i="27"/>
  <c r="AM9" i="27"/>
  <c r="AZ16" i="4" s="1"/>
  <c r="AZ14" i="4" s="1"/>
  <c r="BI52" i="4"/>
  <c r="BH53" i="4"/>
  <c r="AJ72" i="26" l="1"/>
  <c r="AJ74" i="26"/>
  <c r="AJ70" i="26"/>
  <c r="AL51" i="26"/>
  <c r="AM46" i="26" s="1"/>
  <c r="AL47" i="26"/>
  <c r="AM41" i="26"/>
  <c r="AK49" i="26"/>
  <c r="AK77" i="26" s="1"/>
  <c r="AK68" i="26"/>
  <c r="AM16" i="27"/>
  <c r="AM33" i="27"/>
  <c r="AM17" i="27"/>
  <c r="AZ17" i="4"/>
  <c r="AL27" i="27"/>
  <c r="AY34" i="4" s="1"/>
  <c r="AY23" i="4"/>
  <c r="AO6" i="27"/>
  <c r="AN10" i="27"/>
  <c r="AN9" i="27"/>
  <c r="BA16" i="4" s="1"/>
  <c r="BA14" i="4" s="1"/>
  <c r="BJ52" i="4"/>
  <c r="BI53" i="4"/>
  <c r="AK70" i="26" l="1"/>
  <c r="AK74" i="26"/>
  <c r="AK72" i="26"/>
  <c r="AM51" i="26"/>
  <c r="AN46" i="26" s="1"/>
  <c r="AM47" i="26"/>
  <c r="AN41" i="26"/>
  <c r="AL49" i="26"/>
  <c r="AL77" i="26" s="1"/>
  <c r="AL68" i="26"/>
  <c r="AZ24" i="4"/>
  <c r="AZ40" i="4"/>
  <c r="AP6" i="27"/>
  <c r="AO10" i="27"/>
  <c r="AO9" i="27"/>
  <c r="BB16" i="4" s="1"/>
  <c r="BB14" i="4" s="1"/>
  <c r="AM27" i="27"/>
  <c r="AZ23" i="4"/>
  <c r="AN16" i="27"/>
  <c r="BA17" i="4"/>
  <c r="AN17" i="27"/>
  <c r="BA24" i="4" s="1"/>
  <c r="AN33" i="27"/>
  <c r="BA40" i="4" s="1"/>
  <c r="BK52" i="4"/>
  <c r="BJ53" i="4"/>
  <c r="AL70" i="26" l="1"/>
  <c r="AL74" i="26"/>
  <c r="AL72" i="26"/>
  <c r="AN47" i="26"/>
  <c r="AN51" i="26"/>
  <c r="AO46" i="26" s="1"/>
  <c r="AO41" i="26"/>
  <c r="AM49" i="26"/>
  <c r="AM77" i="26" s="1"/>
  <c r="AM68" i="26"/>
  <c r="AZ34" i="4"/>
  <c r="AN27" i="27"/>
  <c r="BA34" i="4" s="1"/>
  <c r="BA23" i="4"/>
  <c r="BB17" i="4"/>
  <c r="AO33" i="27"/>
  <c r="AO16" i="27"/>
  <c r="AO17" i="27"/>
  <c r="BB24" i="4" s="1"/>
  <c r="AQ6" i="27"/>
  <c r="AP9" i="27"/>
  <c r="BC16" i="4" s="1"/>
  <c r="BC14" i="4" s="1"/>
  <c r="AP10" i="27"/>
  <c r="BL52" i="4"/>
  <c r="BK53" i="4"/>
  <c r="AO47" i="26" l="1"/>
  <c r="AO51" i="26"/>
  <c r="AP46" i="26" s="1"/>
  <c r="AP41" i="26"/>
  <c r="AN49" i="26"/>
  <c r="AN77" i="26" s="1"/>
  <c r="AN68" i="26"/>
  <c r="AM74" i="26"/>
  <c r="AM72" i="26"/>
  <c r="AM70" i="26"/>
  <c r="BB40" i="4"/>
  <c r="AP17" i="27"/>
  <c r="AP16" i="27"/>
  <c r="AP33" i="27"/>
  <c r="BC40" i="4" s="1"/>
  <c r="BC17" i="4"/>
  <c r="AR6" i="27"/>
  <c r="AQ10" i="27"/>
  <c r="AQ9" i="27"/>
  <c r="BD16" i="4" s="1"/>
  <c r="BD14" i="4" s="1"/>
  <c r="BB23" i="4"/>
  <c r="AO27" i="27"/>
  <c r="BM52" i="4"/>
  <c r="BL53" i="4"/>
  <c r="AN72" i="26" l="1"/>
  <c r="AN74" i="26"/>
  <c r="AN70" i="26"/>
  <c r="AP47" i="26"/>
  <c r="AP51" i="26"/>
  <c r="AQ46" i="26" s="1"/>
  <c r="AQ41" i="26"/>
  <c r="AO49" i="26"/>
  <c r="AO77" i="26" s="1"/>
  <c r="AO68" i="26"/>
  <c r="BC24" i="4"/>
  <c r="BB34" i="4"/>
  <c r="AQ33" i="27"/>
  <c r="AQ16" i="27"/>
  <c r="AQ17" i="27"/>
  <c r="BD24" i="4" s="1"/>
  <c r="BD17" i="4"/>
  <c r="AS6" i="27"/>
  <c r="AR9" i="27"/>
  <c r="BE16" i="4" s="1"/>
  <c r="BE14" i="4" s="1"/>
  <c r="AR10" i="27"/>
  <c r="BC23" i="4"/>
  <c r="AP27" i="27"/>
  <c r="BC34" i="4" s="1"/>
  <c r="BN52" i="4"/>
  <c r="BM53" i="4"/>
  <c r="AQ47" i="26" l="1"/>
  <c r="AQ51" i="26"/>
  <c r="AR46" i="26" s="1"/>
  <c r="AR41" i="26"/>
  <c r="AP49" i="26"/>
  <c r="AP77" i="26" s="1"/>
  <c r="AP68" i="26"/>
  <c r="AO72" i="26"/>
  <c r="AO70" i="26"/>
  <c r="AO74" i="26"/>
  <c r="BD40" i="4"/>
  <c r="AT6" i="27"/>
  <c r="AS10" i="27"/>
  <c r="AS9" i="27"/>
  <c r="BF16" i="4" s="1"/>
  <c r="BF14" i="4" s="1"/>
  <c r="BD23" i="4"/>
  <c r="AQ27" i="27"/>
  <c r="AR17" i="27"/>
  <c r="BE24" i="4" s="1"/>
  <c r="BE17" i="4"/>
  <c r="AR16" i="27"/>
  <c r="AR33" i="27"/>
  <c r="BE40" i="4" s="1"/>
  <c r="BO52" i="4"/>
  <c r="BN53" i="4"/>
  <c r="AP72" i="26" l="1"/>
  <c r="AP70" i="26"/>
  <c r="AP74" i="26"/>
  <c r="AR51" i="26"/>
  <c r="AS46" i="26" s="1"/>
  <c r="AR47" i="26"/>
  <c r="AS41" i="26"/>
  <c r="AQ49" i="26"/>
  <c r="AQ77" i="26" s="1"/>
  <c r="AQ68" i="26"/>
  <c r="BD34" i="4"/>
  <c r="AR27" i="27"/>
  <c r="BE34" i="4" s="1"/>
  <c r="BE23" i="4"/>
  <c r="AS16" i="27"/>
  <c r="AS17" i="27"/>
  <c r="AS33" i="27"/>
  <c r="BF17" i="4"/>
  <c r="AU6" i="27"/>
  <c r="AT10" i="27"/>
  <c r="AT9" i="27"/>
  <c r="BG16" i="4" s="1"/>
  <c r="BP52" i="4"/>
  <c r="BO53" i="4"/>
  <c r="AQ74" i="26" l="1"/>
  <c r="AQ70" i="26"/>
  <c r="AQ72" i="26"/>
  <c r="AS47" i="26"/>
  <c r="AS51" i="26"/>
  <c r="AT46" i="26" s="1"/>
  <c r="AT41" i="26"/>
  <c r="AR49" i="26"/>
  <c r="AR77" i="26" s="1"/>
  <c r="AR68" i="26"/>
  <c r="BF40" i="4"/>
  <c r="BF24" i="4"/>
  <c r="AT33" i="27"/>
  <c r="BG40" i="4" s="1"/>
  <c r="BG17" i="4"/>
  <c r="AT16" i="27"/>
  <c r="AT17" i="27"/>
  <c r="BG24" i="4" s="1"/>
  <c r="BF23" i="4"/>
  <c r="AS27" i="27"/>
  <c r="AV6" i="27"/>
  <c r="AU10" i="27"/>
  <c r="AU9" i="27"/>
  <c r="BH16" i="4" s="1"/>
  <c r="BH14" i="4" s="1"/>
  <c r="BG14" i="4"/>
  <c r="BQ52" i="4"/>
  <c r="BP53" i="4"/>
  <c r="AT47" i="26" l="1"/>
  <c r="AT51" i="26"/>
  <c r="AU46" i="26" s="1"/>
  <c r="AU41" i="26"/>
  <c r="AR72" i="26"/>
  <c r="AR74" i="26"/>
  <c r="AR70" i="26"/>
  <c r="AS49" i="26"/>
  <c r="AS77" i="26" s="1"/>
  <c r="AS68" i="26"/>
  <c r="BF34" i="4"/>
  <c r="AU16" i="27"/>
  <c r="AU17" i="27"/>
  <c r="BH24" i="4" s="1"/>
  <c r="AU33" i="27"/>
  <c r="BH40" i="4" s="1"/>
  <c r="BH17" i="4"/>
  <c r="AT27" i="27"/>
  <c r="BG34" i="4" s="1"/>
  <c r="BG23" i="4"/>
  <c r="D23" i="16"/>
  <c r="E23" i="16" s="1"/>
  <c r="D22" i="16"/>
  <c r="AW6" i="27"/>
  <c r="AV10" i="27"/>
  <c r="AV9" i="27"/>
  <c r="BI16" i="4" s="1"/>
  <c r="BI14" i="4" s="1"/>
  <c r="BR52" i="4"/>
  <c r="BQ53" i="4"/>
  <c r="AU47" i="26" l="1"/>
  <c r="AU51" i="26"/>
  <c r="AV46" i="26" s="1"/>
  <c r="AV41" i="26"/>
  <c r="AS70" i="26"/>
  <c r="AS74" i="26"/>
  <c r="AS72" i="26"/>
  <c r="AT49" i="26"/>
  <c r="AT77" i="26" s="1"/>
  <c r="AT68" i="26"/>
  <c r="E22" i="16"/>
  <c r="D36" i="16"/>
  <c r="E36" i="16" s="1"/>
  <c r="AU27" i="27"/>
  <c r="BH23" i="4"/>
  <c r="AX6" i="27"/>
  <c r="AW10" i="27"/>
  <c r="AW9" i="27"/>
  <c r="BJ16" i="4" s="1"/>
  <c r="BJ14" i="4" s="1"/>
  <c r="AV16" i="27"/>
  <c r="AV33" i="27"/>
  <c r="BI40" i="4" s="1"/>
  <c r="AV17" i="27"/>
  <c r="BI24" i="4" s="1"/>
  <c r="BI17" i="4"/>
  <c r="BS52" i="4"/>
  <c r="BR53" i="4"/>
  <c r="AT74" i="26" l="1"/>
  <c r="AT72" i="26"/>
  <c r="AT70" i="26"/>
  <c r="AV51" i="26"/>
  <c r="AW46" i="26" s="1"/>
  <c r="AV47" i="26"/>
  <c r="AW41" i="26"/>
  <c r="AU49" i="26"/>
  <c r="AU77" i="26" s="1"/>
  <c r="AU68" i="26"/>
  <c r="BH34" i="4"/>
  <c r="AW33" i="27"/>
  <c r="BJ40" i="4" s="1"/>
  <c r="BJ17" i="4"/>
  <c r="AW16" i="27"/>
  <c r="AW17" i="27"/>
  <c r="BJ24" i="4" s="1"/>
  <c r="BI23" i="4"/>
  <c r="AV27" i="27"/>
  <c r="BI34" i="4" s="1"/>
  <c r="AY6" i="27"/>
  <c r="AX9" i="27"/>
  <c r="AX10" i="27"/>
  <c r="BT52" i="4"/>
  <c r="BS53" i="4"/>
  <c r="AW51" i="26" l="1"/>
  <c r="AX46" i="26" s="1"/>
  <c r="AW47" i="26"/>
  <c r="AX41" i="26"/>
  <c r="AU72" i="26"/>
  <c r="AU70" i="26"/>
  <c r="AU74" i="26"/>
  <c r="AV49" i="26"/>
  <c r="AV77" i="26" s="1"/>
  <c r="AV68" i="26"/>
  <c r="BK16" i="4"/>
  <c r="BK14" i="4" s="1"/>
  <c r="F9" i="29"/>
  <c r="AZ6" i="27"/>
  <c r="AY10" i="27"/>
  <c r="AY9" i="27"/>
  <c r="BL16" i="4" s="1"/>
  <c r="AX17" i="27"/>
  <c r="BK24" i="4" s="1"/>
  <c r="BK17" i="4"/>
  <c r="AX33" i="27"/>
  <c r="BK40" i="4" s="1"/>
  <c r="AX16" i="27"/>
  <c r="AW27" i="27"/>
  <c r="BJ34" i="4" s="1"/>
  <c r="BJ23" i="4"/>
  <c r="BU52" i="4"/>
  <c r="BT53" i="4"/>
  <c r="AV72" i="26" l="1"/>
  <c r="AV70" i="26"/>
  <c r="AV74" i="26"/>
  <c r="AX51" i="26"/>
  <c r="AY46" i="26" s="1"/>
  <c r="AX47" i="26"/>
  <c r="AY41" i="26"/>
  <c r="AW49" i="26"/>
  <c r="AW77" i="26" s="1"/>
  <c r="AW68" i="26"/>
  <c r="BK23" i="4"/>
  <c r="AX27" i="27"/>
  <c r="BK34" i="4" s="1"/>
  <c r="BL14" i="4"/>
  <c r="AY17" i="27"/>
  <c r="AY16" i="27"/>
  <c r="AY33" i="27"/>
  <c r="BL17" i="4"/>
  <c r="BA6" i="27"/>
  <c r="AZ10" i="27"/>
  <c r="AZ9" i="27"/>
  <c r="BM16" i="4" s="1"/>
  <c r="BM14" i="4" s="1"/>
  <c r="BV52" i="4"/>
  <c r="BU53" i="4"/>
  <c r="AY51" i="26" l="1"/>
  <c r="AZ46" i="26" s="1"/>
  <c r="AY47" i="26"/>
  <c r="AZ41" i="26"/>
  <c r="AW72" i="26"/>
  <c r="AW74" i="26"/>
  <c r="AW70" i="26"/>
  <c r="AX49" i="26"/>
  <c r="AX77" i="26" s="1"/>
  <c r="AX68" i="26"/>
  <c r="BL24" i="4"/>
  <c r="BL40" i="4"/>
  <c r="BB6" i="27"/>
  <c r="BA9" i="27"/>
  <c r="BN16" i="4" s="1"/>
  <c r="BN14" i="4" s="1"/>
  <c r="BA10" i="27"/>
  <c r="BL23" i="4"/>
  <c r="AY27" i="27"/>
  <c r="AZ16" i="27"/>
  <c r="BM17" i="4"/>
  <c r="AZ33" i="27"/>
  <c r="BM40" i="4" s="1"/>
  <c r="AZ17" i="27"/>
  <c r="BM24" i="4" s="1"/>
  <c r="BW52" i="4"/>
  <c r="BV53" i="4"/>
  <c r="AX72" i="26" l="1"/>
  <c r="AX74" i="26"/>
  <c r="AX70" i="26"/>
  <c r="AZ47" i="26"/>
  <c r="AZ51" i="26"/>
  <c r="BA46" i="26" s="1"/>
  <c r="BA41" i="26"/>
  <c r="AY49" i="26"/>
  <c r="AY77" i="26" s="1"/>
  <c r="AY68" i="26"/>
  <c r="BL34" i="4"/>
  <c r="AZ27" i="27"/>
  <c r="BM34" i="4" s="1"/>
  <c r="BM23" i="4"/>
  <c r="BA17" i="27"/>
  <c r="BN24" i="4" s="1"/>
  <c r="BN17" i="4"/>
  <c r="BA33" i="27"/>
  <c r="BN40" i="4" s="1"/>
  <c r="BA16" i="27"/>
  <c r="BC6" i="27"/>
  <c r="BB9" i="27"/>
  <c r="BO16" i="4" s="1"/>
  <c r="BO14" i="4" s="1"/>
  <c r="BB10" i="27"/>
  <c r="BX52" i="4"/>
  <c r="BW53" i="4"/>
  <c r="AY72" i="26" l="1"/>
  <c r="AY74" i="26"/>
  <c r="AY70" i="26"/>
  <c r="BA47" i="26"/>
  <c r="BA51" i="26"/>
  <c r="BB46" i="26" s="1"/>
  <c r="BB41" i="26"/>
  <c r="AZ49" i="26"/>
  <c r="AZ77" i="26" s="1"/>
  <c r="AZ68" i="26"/>
  <c r="BD6" i="27"/>
  <c r="BC9" i="27"/>
  <c r="BP16" i="4" s="1"/>
  <c r="BP14" i="4" s="1"/>
  <c r="BC10" i="27"/>
  <c r="BB33" i="27"/>
  <c r="BO17" i="4"/>
  <c r="BB16" i="27"/>
  <c r="BB17" i="27"/>
  <c r="BO24" i="4" s="1"/>
  <c r="BN23" i="4"/>
  <c r="BA27" i="27"/>
  <c r="BN34" i="4" s="1"/>
  <c r="BY52" i="4"/>
  <c r="BX53" i="4"/>
  <c r="AZ72" i="26" l="1"/>
  <c r="AZ70" i="26"/>
  <c r="AZ74" i="26"/>
  <c r="BB47" i="26"/>
  <c r="BB51" i="26"/>
  <c r="BC46" i="26" s="1"/>
  <c r="BC41" i="26"/>
  <c r="BA49" i="26"/>
  <c r="BA77" i="26" s="1"/>
  <c r="BA68" i="26"/>
  <c r="BO40" i="4"/>
  <c r="BB27" i="27"/>
  <c r="BO23" i="4"/>
  <c r="BC16" i="27"/>
  <c r="BC33" i="27"/>
  <c r="BP40" i="4" s="1"/>
  <c r="BC17" i="27"/>
  <c r="BP24" i="4" s="1"/>
  <c r="BP17" i="4"/>
  <c r="BE6" i="27"/>
  <c r="BD9" i="27"/>
  <c r="BQ16" i="4" s="1"/>
  <c r="BQ14" i="4" s="1"/>
  <c r="BD10" i="27"/>
  <c r="BZ52" i="4"/>
  <c r="BY53" i="4"/>
  <c r="BC47" i="26" l="1"/>
  <c r="BC51" i="26"/>
  <c r="BD46" i="26" s="1"/>
  <c r="BD41" i="26"/>
  <c r="BB49" i="26"/>
  <c r="BB77" i="26" s="1"/>
  <c r="BB68" i="26"/>
  <c r="BA70" i="26"/>
  <c r="BA72" i="26"/>
  <c r="BA74" i="26"/>
  <c r="BO34" i="4"/>
  <c r="BD16" i="27"/>
  <c r="BQ17" i="4"/>
  <c r="BD17" i="27"/>
  <c r="BQ24" i="4" s="1"/>
  <c r="BD33" i="27"/>
  <c r="BQ40" i="4" s="1"/>
  <c r="BF6" i="27"/>
  <c r="BE10" i="27"/>
  <c r="BE9" i="27"/>
  <c r="BR16" i="4" s="1"/>
  <c r="BR14" i="4" s="1"/>
  <c r="BP23" i="4"/>
  <c r="BC27" i="27"/>
  <c r="BP34" i="4" s="1"/>
  <c r="CA52" i="4"/>
  <c r="BZ53" i="4"/>
  <c r="BD51" i="26" l="1"/>
  <c r="BE46" i="26" s="1"/>
  <c r="BD47" i="26"/>
  <c r="BE41" i="26"/>
  <c r="BB74" i="26"/>
  <c r="BB72" i="26"/>
  <c r="BB70" i="26"/>
  <c r="BC49" i="26"/>
  <c r="BC77" i="26" s="1"/>
  <c r="BC68" i="26"/>
  <c r="BE16" i="27"/>
  <c r="BE17" i="27"/>
  <c r="BR24" i="4" s="1"/>
  <c r="BR17" i="4"/>
  <c r="BE33" i="27"/>
  <c r="BG6" i="27"/>
  <c r="BF10" i="27"/>
  <c r="BF9" i="27"/>
  <c r="BS16" i="4" s="1"/>
  <c r="BS14" i="4" s="1"/>
  <c r="BD27" i="27"/>
  <c r="BQ23" i="4"/>
  <c r="CA53" i="4"/>
  <c r="BC74" i="26" l="1"/>
  <c r="BC70" i="26"/>
  <c r="BC72" i="26"/>
  <c r="BE47" i="26"/>
  <c r="BE51" i="26"/>
  <c r="BF46" i="26" s="1"/>
  <c r="BF41" i="26"/>
  <c r="BD49" i="26"/>
  <c r="BD77" i="26" s="1"/>
  <c r="BD68" i="26"/>
  <c r="BR40" i="4"/>
  <c r="BQ34" i="4"/>
  <c r="BF33" i="27"/>
  <c r="BS40" i="4" s="1"/>
  <c r="BS17" i="4"/>
  <c r="BF16" i="27"/>
  <c r="BF17" i="27"/>
  <c r="BS24" i="4" s="1"/>
  <c r="BH6" i="27"/>
  <c r="BG10" i="27"/>
  <c r="BG9" i="27"/>
  <c r="BT16" i="4" s="1"/>
  <c r="BT14" i="4" s="1"/>
  <c r="BR23" i="4"/>
  <c r="BE27" i="27"/>
  <c r="BR34" i="4" s="1"/>
  <c r="BF47" i="26" l="1"/>
  <c r="BF51" i="26"/>
  <c r="BG46" i="26" s="1"/>
  <c r="BG41" i="26"/>
  <c r="BD72" i="26"/>
  <c r="BD74" i="26"/>
  <c r="BD70" i="26"/>
  <c r="BE49" i="26"/>
  <c r="BE77" i="26" s="1"/>
  <c r="BE68" i="26"/>
  <c r="BF27" i="27"/>
  <c r="BS23" i="4"/>
  <c r="BG16" i="27"/>
  <c r="BG33" i="27"/>
  <c r="BT40" i="4" s="1"/>
  <c r="BG17" i="27"/>
  <c r="BT24" i="4" s="1"/>
  <c r="BT17" i="4"/>
  <c r="BI6" i="27"/>
  <c r="BH10" i="27"/>
  <c r="BH9" i="27"/>
  <c r="BU16" i="4" s="1"/>
  <c r="BU14" i="4" s="1"/>
  <c r="BE74" i="26" l="1"/>
  <c r="BE70" i="26"/>
  <c r="BE72" i="26"/>
  <c r="BG47" i="26"/>
  <c r="BG51" i="26"/>
  <c r="BH46" i="26" s="1"/>
  <c r="BH41" i="26"/>
  <c r="BF49" i="26"/>
  <c r="BF77" i="26" s="1"/>
  <c r="BF68" i="26"/>
  <c r="BS34" i="4"/>
  <c r="BH16" i="27"/>
  <c r="BH33" i="27"/>
  <c r="BU40" i="4" s="1"/>
  <c r="BU17" i="4"/>
  <c r="BH17" i="27"/>
  <c r="BU24" i="4" s="1"/>
  <c r="BJ6" i="27"/>
  <c r="BI10" i="27"/>
  <c r="BI9" i="27"/>
  <c r="BV16" i="4" s="1"/>
  <c r="BV14" i="4" s="1"/>
  <c r="BG27" i="27"/>
  <c r="BT34" i="4" s="1"/>
  <c r="BT23" i="4"/>
  <c r="G33" i="9"/>
  <c r="H33" i="9"/>
  <c r="I33" i="9"/>
  <c r="BF72" i="26" l="1"/>
  <c r="BF74" i="26"/>
  <c r="BF70" i="26"/>
  <c r="BH51" i="26"/>
  <c r="BI46" i="26" s="1"/>
  <c r="BH47" i="26"/>
  <c r="BI41" i="26"/>
  <c r="BG49" i="26"/>
  <c r="BG77" i="26" s="1"/>
  <c r="BG68" i="26"/>
  <c r="BI33" i="27"/>
  <c r="BV40" i="4" s="1"/>
  <c r="BV17" i="4"/>
  <c r="BI16" i="27"/>
  <c r="BI17" i="27"/>
  <c r="BV24" i="4" s="1"/>
  <c r="BJ9" i="27"/>
  <c r="BJ10" i="27"/>
  <c r="BU23" i="4"/>
  <c r="BH27" i="27"/>
  <c r="BU34" i="4" s="1"/>
  <c r="BG70" i="26" l="1"/>
  <c r="BG72" i="26"/>
  <c r="BG74" i="26"/>
  <c r="BI51" i="26"/>
  <c r="BJ46" i="26" s="1"/>
  <c r="BI47" i="26"/>
  <c r="BJ41" i="26"/>
  <c r="BH49" i="26"/>
  <c r="BH77" i="26" s="1"/>
  <c r="BH68" i="26"/>
  <c r="BW16" i="4"/>
  <c r="BX16" i="4" s="1"/>
  <c r="G9" i="29"/>
  <c r="BJ17" i="27"/>
  <c r="BW17" i="4"/>
  <c r="BJ16" i="27"/>
  <c r="BJ33" i="27"/>
  <c r="BI27" i="27"/>
  <c r="BV34" i="4" s="1"/>
  <c r="BV23" i="4"/>
  <c r="BH70" i="26" l="1"/>
  <c r="BH74" i="26"/>
  <c r="BH72" i="26"/>
  <c r="BJ51" i="26"/>
  <c r="BJ47" i="26"/>
  <c r="BW14" i="4"/>
  <c r="BI49" i="26"/>
  <c r="BI77" i="26" s="1"/>
  <c r="BI68" i="26"/>
  <c r="D15" i="29"/>
  <c r="E15" i="29"/>
  <c r="F15" i="29"/>
  <c r="G15" i="29"/>
  <c r="BW40" i="4"/>
  <c r="BX40" i="4" s="1"/>
  <c r="BY40" i="4" s="1"/>
  <c r="BZ40" i="4" s="1"/>
  <c r="CA40" i="4" s="1"/>
  <c r="D32" i="29"/>
  <c r="E32" i="29"/>
  <c r="F32" i="29"/>
  <c r="G32" i="29"/>
  <c r="BW24" i="4"/>
  <c r="BX24" i="4" s="1"/>
  <c r="BY24" i="4" s="1"/>
  <c r="BZ24" i="4" s="1"/>
  <c r="CA24" i="4" s="1"/>
  <c r="D16" i="29"/>
  <c r="E16" i="29"/>
  <c r="F16" i="29"/>
  <c r="G16" i="29"/>
  <c r="BX14" i="4"/>
  <c r="BY16" i="4"/>
  <c r="BW23" i="4"/>
  <c r="BX23" i="4" s="1"/>
  <c r="BY23" i="4" s="1"/>
  <c r="BZ23" i="4" s="1"/>
  <c r="CA23" i="4" s="1"/>
  <c r="BJ27" i="27"/>
  <c r="BI70" i="26" l="1"/>
  <c r="BI72" i="26"/>
  <c r="BI74" i="26"/>
  <c r="BJ49" i="26"/>
  <c r="BJ77" i="26" s="1"/>
  <c r="BJ68" i="26"/>
  <c r="BW34" i="4"/>
  <c r="BX34" i="4" s="1"/>
  <c r="BY34" i="4" s="1"/>
  <c r="BZ34" i="4" s="1"/>
  <c r="CA34" i="4" s="1"/>
  <c r="D26" i="29"/>
  <c r="E26" i="29"/>
  <c r="F26" i="29"/>
  <c r="G26" i="29"/>
  <c r="BZ16" i="4"/>
  <c r="BY14" i="4"/>
  <c r="BJ70" i="26" l="1"/>
  <c r="BJ72" i="26"/>
  <c r="BJ74" i="26"/>
  <c r="CA16" i="4"/>
  <c r="BZ14" i="4"/>
  <c r="CA14" i="4" l="1"/>
  <c r="C2" i="23" l="1"/>
  <c r="C3" i="23"/>
  <c r="F10" i="9" l="1"/>
  <c r="G10" i="9"/>
  <c r="H10" i="9"/>
  <c r="I10" i="9"/>
  <c r="F6" i="9" l="1"/>
  <c r="G6" i="9"/>
  <c r="H6" i="9"/>
  <c r="I6" i="9"/>
  <c r="E119" i="23" l="1"/>
  <c r="B119" i="23" s="1"/>
  <c r="N16" i="1"/>
  <c r="D66" i="23" l="1"/>
  <c r="D85" i="23" s="1"/>
  <c r="D107" i="23"/>
  <c r="D126" i="23"/>
  <c r="D124" i="23"/>
  <c r="D108" i="23"/>
  <c r="D81" i="23"/>
  <c r="B80" i="23"/>
  <c r="A83" i="23" s="1"/>
  <c r="D62" i="23"/>
  <c r="B61" i="23"/>
  <c r="A64" i="23" s="1"/>
  <c r="B45" i="23"/>
  <c r="A48" i="23" s="1"/>
  <c r="B32" i="23"/>
  <c r="E15" i="23"/>
  <c r="F15" i="23" s="1"/>
  <c r="G15" i="23" s="1"/>
  <c r="H15" i="23" s="1"/>
  <c r="I15" i="23" s="1"/>
  <c r="J15" i="23" s="1"/>
  <c r="K15" i="23" s="1"/>
  <c r="L15" i="23" s="1"/>
  <c r="M15" i="23" s="1"/>
  <c r="N15" i="23" s="1"/>
  <c r="O15" i="23" s="1"/>
  <c r="P15" i="23" s="1"/>
  <c r="Q15" i="23" s="1"/>
  <c r="R15" i="23" s="1"/>
  <c r="S15" i="23" s="1"/>
  <c r="T15" i="23" s="1"/>
  <c r="U15" i="23" s="1"/>
  <c r="V15" i="23" s="1"/>
  <c r="W15" i="23" s="1"/>
  <c r="X15" i="23" s="1"/>
  <c r="Y15" i="23" s="1"/>
  <c r="Z15" i="23" s="1"/>
  <c r="AA15" i="23" s="1"/>
  <c r="AB15" i="23" s="1"/>
  <c r="AC15" i="23" s="1"/>
  <c r="AD15" i="23" s="1"/>
  <c r="AE15" i="23" s="1"/>
  <c r="AF15" i="23" s="1"/>
  <c r="AG15" i="23" s="1"/>
  <c r="AH15" i="23" s="1"/>
  <c r="AI15" i="23" s="1"/>
  <c r="AJ15" i="23" s="1"/>
  <c r="AK15" i="23" s="1"/>
  <c r="AL15" i="23" s="1"/>
  <c r="AM15" i="23" s="1"/>
  <c r="AN15" i="23" s="1"/>
  <c r="AO15" i="23" s="1"/>
  <c r="AP15" i="23" s="1"/>
  <c r="AQ15" i="23" s="1"/>
  <c r="AR15" i="23" s="1"/>
  <c r="AS15" i="23" s="1"/>
  <c r="AT15" i="23" s="1"/>
  <c r="AU15" i="23" s="1"/>
  <c r="AV15" i="23" s="1"/>
  <c r="AW15" i="23" s="1"/>
  <c r="AX15" i="23" s="1"/>
  <c r="AY15" i="23" s="1"/>
  <c r="AZ15" i="23" s="1"/>
  <c r="BA15" i="23" s="1"/>
  <c r="BB15" i="23" s="1"/>
  <c r="BC15" i="23" s="1"/>
  <c r="BD15" i="23" s="1"/>
  <c r="BE15" i="23" s="1"/>
  <c r="BF15" i="23" s="1"/>
  <c r="BG15" i="23" s="1"/>
  <c r="BH15" i="23" s="1"/>
  <c r="BI15" i="23" s="1"/>
  <c r="BJ15" i="23" s="1"/>
  <c r="BK15" i="23" s="1"/>
  <c r="BL15" i="23" s="1"/>
  <c r="F9" i="23"/>
  <c r="F8" i="23"/>
  <c r="D48" i="23" l="1"/>
  <c r="D83" i="23"/>
  <c r="A35" i="23"/>
  <c r="D35" i="23"/>
  <c r="D64" i="23"/>
  <c r="M32" i="5" l="1"/>
  <c r="C111" i="4"/>
  <c r="B119" i="4"/>
  <c r="B121" i="4"/>
  <c r="D38" i="5"/>
  <c r="C121" i="4"/>
  <c r="C96" i="4"/>
  <c r="C115" i="4"/>
  <c r="BL134" i="4" l="1"/>
  <c r="BX134" i="4"/>
  <c r="BI102" i="4"/>
  <c r="BU102" i="4"/>
  <c r="BQ134" i="4"/>
  <c r="BR134" i="4"/>
  <c r="BG134" i="4"/>
  <c r="BV134" i="4"/>
  <c r="BW134" i="4"/>
  <c r="BM134" i="4"/>
  <c r="BY134" i="4"/>
  <c r="BJ102" i="4"/>
  <c r="BV102" i="4"/>
  <c r="BP134" i="4"/>
  <c r="BN102" i="4"/>
  <c r="BT134" i="4"/>
  <c r="BU134" i="4"/>
  <c r="BN134" i="4"/>
  <c r="BZ134" i="4"/>
  <c r="BK102" i="4"/>
  <c r="BW102" i="4"/>
  <c r="BE134" i="4"/>
  <c r="BZ102" i="4"/>
  <c r="BO102" i="4"/>
  <c r="CA102" i="4"/>
  <c r="BD102" i="4"/>
  <c r="BQ102" i="4"/>
  <c r="BI134" i="4"/>
  <c r="BF102" i="4"/>
  <c r="BS102" i="4"/>
  <c r="BK134" i="4"/>
  <c r="BH102" i="4"/>
  <c r="BO134" i="4"/>
  <c r="CA134" i="4"/>
  <c r="BL102" i="4"/>
  <c r="BX102" i="4"/>
  <c r="BD134" i="4"/>
  <c r="BM102" i="4"/>
  <c r="BY102" i="4"/>
  <c r="BF134" i="4"/>
  <c r="BS134" i="4"/>
  <c r="BP102" i="4"/>
  <c r="BH134" i="4"/>
  <c r="BE102" i="4"/>
  <c r="BR102" i="4"/>
  <c r="BJ134" i="4"/>
  <c r="BG102" i="4"/>
  <c r="BT102" i="4"/>
  <c r="BI67" i="30"/>
  <c r="AV67" i="30"/>
  <c r="AJ67" i="30"/>
  <c r="X67" i="30"/>
  <c r="L67" i="30"/>
  <c r="BL48" i="30"/>
  <c r="AZ48" i="30"/>
  <c r="AN48" i="30"/>
  <c r="AB48" i="30"/>
  <c r="P48" i="30"/>
  <c r="D48" i="30"/>
  <c r="H77" i="23"/>
  <c r="T77" i="23"/>
  <c r="AF77" i="23"/>
  <c r="AR77" i="23"/>
  <c r="BE77" i="23"/>
  <c r="H58" i="23"/>
  <c r="T58" i="23"/>
  <c r="T120" i="23" s="1"/>
  <c r="AF58" i="23"/>
  <c r="AR58" i="23"/>
  <c r="AR120" i="23" s="1"/>
  <c r="BD58" i="23"/>
  <c r="AS67" i="30"/>
  <c r="I67" i="30"/>
  <c r="Y48" i="30"/>
  <c r="K77" i="23"/>
  <c r="AU77" i="23"/>
  <c r="W58" i="23"/>
  <c r="L58" i="23"/>
  <c r="AP67" i="30"/>
  <c r="Z77" i="23"/>
  <c r="Z58" i="23"/>
  <c r="AO67" i="30"/>
  <c r="BE48" i="30"/>
  <c r="U48" i="30"/>
  <c r="BH67" i="30"/>
  <c r="AU67" i="30"/>
  <c r="AI67" i="30"/>
  <c r="W67" i="30"/>
  <c r="K67" i="30"/>
  <c r="BK48" i="30"/>
  <c r="AY48" i="30"/>
  <c r="AM48" i="30"/>
  <c r="AA48" i="30"/>
  <c r="O48" i="30"/>
  <c r="I77" i="23"/>
  <c r="U77" i="23"/>
  <c r="AG77" i="23"/>
  <c r="AS77" i="23"/>
  <c r="BF77" i="23"/>
  <c r="I58" i="23"/>
  <c r="U58" i="23"/>
  <c r="AG58" i="23"/>
  <c r="AS58" i="23"/>
  <c r="BE58" i="23"/>
  <c r="BE120" i="23" s="1"/>
  <c r="BF67" i="30"/>
  <c r="U67" i="30"/>
  <c r="AW48" i="30"/>
  <c r="W77" i="23"/>
  <c r="AU58" i="23"/>
  <c r="AU120" i="23" s="1"/>
  <c r="AT48" i="30"/>
  <c r="N77" i="23"/>
  <c r="BK77" i="23"/>
  <c r="BJ58" i="23"/>
  <c r="AC67" i="30"/>
  <c r="Q67" i="30"/>
  <c r="E67" i="30"/>
  <c r="AS48" i="30"/>
  <c r="BG67" i="30"/>
  <c r="AT67" i="30"/>
  <c r="AH67" i="30"/>
  <c r="V67" i="30"/>
  <c r="J67" i="30"/>
  <c r="BJ48" i="30"/>
  <c r="AX48" i="30"/>
  <c r="AL48" i="30"/>
  <c r="Z48" i="30"/>
  <c r="N48" i="30"/>
  <c r="J77" i="23"/>
  <c r="V77" i="23"/>
  <c r="AH77" i="23"/>
  <c r="AT77" i="23"/>
  <c r="BG77" i="23"/>
  <c r="J58" i="23"/>
  <c r="V58" i="23"/>
  <c r="AH58" i="23"/>
  <c r="AT58" i="23"/>
  <c r="BF58" i="23"/>
  <c r="AG67" i="30"/>
  <c r="BI48" i="30"/>
  <c r="BI110" i="30" s="1"/>
  <c r="AK48" i="30"/>
  <c r="M48" i="30"/>
  <c r="AI77" i="23"/>
  <c r="BH77" i="23"/>
  <c r="K58" i="23"/>
  <c r="K120" i="23" s="1"/>
  <c r="AI58" i="23"/>
  <c r="BG58" i="23"/>
  <c r="BE67" i="30"/>
  <c r="AR67" i="30"/>
  <c r="AF67" i="30"/>
  <c r="T67" i="30"/>
  <c r="H67" i="30"/>
  <c r="BH48" i="30"/>
  <c r="AV48" i="30"/>
  <c r="AJ48" i="30"/>
  <c r="AJ110" i="30" s="1"/>
  <c r="X48" i="30"/>
  <c r="L48" i="30"/>
  <c r="L77" i="23"/>
  <c r="X77" i="23"/>
  <c r="AJ77" i="23"/>
  <c r="AV77" i="23"/>
  <c r="BI77" i="23"/>
  <c r="X58" i="23"/>
  <c r="AJ58" i="23"/>
  <c r="AV58" i="23"/>
  <c r="BH58" i="23"/>
  <c r="BC67" i="30"/>
  <c r="AD67" i="30"/>
  <c r="R67" i="30"/>
  <c r="F67" i="30"/>
  <c r="BF48" i="30"/>
  <c r="AH48" i="30"/>
  <c r="V48" i="30"/>
  <c r="J48" i="30"/>
  <c r="AL77" i="23"/>
  <c r="AX77" i="23"/>
  <c r="N58" i="23"/>
  <c r="N120" i="23" s="1"/>
  <c r="AL58" i="23"/>
  <c r="AX58" i="23"/>
  <c r="BB67" i="30"/>
  <c r="AG48" i="30"/>
  <c r="BD67" i="30"/>
  <c r="AQ67" i="30"/>
  <c r="AE67" i="30"/>
  <c r="S67" i="30"/>
  <c r="G67" i="30"/>
  <c r="BG48" i="30"/>
  <c r="AU48" i="30"/>
  <c r="AI48" i="30"/>
  <c r="AI110" i="30" s="1"/>
  <c r="W48" i="30"/>
  <c r="K48" i="30"/>
  <c r="M77" i="23"/>
  <c r="Y77" i="23"/>
  <c r="AK77" i="23"/>
  <c r="AW77" i="23"/>
  <c r="BJ77" i="23"/>
  <c r="M58" i="23"/>
  <c r="Y58" i="23"/>
  <c r="AK58" i="23"/>
  <c r="AW58" i="23"/>
  <c r="BI58" i="23"/>
  <c r="BI120" i="23" s="1"/>
  <c r="BA67" i="30"/>
  <c r="P67" i="30"/>
  <c r="AR48" i="30"/>
  <c r="I48" i="30"/>
  <c r="AB77" i="23"/>
  <c r="BC77" i="23"/>
  <c r="AA58" i="23"/>
  <c r="BA58" i="23"/>
  <c r="BD77" i="23"/>
  <c r="O77" i="23"/>
  <c r="D77" i="23"/>
  <c r="AK67" i="30"/>
  <c r="O58" i="23"/>
  <c r="T48" i="30"/>
  <c r="P58" i="23"/>
  <c r="BL67" i="30"/>
  <c r="R77" i="23"/>
  <c r="BK67" i="30"/>
  <c r="S77" i="23"/>
  <c r="AY58" i="23"/>
  <c r="BJ67" i="30"/>
  <c r="Q48" i="30"/>
  <c r="AA77" i="23"/>
  <c r="AY67" i="30"/>
  <c r="O67" i="30"/>
  <c r="AQ48" i="30"/>
  <c r="H48" i="30"/>
  <c r="AC77" i="23"/>
  <c r="AB58" i="23"/>
  <c r="BB58" i="23"/>
  <c r="AN58" i="23"/>
  <c r="AC48" i="30"/>
  <c r="AP77" i="23"/>
  <c r="BD48" i="30"/>
  <c r="AQ77" i="23"/>
  <c r="BC48" i="30"/>
  <c r="AY77" i="23"/>
  <c r="BB48" i="30"/>
  <c r="R58" i="23"/>
  <c r="S58" i="23"/>
  <c r="S120" i="23" s="1"/>
  <c r="AZ58" i="23"/>
  <c r="AX67" i="30"/>
  <c r="N67" i="30"/>
  <c r="AP48" i="30"/>
  <c r="G48" i="30"/>
  <c r="AD77" i="23"/>
  <c r="BL77" i="23"/>
  <c r="AC58" i="23"/>
  <c r="BC58" i="23"/>
  <c r="AW67" i="30"/>
  <c r="M67" i="30"/>
  <c r="AO48" i="30"/>
  <c r="F48" i="30"/>
  <c r="E77" i="23"/>
  <c r="AE77" i="23"/>
  <c r="AD58" i="23"/>
  <c r="BK58" i="23"/>
  <c r="BK120" i="23" s="1"/>
  <c r="AN67" i="30"/>
  <c r="D67" i="30"/>
  <c r="AF48" i="30"/>
  <c r="AF110" i="30" s="1"/>
  <c r="E48" i="30"/>
  <c r="F77" i="23"/>
  <c r="AM77" i="23"/>
  <c r="E58" i="23"/>
  <c r="AE58" i="23"/>
  <c r="AE120" i="23" s="1"/>
  <c r="BL58" i="23"/>
  <c r="AM67" i="30"/>
  <c r="AE48" i="30"/>
  <c r="G77" i="23"/>
  <c r="AN77" i="23"/>
  <c r="F58" i="23"/>
  <c r="AM58" i="23"/>
  <c r="D58" i="23"/>
  <c r="AL67" i="30"/>
  <c r="AD48" i="30"/>
  <c r="AD110" i="30" s="1"/>
  <c r="AO77" i="23"/>
  <c r="P77" i="23"/>
  <c r="AO58" i="23"/>
  <c r="AP58" i="23"/>
  <c r="AA67" i="30"/>
  <c r="Q58" i="23"/>
  <c r="Y67" i="30"/>
  <c r="BB77" i="23"/>
  <c r="G58" i="23"/>
  <c r="Q77" i="23"/>
  <c r="S48" i="30"/>
  <c r="R48" i="30"/>
  <c r="AB67" i="30"/>
  <c r="AQ58" i="23"/>
  <c r="Z67" i="30"/>
  <c r="BA77" i="23"/>
  <c r="BA48" i="30"/>
  <c r="AZ77" i="23"/>
  <c r="AZ67" i="30"/>
  <c r="G97" i="4"/>
  <c r="M17" i="5"/>
  <c r="G111" i="4"/>
  <c r="E111" i="4" s="1"/>
  <c r="N17" i="5" s="1"/>
  <c r="D24" i="5"/>
  <c r="F110" i="30" l="1"/>
  <c r="BE110" i="30"/>
  <c r="K110" i="30"/>
  <c r="AQ120" i="23"/>
  <c r="AZ120" i="23"/>
  <c r="J120" i="23"/>
  <c r="AG110" i="30"/>
  <c r="L110" i="30"/>
  <c r="AR110" i="30"/>
  <c r="T110" i="30"/>
  <c r="AX120" i="23"/>
  <c r="D120" i="23"/>
  <c r="E110" i="30"/>
  <c r="O120" i="23"/>
  <c r="W110" i="30"/>
  <c r="AL120" i="23"/>
  <c r="AV110" i="30"/>
  <c r="Z120" i="23"/>
  <c r="AF120" i="23"/>
  <c r="AB120" i="23"/>
  <c r="H110" i="30"/>
  <c r="X110" i="30"/>
  <c r="BD120" i="23"/>
  <c r="AI120" i="23"/>
  <c r="BF120" i="23"/>
  <c r="Q110" i="30"/>
  <c r="AE110" i="30"/>
  <c r="AP110" i="30"/>
  <c r="E120" i="23"/>
  <c r="AO110" i="30"/>
  <c r="U110" i="30"/>
  <c r="P110" i="30"/>
  <c r="AW110" i="30"/>
  <c r="AQ110" i="30"/>
  <c r="AA110" i="30"/>
  <c r="AZ110" i="30"/>
  <c r="AM110" i="30"/>
  <c r="G120" i="23"/>
  <c r="BC110" i="30"/>
  <c r="AV120" i="23"/>
  <c r="AW120" i="23"/>
  <c r="AU110" i="30"/>
  <c r="AJ120" i="23"/>
  <c r="AS120" i="23"/>
  <c r="H120" i="23"/>
  <c r="BC120" i="23"/>
  <c r="BG110" i="30"/>
  <c r="X120" i="23"/>
  <c r="Z110" i="30"/>
  <c r="BK110" i="30"/>
  <c r="J110" i="30"/>
  <c r="BJ120" i="23"/>
  <c r="AX110" i="30"/>
  <c r="AB110" i="30"/>
  <c r="BB110" i="30"/>
  <c r="O110" i="30"/>
  <c r="AN110" i="30"/>
  <c r="D110" i="30"/>
  <c r="B48" i="30"/>
  <c r="M110" i="30"/>
  <c r="AK110" i="30"/>
  <c r="BL110" i="30"/>
  <c r="F120" i="23"/>
  <c r="B67" i="30"/>
  <c r="N110" i="30"/>
  <c r="AY110" i="30"/>
  <c r="P120" i="23"/>
  <c r="BH120" i="23"/>
  <c r="L120" i="23"/>
  <c r="Q120" i="23"/>
  <c r="G110" i="30"/>
  <c r="AL110" i="30"/>
  <c r="W120" i="23"/>
  <c r="BA110" i="30"/>
  <c r="AD120" i="23"/>
  <c r="AY120" i="23"/>
  <c r="BA120" i="23"/>
  <c r="M120" i="23"/>
  <c r="S110" i="30"/>
  <c r="V110" i="30"/>
  <c r="AT120" i="23"/>
  <c r="I120" i="23"/>
  <c r="I110" i="30"/>
  <c r="AS110" i="30"/>
  <c r="AM120" i="23"/>
  <c r="BH110" i="30"/>
  <c r="AK120" i="23"/>
  <c r="AG120" i="23"/>
  <c r="Y120" i="23"/>
  <c r="AA120" i="23"/>
  <c r="AH110" i="30"/>
  <c r="AH120" i="23"/>
  <c r="BJ110" i="30"/>
  <c r="R110" i="30"/>
  <c r="R120" i="23"/>
  <c r="AC120" i="23"/>
  <c r="BD110" i="30"/>
  <c r="U120" i="23"/>
  <c r="AC110" i="30"/>
  <c r="AP120" i="23"/>
  <c r="AN120" i="23"/>
  <c r="AO120" i="23"/>
  <c r="BL120" i="23"/>
  <c r="BB120" i="23"/>
  <c r="BF110" i="30"/>
  <c r="BG120" i="23"/>
  <c r="V120" i="23"/>
  <c r="AT110" i="30"/>
  <c r="Y110" i="30"/>
  <c r="P17" i="5"/>
  <c r="Q17" i="5" s="1"/>
  <c r="B58" i="23"/>
  <c r="B120" i="23" l="1"/>
  <c r="B110" i="30"/>
  <c r="D80" i="5"/>
  <c r="D26" i="5"/>
  <c r="C110" i="4" s="1"/>
  <c r="E107" i="16"/>
  <c r="C114" i="4"/>
  <c r="D29" i="5" l="1"/>
  <c r="M16" i="5"/>
  <c r="G110" i="4"/>
  <c r="D55" i="5"/>
  <c r="M34" i="5"/>
  <c r="D71" i="5" l="1"/>
  <c r="E108" i="16" l="1"/>
  <c r="G116" i="4"/>
  <c r="B76" i="5"/>
  <c r="O74" i="13" l="1"/>
  <c r="Q74" i="13" s="1"/>
  <c r="R4" i="13"/>
  <c r="R11" i="13" s="1"/>
  <c r="O73" i="13"/>
  <c r="Q73" i="13" s="1"/>
  <c r="E21" i="1" s="1"/>
  <c r="O66" i="13"/>
  <c r="O67" i="13"/>
  <c r="Q67" i="13" s="1"/>
  <c r="D20" i="13" s="1"/>
  <c r="R5" i="13"/>
  <c r="R12" i="13" s="1"/>
  <c r="O69" i="13"/>
  <c r="Q69" i="13" s="1"/>
  <c r="D22" i="13" s="1"/>
  <c r="O68" i="13"/>
  <c r="Q68" i="13" s="1"/>
  <c r="D21" i="13" s="1"/>
  <c r="N61" i="13"/>
  <c r="N63" i="13" s="1"/>
  <c r="N52" i="13"/>
  <c r="N54" i="13" s="1"/>
  <c r="N43" i="13"/>
  <c r="N45" i="13" s="1"/>
  <c r="N34" i="13"/>
  <c r="N36" i="13" s="1"/>
  <c r="N25" i="13"/>
  <c r="N27" i="13" s="1"/>
  <c r="N15" i="13"/>
  <c r="G15" i="17"/>
  <c r="C35" i="17"/>
  <c r="F34" i="17"/>
  <c r="K28" i="17"/>
  <c r="J28" i="17"/>
  <c r="F28" i="17"/>
  <c r="E28" i="17"/>
  <c r="K27" i="17"/>
  <c r="J27" i="17"/>
  <c r="F27" i="17"/>
  <c r="E27" i="17"/>
  <c r="K26" i="17"/>
  <c r="J26" i="17"/>
  <c r="F26" i="17"/>
  <c r="E26" i="17"/>
  <c r="K25" i="17"/>
  <c r="J25" i="17"/>
  <c r="F25" i="17"/>
  <c r="E25" i="17"/>
  <c r="K24" i="17"/>
  <c r="J24" i="17"/>
  <c r="F24" i="17"/>
  <c r="E24" i="17"/>
  <c r="K23" i="17"/>
  <c r="J23" i="17"/>
  <c r="F23" i="17"/>
  <c r="E23" i="17"/>
  <c r="E30" i="17" s="1"/>
  <c r="D8" i="13" l="1"/>
  <c r="E44" i="1"/>
  <c r="E20" i="13"/>
  <c r="E26" i="1"/>
  <c r="E49" i="1"/>
  <c r="D10" i="13"/>
  <c r="D9" i="13"/>
  <c r="O75" i="13"/>
  <c r="C6" i="13" s="1"/>
  <c r="Q75" i="13"/>
  <c r="D6" i="13"/>
  <c r="R7" i="13"/>
  <c r="R14" i="13"/>
  <c r="L66" i="13"/>
  <c r="N17" i="13"/>
  <c r="L67" i="13" s="1"/>
  <c r="J30" i="17"/>
  <c r="K30" i="17"/>
  <c r="K33" i="17" s="1"/>
  <c r="E35" i="17"/>
  <c r="G81" i="4" l="1"/>
  <c r="G80" i="4"/>
  <c r="C81" i="4"/>
  <c r="C80" i="4"/>
  <c r="C71" i="4"/>
  <c r="C70" i="4"/>
  <c r="G63" i="4"/>
  <c r="G61" i="4"/>
  <c r="G82" i="4" l="1"/>
  <c r="G75" i="4"/>
  <c r="D83" i="5"/>
  <c r="D75" i="5"/>
  <c r="M21" i="5"/>
  <c r="C116" i="4"/>
  <c r="G66" i="4"/>
  <c r="G74" i="4" s="1"/>
  <c r="C12" i="13"/>
  <c r="E8" i="13"/>
  <c r="E9" i="13"/>
  <c r="E10" i="13"/>
  <c r="E6" i="13"/>
  <c r="D7" i="13" s="1"/>
  <c r="F19" i="12"/>
  <c r="G19" i="12"/>
  <c r="E19" i="12"/>
  <c r="F18" i="12"/>
  <c r="G18" i="12"/>
  <c r="E18" i="12"/>
  <c r="F17" i="12"/>
  <c r="G17" i="12"/>
  <c r="E17" i="12"/>
  <c r="F11" i="12"/>
  <c r="F12" i="12"/>
  <c r="F13" i="12"/>
  <c r="F14" i="12"/>
  <c r="F8" i="12"/>
  <c r="F9" i="12"/>
  <c r="F10" i="12"/>
  <c r="G99" i="4"/>
  <c r="I19" i="1"/>
  <c r="D118" i="23" l="1"/>
  <c r="D108" i="30"/>
  <c r="G75" i="5"/>
  <c r="F75" i="5"/>
  <c r="E75" i="5"/>
  <c r="C19" i="13"/>
  <c r="C24" i="13"/>
  <c r="C7" i="13"/>
  <c r="E7" i="13"/>
  <c r="C25" i="13" l="1"/>
  <c r="M19" i="5"/>
  <c r="B84" i="5"/>
  <c r="G152" i="4"/>
  <c r="G153" i="4" s="1"/>
  <c r="B122" i="4"/>
  <c r="Q28" i="1" l="1"/>
  <c r="Q29" i="1" s="1"/>
  <c r="Q30" i="1" s="1"/>
  <c r="Q31" i="1" s="1"/>
  <c r="C98" i="4"/>
  <c r="B3" i="4"/>
  <c r="B4" i="4"/>
  <c r="B2" i="4"/>
  <c r="T8" i="1"/>
  <c r="C75" i="4"/>
  <c r="G77" i="4" s="1"/>
  <c r="I60" i="4"/>
  <c r="J60" i="4"/>
  <c r="K60" i="4"/>
  <c r="L60" i="4"/>
  <c r="M60" i="4"/>
  <c r="N60" i="4"/>
  <c r="O60" i="4"/>
  <c r="P60" i="4"/>
  <c r="Q60" i="4"/>
  <c r="R60" i="4"/>
  <c r="S60" i="4"/>
  <c r="H60" i="4"/>
  <c r="G14" i="4"/>
  <c r="H6" i="4"/>
  <c r="H7" i="4"/>
  <c r="G7" i="4"/>
  <c r="H88" i="4" l="1"/>
  <c r="E111" i="30" s="1"/>
  <c r="G84" i="4"/>
  <c r="G86" i="4" s="1"/>
  <c r="H97" i="4"/>
  <c r="H98" i="4" s="1"/>
  <c r="H116" i="4"/>
  <c r="H121" i="4"/>
  <c r="E21" i="13"/>
  <c r="E28" i="1"/>
  <c r="C61" i="4" s="1"/>
  <c r="G62" i="4" s="1"/>
  <c r="D11" i="16"/>
  <c r="B64" i="16" s="1"/>
  <c r="H99" i="4"/>
  <c r="H61" i="4"/>
  <c r="H63" i="4"/>
  <c r="H152" i="4"/>
  <c r="I7" i="4"/>
  <c r="I6" i="4"/>
  <c r="M25" i="5"/>
  <c r="D73" i="5"/>
  <c r="I88" i="4" l="1"/>
  <c r="F111" i="30" s="1"/>
  <c r="E118" i="23"/>
  <c r="E108" i="30"/>
  <c r="B32" i="13"/>
  <c r="C32" i="13" s="1"/>
  <c r="E73" i="5"/>
  <c r="F73" i="5"/>
  <c r="G73" i="5"/>
  <c r="I97" i="4"/>
  <c r="I98" i="4" s="1"/>
  <c r="H75" i="4"/>
  <c r="I116" i="4"/>
  <c r="I121" i="4"/>
  <c r="H66" i="4"/>
  <c r="I99" i="4"/>
  <c r="I61" i="4"/>
  <c r="I63" i="4"/>
  <c r="H71" i="4"/>
  <c r="H62" i="4"/>
  <c r="H70" i="4"/>
  <c r="J6" i="4"/>
  <c r="I152" i="4"/>
  <c r="G98" i="4"/>
  <c r="H100" i="4"/>
  <c r="H135" i="4" s="1"/>
  <c r="H146" i="4" s="1"/>
  <c r="J7" i="4"/>
  <c r="K36" i="1"/>
  <c r="E50" i="1"/>
  <c r="E45" i="1"/>
  <c r="D23" i="1"/>
  <c r="D18" i="1"/>
  <c r="E33" i="1"/>
  <c r="J88" i="4" l="1"/>
  <c r="G111" i="30" s="1"/>
  <c r="J114" i="4"/>
  <c r="F118" i="23"/>
  <c r="F108" i="30"/>
  <c r="H156" i="4"/>
  <c r="H171" i="4" s="1"/>
  <c r="J97" i="4"/>
  <c r="J98" i="4" s="1"/>
  <c r="H72" i="4"/>
  <c r="H74" i="4" s="1"/>
  <c r="H77" i="4" s="1"/>
  <c r="I75" i="4"/>
  <c r="J116" i="4"/>
  <c r="J121" i="4"/>
  <c r="I66" i="4"/>
  <c r="J61" i="4"/>
  <c r="J63" i="4"/>
  <c r="I71" i="4"/>
  <c r="I70" i="4"/>
  <c r="I62" i="4"/>
  <c r="J99" i="4"/>
  <c r="E35" i="1"/>
  <c r="K6" i="4"/>
  <c r="J152" i="4"/>
  <c r="G100" i="4"/>
  <c r="I100" i="4"/>
  <c r="I135" i="4" s="1"/>
  <c r="I146" i="4" s="1"/>
  <c r="K7" i="4"/>
  <c r="D25" i="1"/>
  <c r="Z60" i="4"/>
  <c r="AA60" i="4"/>
  <c r="T60" i="4"/>
  <c r="AB60" i="4"/>
  <c r="U60" i="4"/>
  <c r="AC60" i="4"/>
  <c r="V60" i="4"/>
  <c r="AD60" i="4"/>
  <c r="W60" i="4"/>
  <c r="AE60" i="4"/>
  <c r="X60" i="4"/>
  <c r="Y60" i="4"/>
  <c r="L36" i="1"/>
  <c r="M36" i="1" s="1"/>
  <c r="N36" i="1" s="1"/>
  <c r="O36" i="1" s="1"/>
  <c r="G135" i="4" l="1"/>
  <c r="G102" i="4"/>
  <c r="K88" i="4"/>
  <c r="H111" i="30" s="1"/>
  <c r="K114" i="4"/>
  <c r="G118" i="23"/>
  <c r="G108" i="30"/>
  <c r="H114" i="4"/>
  <c r="D121" i="23"/>
  <c r="E121" i="23"/>
  <c r="F121" i="23"/>
  <c r="G121" i="23"/>
  <c r="I156" i="4"/>
  <c r="I171" i="4" s="1"/>
  <c r="G146" i="4"/>
  <c r="K97" i="4"/>
  <c r="K98" i="4" s="1"/>
  <c r="H121" i="23"/>
  <c r="I72" i="4"/>
  <c r="I74" i="4" s="1"/>
  <c r="I77" i="4" s="1"/>
  <c r="J75" i="4"/>
  <c r="E25" i="1"/>
  <c r="G113" i="4"/>
  <c r="K116" i="4"/>
  <c r="K121" i="4"/>
  <c r="F49" i="1"/>
  <c r="J12" i="4"/>
  <c r="J81" i="4" s="1"/>
  <c r="C28" i="13"/>
  <c r="C11" i="4" s="1"/>
  <c r="J66" i="4"/>
  <c r="K99" i="4"/>
  <c r="K61" i="4"/>
  <c r="K63" i="4"/>
  <c r="J71" i="4"/>
  <c r="J62" i="4"/>
  <c r="J70" i="4"/>
  <c r="H9" i="4"/>
  <c r="I9" i="4"/>
  <c r="J9" i="4"/>
  <c r="H115" i="4"/>
  <c r="I11" i="4"/>
  <c r="K152" i="4"/>
  <c r="K12" i="4"/>
  <c r="K9" i="4"/>
  <c r="L6" i="4"/>
  <c r="L7" i="4"/>
  <c r="G115" i="4"/>
  <c r="F52" i="1"/>
  <c r="K11" i="4"/>
  <c r="E20" i="1"/>
  <c r="I115" i="4"/>
  <c r="J100" i="4"/>
  <c r="J135" i="4" s="1"/>
  <c r="J146" i="4" s="1"/>
  <c r="H11" i="4"/>
  <c r="H12" i="4"/>
  <c r="G114" i="4"/>
  <c r="I12" i="4"/>
  <c r="I114" i="4"/>
  <c r="J11" i="4"/>
  <c r="BT60" i="4"/>
  <c r="BN60" i="4"/>
  <c r="BP60" i="4"/>
  <c r="BF60" i="4"/>
  <c r="BH60" i="4"/>
  <c r="BS60" i="4"/>
  <c r="BC60" i="4"/>
  <c r="BB60" i="4"/>
  <c r="AZ60" i="4"/>
  <c r="BG60" i="4"/>
  <c r="AT60" i="4"/>
  <c r="BQ60" i="4"/>
  <c r="AX60" i="4"/>
  <c r="BU60" i="4"/>
  <c r="BI60" i="4"/>
  <c r="BR60" i="4"/>
  <c r="BA60" i="4"/>
  <c r="BW60" i="4"/>
  <c r="BK60" i="4"/>
  <c r="BJ60" i="4"/>
  <c r="BO60" i="4"/>
  <c r="AY60" i="4"/>
  <c r="BE60" i="4"/>
  <c r="BD60" i="4"/>
  <c r="AM60" i="4"/>
  <c r="AL60" i="4"/>
  <c r="AK60" i="4"/>
  <c r="AJ60" i="4"/>
  <c r="AQ60" i="4"/>
  <c r="AH60" i="4"/>
  <c r="BM60" i="4"/>
  <c r="AU60" i="4"/>
  <c r="AP60" i="4"/>
  <c r="AW60" i="4"/>
  <c r="AV60" i="4"/>
  <c r="AI60" i="4"/>
  <c r="AS60" i="4"/>
  <c r="AO60" i="4"/>
  <c r="AN60" i="4"/>
  <c r="BL60" i="4"/>
  <c r="AR60" i="4"/>
  <c r="AG60" i="4"/>
  <c r="AF60" i="4"/>
  <c r="BZ60" i="4"/>
  <c r="BY60" i="4"/>
  <c r="BX60" i="4"/>
  <c r="CA60" i="4"/>
  <c r="BV60" i="4"/>
  <c r="L88" i="4" l="1"/>
  <c r="I111" i="30" s="1"/>
  <c r="L114" i="4"/>
  <c r="H118" i="23"/>
  <c r="H108" i="30"/>
  <c r="D122" i="23"/>
  <c r="D112" i="30"/>
  <c r="G103" i="4"/>
  <c r="G134" i="4" s="1"/>
  <c r="G156" i="4"/>
  <c r="G171" i="4" s="1"/>
  <c r="J156" i="4"/>
  <c r="J171" i="4" s="1"/>
  <c r="L97" i="4"/>
  <c r="L98" i="4" s="1"/>
  <c r="J72" i="4"/>
  <c r="J74" i="4" s="1"/>
  <c r="J77" i="4" s="1"/>
  <c r="K75" i="4"/>
  <c r="L116" i="4"/>
  <c r="L121" i="4"/>
  <c r="J14" i="4"/>
  <c r="J80" i="4"/>
  <c r="J82" i="4" s="1"/>
  <c r="K81" i="4"/>
  <c r="K80" i="4"/>
  <c r="H81" i="4"/>
  <c r="H80" i="4"/>
  <c r="I81" i="4"/>
  <c r="I80" i="4"/>
  <c r="K66" i="4"/>
  <c r="K71" i="4"/>
  <c r="K62" i="4"/>
  <c r="K70" i="4"/>
  <c r="L63" i="4"/>
  <c r="L61" i="4"/>
  <c r="L99" i="4"/>
  <c r="I14" i="4"/>
  <c r="K14" i="4"/>
  <c r="K100" i="4"/>
  <c r="K135" i="4" s="1"/>
  <c r="K146" i="4" s="1"/>
  <c r="L12" i="4"/>
  <c r="L152" i="4"/>
  <c r="L11" i="4"/>
  <c r="M6" i="4"/>
  <c r="L9" i="4"/>
  <c r="M7" i="4"/>
  <c r="H14" i="4"/>
  <c r="I121" i="23" l="1"/>
  <c r="M88" i="4"/>
  <c r="J111" i="30" s="1"/>
  <c r="M114" i="4"/>
  <c r="I118" i="23"/>
  <c r="I108" i="30"/>
  <c r="K156" i="4"/>
  <c r="K171" i="4" s="1"/>
  <c r="G128" i="4"/>
  <c r="G189" i="4" s="1"/>
  <c r="G145" i="4"/>
  <c r="M97" i="4"/>
  <c r="M98" i="4" s="1"/>
  <c r="G120" i="4"/>
  <c r="J121" i="23"/>
  <c r="I82" i="4"/>
  <c r="I84" i="4" s="1"/>
  <c r="I86" i="4" s="1"/>
  <c r="J84" i="4"/>
  <c r="J86" i="4" s="1"/>
  <c r="K72" i="4"/>
  <c r="K74" i="4" s="1"/>
  <c r="K77" i="4" s="1"/>
  <c r="H82" i="4"/>
  <c r="L75" i="4"/>
  <c r="K82" i="4"/>
  <c r="M116" i="4"/>
  <c r="M121" i="4"/>
  <c r="L80" i="4"/>
  <c r="L81" i="4"/>
  <c r="L66" i="4"/>
  <c r="L71" i="4"/>
  <c r="L62" i="4"/>
  <c r="L70" i="4"/>
  <c r="M63" i="4"/>
  <c r="M61" i="4"/>
  <c r="M99" i="4"/>
  <c r="M11" i="4"/>
  <c r="L14" i="4"/>
  <c r="L100" i="4"/>
  <c r="L135" i="4" s="1"/>
  <c r="L146" i="4" s="1"/>
  <c r="N6" i="4"/>
  <c r="M152" i="4"/>
  <c r="M9" i="4"/>
  <c r="M12" i="4"/>
  <c r="N7" i="4"/>
  <c r="I102" i="4" l="1"/>
  <c r="J102" i="4"/>
  <c r="J103" i="4" s="1"/>
  <c r="M14" i="4"/>
  <c r="N88" i="4"/>
  <c r="K111" i="30" s="1"/>
  <c r="N114" i="4"/>
  <c r="J118" i="23"/>
  <c r="J108" i="30"/>
  <c r="G154" i="4"/>
  <c r="L156" i="4"/>
  <c r="L171" i="4" s="1"/>
  <c r="I103" i="4"/>
  <c r="I120" i="4" s="1"/>
  <c r="N97" i="4"/>
  <c r="N98" i="4" s="1"/>
  <c r="H84" i="4"/>
  <c r="H86" i="4" s="1"/>
  <c r="K84" i="4"/>
  <c r="K86" i="4" s="1"/>
  <c r="L82" i="4"/>
  <c r="L72" i="4"/>
  <c r="L74" i="4" s="1"/>
  <c r="L77" i="4" s="1"/>
  <c r="M75" i="4"/>
  <c r="N116" i="4"/>
  <c r="N121" i="4"/>
  <c r="M80" i="4"/>
  <c r="M81" i="4"/>
  <c r="M66" i="4"/>
  <c r="N63" i="4"/>
  <c r="N61" i="4"/>
  <c r="M62" i="4"/>
  <c r="M70" i="4"/>
  <c r="M71" i="4"/>
  <c r="N99" i="4"/>
  <c r="N11" i="4"/>
  <c r="M100" i="4"/>
  <c r="M135" i="4" s="1"/>
  <c r="M146" i="4" s="1"/>
  <c r="N152" i="4"/>
  <c r="N12" i="4"/>
  <c r="O6" i="4"/>
  <c r="N9" i="4"/>
  <c r="O7" i="4"/>
  <c r="J120" i="4" l="1"/>
  <c r="J134" i="4"/>
  <c r="K102" i="4"/>
  <c r="K121" i="23"/>
  <c r="H102" i="4"/>
  <c r="H103" i="4" s="1"/>
  <c r="I134" i="4"/>
  <c r="I145" i="4" s="1"/>
  <c r="O88" i="4"/>
  <c r="L111" i="30" s="1"/>
  <c r="O114" i="4"/>
  <c r="N14" i="4"/>
  <c r="K118" i="23"/>
  <c r="K108" i="30"/>
  <c r="G170" i="4"/>
  <c r="G177" i="4" s="1"/>
  <c r="M156" i="4"/>
  <c r="M171" i="4" s="1"/>
  <c r="I128" i="4"/>
  <c r="I189" i="4" s="1"/>
  <c r="K103" i="4"/>
  <c r="K120" i="4" s="1"/>
  <c r="J145" i="4"/>
  <c r="O97" i="4"/>
  <c r="O98" i="4" s="1"/>
  <c r="J128" i="4"/>
  <c r="J189" i="4" s="1"/>
  <c r="L84" i="4"/>
  <c r="L86" i="4" s="1"/>
  <c r="M82" i="4"/>
  <c r="N75" i="4"/>
  <c r="M72" i="4"/>
  <c r="M74" i="4" s="1"/>
  <c r="M77" i="4" s="1"/>
  <c r="O116" i="4"/>
  <c r="O121" i="4"/>
  <c r="N80" i="4"/>
  <c r="N81" i="4"/>
  <c r="N66" i="4"/>
  <c r="O63" i="4"/>
  <c r="O61" i="4"/>
  <c r="N62" i="4"/>
  <c r="N70" i="4"/>
  <c r="N71" i="4"/>
  <c r="O152" i="4"/>
  <c r="O99" i="4"/>
  <c r="N100" i="4"/>
  <c r="N135" i="4" s="1"/>
  <c r="N146" i="4" s="1"/>
  <c r="O12" i="4"/>
  <c r="O11" i="4"/>
  <c r="O14" i="4" s="1"/>
  <c r="P6" i="4"/>
  <c r="P7" i="4"/>
  <c r="O9" i="4"/>
  <c r="H120" i="4" l="1"/>
  <c r="H134" i="4"/>
  <c r="L102" i="4"/>
  <c r="E6" i="9"/>
  <c r="K134" i="4"/>
  <c r="K145" i="4" s="1"/>
  <c r="L121" i="23"/>
  <c r="P88" i="4"/>
  <c r="M111" i="30" s="1"/>
  <c r="L118" i="23"/>
  <c r="L108" i="30"/>
  <c r="D23" i="30"/>
  <c r="D37" i="30" s="1"/>
  <c r="D18" i="30"/>
  <c r="N156" i="4"/>
  <c r="N171" i="4" s="1"/>
  <c r="K128" i="4"/>
  <c r="K189" i="4" s="1"/>
  <c r="H145" i="4"/>
  <c r="L103" i="4"/>
  <c r="L134" i="4" s="1"/>
  <c r="P97" i="4"/>
  <c r="P98" i="4" s="1"/>
  <c r="H128" i="4"/>
  <c r="H189" i="4" s="1"/>
  <c r="M84" i="4"/>
  <c r="M86" i="4" s="1"/>
  <c r="N82" i="4"/>
  <c r="N72" i="4"/>
  <c r="N74" i="4" s="1"/>
  <c r="N77" i="4" s="1"/>
  <c r="O75" i="4"/>
  <c r="P116" i="4"/>
  <c r="P121" i="4"/>
  <c r="O81" i="4"/>
  <c r="O80" i="4"/>
  <c r="O66" i="4"/>
  <c r="O71" i="4"/>
  <c r="P63" i="4"/>
  <c r="P61" i="4"/>
  <c r="O62" i="4"/>
  <c r="O70" i="4"/>
  <c r="P152" i="4"/>
  <c r="P99" i="4"/>
  <c r="Q6" i="4"/>
  <c r="P9" i="4"/>
  <c r="P11" i="4"/>
  <c r="P114" i="4"/>
  <c r="P12" i="4"/>
  <c r="O100" i="4"/>
  <c r="O135" i="4" s="1"/>
  <c r="O146" i="4" s="1"/>
  <c r="Q7" i="4"/>
  <c r="M102" i="4" l="1"/>
  <c r="Q88" i="4"/>
  <c r="N111" i="30" s="1"/>
  <c r="M121" i="23"/>
  <c r="M118" i="23"/>
  <c r="M108" i="30"/>
  <c r="D55" i="30"/>
  <c r="D74" i="30" s="1"/>
  <c r="D41" i="30"/>
  <c r="D44" i="30" s="1"/>
  <c r="D49" i="30" s="1"/>
  <c r="O156" i="4"/>
  <c r="O171" i="4" s="1"/>
  <c r="L120" i="4"/>
  <c r="L145" i="4"/>
  <c r="L128" i="4"/>
  <c r="L189" i="4" s="1"/>
  <c r="Q97" i="4"/>
  <c r="Q98" i="4" s="1"/>
  <c r="N84" i="4"/>
  <c r="N86" i="4" s="1"/>
  <c r="O82" i="4"/>
  <c r="P75" i="4"/>
  <c r="O72" i="4"/>
  <c r="O74" i="4" s="1"/>
  <c r="O77" i="4" s="1"/>
  <c r="Q116" i="4"/>
  <c r="Q121" i="4"/>
  <c r="Q9" i="4"/>
  <c r="P81" i="4"/>
  <c r="P80" i="4"/>
  <c r="P66" i="4"/>
  <c r="Q114" i="4"/>
  <c r="Q152" i="4"/>
  <c r="P62" i="4"/>
  <c r="P70" i="4"/>
  <c r="P71" i="4"/>
  <c r="Q99" i="4"/>
  <c r="Q63" i="4"/>
  <c r="Q61" i="4"/>
  <c r="P100" i="4"/>
  <c r="P135" i="4" s="1"/>
  <c r="P146" i="4" s="1"/>
  <c r="Q12" i="4"/>
  <c r="R6" i="4"/>
  <c r="Q11" i="4"/>
  <c r="R7" i="4"/>
  <c r="N102" i="4" l="1"/>
  <c r="N121" i="23"/>
  <c r="R88" i="4"/>
  <c r="O111" i="30" s="1"/>
  <c r="N118" i="23"/>
  <c r="N108" i="30"/>
  <c r="P156" i="4"/>
  <c r="P171" i="4" s="1"/>
  <c r="R97" i="4"/>
  <c r="R98" i="4" s="1"/>
  <c r="O121" i="23"/>
  <c r="O84" i="4"/>
  <c r="O86" i="4" s="1"/>
  <c r="P82" i="4"/>
  <c r="Q75" i="4"/>
  <c r="P72" i="4"/>
  <c r="P74" i="4" s="1"/>
  <c r="P77" i="4" s="1"/>
  <c r="R116" i="4"/>
  <c r="R121" i="4"/>
  <c r="Q81" i="4"/>
  <c r="Q80" i="4"/>
  <c r="Q66" i="4"/>
  <c r="R9" i="4"/>
  <c r="Q100" i="4"/>
  <c r="Q135" i="4" s="1"/>
  <c r="Q146" i="4" s="1"/>
  <c r="R99" i="4"/>
  <c r="R63" i="4"/>
  <c r="R61" i="4"/>
  <c r="Q62" i="4"/>
  <c r="Q70" i="4"/>
  <c r="R152" i="4"/>
  <c r="R11" i="4"/>
  <c r="S6" i="4"/>
  <c r="R114" i="4"/>
  <c r="Q71" i="4"/>
  <c r="R12" i="4"/>
  <c r="S7" i="4"/>
  <c r="O102" i="4" l="1"/>
  <c r="S88" i="4"/>
  <c r="P111" i="30" s="1"/>
  <c r="O118" i="23"/>
  <c r="O108" i="30"/>
  <c r="Q156" i="4"/>
  <c r="Q171" i="4" s="1"/>
  <c r="S97" i="4"/>
  <c r="S98" i="4" s="1"/>
  <c r="Q82" i="4"/>
  <c r="P84" i="4"/>
  <c r="R75" i="4"/>
  <c r="Q72" i="4"/>
  <c r="Q74" i="4" s="1"/>
  <c r="Q77" i="4" s="1"/>
  <c r="S9" i="4"/>
  <c r="S116" i="4"/>
  <c r="S121" i="4"/>
  <c r="S152" i="4"/>
  <c r="R80" i="4"/>
  <c r="R81" i="4"/>
  <c r="R66" i="4"/>
  <c r="R100" i="4"/>
  <c r="R135" i="4" s="1"/>
  <c r="R146" i="4" s="1"/>
  <c r="S114" i="4"/>
  <c r="S99" i="4"/>
  <c r="S61" i="4"/>
  <c r="S63" i="4"/>
  <c r="T7" i="4"/>
  <c r="R70" i="4"/>
  <c r="R62" i="4"/>
  <c r="S11" i="4"/>
  <c r="T6" i="4"/>
  <c r="R71" i="4"/>
  <c r="S12" i="4"/>
  <c r="P121" i="23" l="1"/>
  <c r="T88" i="4"/>
  <c r="Q111" i="30" s="1"/>
  <c r="P118" i="23"/>
  <c r="P108" i="30"/>
  <c r="Q84" i="4"/>
  <c r="R156" i="4"/>
  <c r="R171" i="4" s="1"/>
  <c r="T97" i="4"/>
  <c r="T98" i="4" s="1"/>
  <c r="R72" i="4"/>
  <c r="R74" i="4" s="1"/>
  <c r="R77" i="4" s="1"/>
  <c r="Q121" i="23"/>
  <c r="R82" i="4"/>
  <c r="S75" i="4"/>
  <c r="T114" i="4"/>
  <c r="T116" i="4"/>
  <c r="T121" i="4"/>
  <c r="U7" i="4"/>
  <c r="S81" i="4"/>
  <c r="S80" i="4"/>
  <c r="S66" i="4"/>
  <c r="S100" i="4"/>
  <c r="S135" i="4" s="1"/>
  <c r="S146" i="4" s="1"/>
  <c r="T152" i="4"/>
  <c r="T99" i="4"/>
  <c r="T61" i="4"/>
  <c r="T63" i="4"/>
  <c r="T12" i="4"/>
  <c r="T11" i="4"/>
  <c r="T9" i="4"/>
  <c r="S71" i="4"/>
  <c r="U6" i="4"/>
  <c r="S62" i="4"/>
  <c r="S70" i="4"/>
  <c r="U88" i="4" l="1"/>
  <c r="R111" i="30" s="1"/>
  <c r="Q118" i="23"/>
  <c r="Q108" i="30"/>
  <c r="S156" i="4"/>
  <c r="S171" i="4" s="1"/>
  <c r="U97" i="4"/>
  <c r="U98" i="4" s="1"/>
  <c r="R84" i="4"/>
  <c r="S82" i="4"/>
  <c r="T75" i="4"/>
  <c r="S72" i="4"/>
  <c r="S74" i="4" s="1"/>
  <c r="S77" i="4" s="1"/>
  <c r="U116" i="4"/>
  <c r="U121" i="4"/>
  <c r="V7" i="4"/>
  <c r="W7" i="4" s="1"/>
  <c r="T80" i="4"/>
  <c r="T81" i="4"/>
  <c r="T66" i="4"/>
  <c r="V6" i="4"/>
  <c r="U114" i="4"/>
  <c r="U152" i="4"/>
  <c r="U9" i="4"/>
  <c r="U11" i="4"/>
  <c r="T71" i="4"/>
  <c r="T62" i="4"/>
  <c r="T70" i="4"/>
  <c r="U99" i="4"/>
  <c r="U61" i="4"/>
  <c r="U63" i="4"/>
  <c r="T100" i="4"/>
  <c r="T135" i="4" s="1"/>
  <c r="T146" i="4" s="1"/>
  <c r="R118" i="23" l="1"/>
  <c r="R108" i="30"/>
  <c r="T156" i="4"/>
  <c r="T171" i="4" s="1"/>
  <c r="V97" i="4"/>
  <c r="V98" i="4" s="1"/>
  <c r="T72" i="4"/>
  <c r="T74" i="4" s="1"/>
  <c r="T77" i="4" s="1"/>
  <c r="S84" i="4"/>
  <c r="T82" i="4"/>
  <c r="U75" i="4"/>
  <c r="V9" i="4"/>
  <c r="V116" i="4"/>
  <c r="V121" i="4"/>
  <c r="V61" i="4"/>
  <c r="V99" i="4"/>
  <c r="V152" i="4"/>
  <c r="V63" i="4"/>
  <c r="V11" i="4"/>
  <c r="W6" i="4"/>
  <c r="V114" i="4"/>
  <c r="U66" i="4"/>
  <c r="U71" i="4"/>
  <c r="U70" i="4"/>
  <c r="U62" i="4"/>
  <c r="U100" i="4"/>
  <c r="U135" i="4" s="1"/>
  <c r="U146" i="4" s="1"/>
  <c r="X7" i="4"/>
  <c r="S118" i="23" l="1"/>
  <c r="S108" i="30"/>
  <c r="U156" i="4"/>
  <c r="U171" i="4" s="1"/>
  <c r="W97" i="4"/>
  <c r="W98" i="4" s="1"/>
  <c r="T84" i="4"/>
  <c r="U72" i="4"/>
  <c r="U74" i="4" s="1"/>
  <c r="U77" i="4" s="1"/>
  <c r="V62" i="4"/>
  <c r="V75" i="4"/>
  <c r="W99" i="4"/>
  <c r="V66" i="4"/>
  <c r="V70" i="4"/>
  <c r="V71" i="4"/>
  <c r="W61" i="4"/>
  <c r="W152" i="4"/>
  <c r="W116" i="4"/>
  <c r="W121" i="4"/>
  <c r="W63" i="4"/>
  <c r="W71" i="4" s="1"/>
  <c r="V100" i="4"/>
  <c r="V135" i="4" s="1"/>
  <c r="V146" i="4" s="1"/>
  <c r="W11" i="4"/>
  <c r="W114" i="4"/>
  <c r="X6" i="4"/>
  <c r="Y7" i="4"/>
  <c r="T118" i="23" l="1"/>
  <c r="T108" i="30"/>
  <c r="V156" i="4"/>
  <c r="V171" i="4" s="1"/>
  <c r="X97" i="4"/>
  <c r="X98" i="4" s="1"/>
  <c r="W62" i="4"/>
  <c r="W75" i="4"/>
  <c r="V72" i="4"/>
  <c r="V74" i="4" s="1"/>
  <c r="V77" i="4" s="1"/>
  <c r="W100" i="4"/>
  <c r="W135" i="4" s="1"/>
  <c r="W146" i="4" s="1"/>
  <c r="W70" i="4"/>
  <c r="W72" i="4" s="1"/>
  <c r="W66" i="4"/>
  <c r="X63" i="4"/>
  <c r="X11" i="4"/>
  <c r="X113" i="4"/>
  <c r="X116" i="4"/>
  <c r="X121" i="4"/>
  <c r="X61" i="4"/>
  <c r="X152" i="4"/>
  <c r="Y6" i="4"/>
  <c r="X114" i="4"/>
  <c r="X115" i="4"/>
  <c r="X99" i="4"/>
  <c r="Z7" i="4"/>
  <c r="U118" i="23" l="1"/>
  <c r="U108" i="30"/>
  <c r="U122" i="23"/>
  <c r="U112" i="30"/>
  <c r="W156" i="4"/>
  <c r="W171" i="4" s="1"/>
  <c r="Y97" i="4"/>
  <c r="Y98" i="4" s="1"/>
  <c r="W74" i="4"/>
  <c r="W77" i="4" s="1"/>
  <c r="X70" i="4"/>
  <c r="X75" i="4"/>
  <c r="Y115" i="4"/>
  <c r="X71" i="4"/>
  <c r="X66" i="4"/>
  <c r="Y11" i="4"/>
  <c r="Z6" i="4"/>
  <c r="Y113" i="4"/>
  <c r="Y116" i="4"/>
  <c r="Y121" i="4"/>
  <c r="X62" i="4"/>
  <c r="Y114" i="4"/>
  <c r="Y63" i="4"/>
  <c r="Y71" i="4" s="1"/>
  <c r="Y61" i="4"/>
  <c r="Y152" i="4"/>
  <c r="Y99" i="4"/>
  <c r="X100" i="4"/>
  <c r="X135" i="4" s="1"/>
  <c r="X146" i="4" s="1"/>
  <c r="AA7" i="4"/>
  <c r="V118" i="23" l="1"/>
  <c r="V108" i="30"/>
  <c r="V122" i="23"/>
  <c r="V112" i="30"/>
  <c r="Z97" i="4"/>
  <c r="Z98" i="4" s="1"/>
  <c r="X156" i="4"/>
  <c r="X171" i="4" s="1"/>
  <c r="Z99" i="4"/>
  <c r="Y62" i="4"/>
  <c r="Y75" i="4"/>
  <c r="X72" i="4"/>
  <c r="X74" i="4" s="1"/>
  <c r="X77" i="4" s="1"/>
  <c r="Z63" i="4"/>
  <c r="Z71" i="4" s="1"/>
  <c r="Z119" i="4"/>
  <c r="Z114" i="4"/>
  <c r="Z152" i="4"/>
  <c r="Z115" i="4"/>
  <c r="Z11" i="4"/>
  <c r="Y66" i="4"/>
  <c r="Y100" i="4"/>
  <c r="Y135" i="4" s="1"/>
  <c r="Y146" i="4" s="1"/>
  <c r="Y70" i="4"/>
  <c r="Y72" i="4" s="1"/>
  <c r="Z113" i="4"/>
  <c r="Z121" i="4"/>
  <c r="Z116" i="4"/>
  <c r="AA6" i="4"/>
  <c r="Z61" i="4"/>
  <c r="AB7" i="4"/>
  <c r="W122" i="23" l="1"/>
  <c r="W112" i="30"/>
  <c r="W118" i="23"/>
  <c r="W108" i="30"/>
  <c r="Z100" i="4"/>
  <c r="Z135" i="4" s="1"/>
  <c r="Z146" i="4" s="1"/>
  <c r="Z156" i="4" s="1"/>
  <c r="Z171" i="4" s="1"/>
  <c r="AA97" i="4"/>
  <c r="AA98" i="4" s="1"/>
  <c r="Y156" i="4"/>
  <c r="Y171" i="4" s="1"/>
  <c r="Z70" i="4"/>
  <c r="Z72" i="4" s="1"/>
  <c r="Z75" i="4"/>
  <c r="Y74" i="4"/>
  <c r="Y77" i="4" s="1"/>
  <c r="AA119" i="4"/>
  <c r="AA63" i="4"/>
  <c r="AA71" i="4" s="1"/>
  <c r="AA11" i="4"/>
  <c r="AB6" i="4"/>
  <c r="Z66" i="4"/>
  <c r="Z62" i="4"/>
  <c r="AA61" i="4"/>
  <c r="AA121" i="4"/>
  <c r="AA113" i="4"/>
  <c r="AA116" i="4"/>
  <c r="AA99" i="4"/>
  <c r="AA115" i="4"/>
  <c r="AA114" i="4"/>
  <c r="AA152" i="4"/>
  <c r="AC7" i="4"/>
  <c r="X118" i="23" l="1"/>
  <c r="X108" i="30"/>
  <c r="X122" i="23"/>
  <c r="X112" i="30"/>
  <c r="AB97" i="4"/>
  <c r="AB98" i="4" s="1"/>
  <c r="Z74" i="4"/>
  <c r="Z77" i="4" s="1"/>
  <c r="AB121" i="4"/>
  <c r="AA62" i="4"/>
  <c r="AA75" i="4"/>
  <c r="AB63" i="4"/>
  <c r="AB71" i="4" s="1"/>
  <c r="AB114" i="4"/>
  <c r="AB99" i="4"/>
  <c r="AB152" i="4"/>
  <c r="AB116" i="4"/>
  <c r="AB119" i="4"/>
  <c r="AB11" i="4"/>
  <c r="AB113" i="4"/>
  <c r="AC6" i="4"/>
  <c r="AB115" i="4"/>
  <c r="AB61" i="4"/>
  <c r="AA66" i="4"/>
  <c r="AA100" i="4"/>
  <c r="AA135" i="4" s="1"/>
  <c r="AA146" i="4" s="1"/>
  <c r="AA70" i="4"/>
  <c r="AA72" i="4" s="1"/>
  <c r="AD7" i="4"/>
  <c r="Y118" i="23" l="1"/>
  <c r="Y108" i="30"/>
  <c r="Y122" i="23"/>
  <c r="Y112" i="30"/>
  <c r="AC97" i="4"/>
  <c r="AC98" i="4" s="1"/>
  <c r="AA156" i="4"/>
  <c r="AA171" i="4" s="1"/>
  <c r="AC99" i="4"/>
  <c r="AB66" i="4"/>
  <c r="AB75" i="4"/>
  <c r="AA74" i="4"/>
  <c r="AA77" i="4" s="1"/>
  <c r="AB100" i="4"/>
  <c r="AC121" i="4"/>
  <c r="AC61" i="4"/>
  <c r="AB70" i="4"/>
  <c r="AB72" i="4" s="1"/>
  <c r="AC115" i="4"/>
  <c r="AC114" i="4"/>
  <c r="AC152" i="4"/>
  <c r="AC63" i="4"/>
  <c r="AC119" i="4"/>
  <c r="AB62" i="4"/>
  <c r="AC116" i="4"/>
  <c r="AC113" i="4"/>
  <c r="AC11" i="4"/>
  <c r="AD6" i="4"/>
  <c r="AE7" i="4"/>
  <c r="Z118" i="23" l="1"/>
  <c r="Z108" i="30"/>
  <c r="Z122" i="23"/>
  <c r="Z112" i="30"/>
  <c r="AC100" i="4"/>
  <c r="AC135" i="4" s="1"/>
  <c r="AC146" i="4" s="1"/>
  <c r="AC156" i="4" s="1"/>
  <c r="AD97" i="4"/>
  <c r="AD98" i="4" s="1"/>
  <c r="AB135" i="4"/>
  <c r="AB146" i="4" s="1"/>
  <c r="AD61" i="4"/>
  <c r="AD70" i="4" s="1"/>
  <c r="AC62" i="4"/>
  <c r="AC75" i="4"/>
  <c r="AB74" i="4"/>
  <c r="AB77" i="4" s="1"/>
  <c r="AC66" i="4"/>
  <c r="AC70" i="4"/>
  <c r="AD63" i="4"/>
  <c r="AC71" i="4"/>
  <c r="AD99" i="4"/>
  <c r="AD152" i="4"/>
  <c r="AD115" i="4"/>
  <c r="AD114" i="4"/>
  <c r="AD119" i="4"/>
  <c r="AD11" i="4"/>
  <c r="AE6" i="4"/>
  <c r="AD116" i="4"/>
  <c r="AD121" i="4"/>
  <c r="AD113" i="4"/>
  <c r="AF7" i="4"/>
  <c r="AA118" i="23" l="1"/>
  <c r="AA108" i="30"/>
  <c r="AA122" i="23"/>
  <c r="AA112" i="30"/>
  <c r="AC171" i="4"/>
  <c r="AD66" i="4"/>
  <c r="AD62" i="4"/>
  <c r="AE97" i="4"/>
  <c r="AE98" i="4" s="1"/>
  <c r="AB156" i="4"/>
  <c r="AB171" i="4" s="1"/>
  <c r="AE61" i="4"/>
  <c r="AE62" i="4" s="1"/>
  <c r="AC72" i="4"/>
  <c r="AC74" i="4" s="1"/>
  <c r="AC77" i="4" s="1"/>
  <c r="AD75" i="4"/>
  <c r="AD71" i="4"/>
  <c r="AD72" i="4" s="1"/>
  <c r="AE99" i="4"/>
  <c r="AD100" i="4"/>
  <c r="AE152" i="4"/>
  <c r="AE115" i="4"/>
  <c r="AE116" i="4"/>
  <c r="AE114" i="4"/>
  <c r="AE121" i="4"/>
  <c r="AE63" i="4"/>
  <c r="AE71" i="4" s="1"/>
  <c r="AE113" i="4"/>
  <c r="AE119" i="4"/>
  <c r="AE11" i="4"/>
  <c r="AF6" i="4"/>
  <c r="AG7" i="4"/>
  <c r="AB122" i="23" l="1"/>
  <c r="AB112" i="30"/>
  <c r="AB118" i="23"/>
  <c r="AB108" i="30"/>
  <c r="AD74" i="4"/>
  <c r="AD77" i="4" s="1"/>
  <c r="AE70" i="4"/>
  <c r="AE72" i="4" s="1"/>
  <c r="AF97" i="4"/>
  <c r="AF98" i="4" s="1"/>
  <c r="AD135" i="4"/>
  <c r="AD146" i="4" s="1"/>
  <c r="AF121" i="4"/>
  <c r="AE75" i="4"/>
  <c r="AE100" i="4"/>
  <c r="AE66" i="4"/>
  <c r="AF152" i="4"/>
  <c r="AF116" i="4"/>
  <c r="AF113" i="4"/>
  <c r="AF122" i="4"/>
  <c r="AF119" i="4"/>
  <c r="AF115" i="4"/>
  <c r="AF114" i="4"/>
  <c r="AF63" i="4"/>
  <c r="AF71" i="4" s="1"/>
  <c r="AF11" i="4"/>
  <c r="AF61" i="4"/>
  <c r="AG6" i="4"/>
  <c r="AF99" i="4"/>
  <c r="AH7" i="4"/>
  <c r="AC118" i="23" l="1"/>
  <c r="AC108" i="30"/>
  <c r="AC122" i="23"/>
  <c r="AC112" i="30"/>
  <c r="AG97" i="4"/>
  <c r="AG98" i="4" s="1"/>
  <c r="AD156" i="4"/>
  <c r="AD171" i="4" s="1"/>
  <c r="AE135" i="4"/>
  <c r="AE146" i="4" s="1"/>
  <c r="AG11" i="4"/>
  <c r="AE74" i="4"/>
  <c r="AE77" i="4" s="1"/>
  <c r="AF62" i="4"/>
  <c r="AF75" i="4"/>
  <c r="AG63" i="4"/>
  <c r="AG71" i="4" s="1"/>
  <c r="AG122" i="4"/>
  <c r="AG61" i="4"/>
  <c r="AG114" i="4"/>
  <c r="AG99" i="4"/>
  <c r="AG115" i="4"/>
  <c r="AF70" i="4"/>
  <c r="AF72" i="4" s="1"/>
  <c r="AF66" i="4"/>
  <c r="AG119" i="4"/>
  <c r="AH6" i="4"/>
  <c r="AG116" i="4"/>
  <c r="AG113" i="4"/>
  <c r="AG121" i="4"/>
  <c r="AG152" i="4"/>
  <c r="AF100" i="4"/>
  <c r="AF135" i="4" s="1"/>
  <c r="AF146" i="4" s="1"/>
  <c r="AI7" i="4"/>
  <c r="AD122" i="23" l="1"/>
  <c r="AD112" i="30"/>
  <c r="AD118" i="23"/>
  <c r="AD108" i="30"/>
  <c r="AH97" i="4"/>
  <c r="AH98" i="4" s="1"/>
  <c r="AF156" i="4"/>
  <c r="AF171" i="4" s="1"/>
  <c r="AE156" i="4"/>
  <c r="AE171" i="4" s="1"/>
  <c r="AH113" i="4"/>
  <c r="AF74" i="4"/>
  <c r="AF77" i="4" s="1"/>
  <c r="AG70" i="4"/>
  <c r="AG72" i="4" s="1"/>
  <c r="AG75" i="4"/>
  <c r="AG62" i="4"/>
  <c r="AH121" i="4"/>
  <c r="AH152" i="4"/>
  <c r="AH11" i="4"/>
  <c r="AI6" i="4"/>
  <c r="AH61" i="4"/>
  <c r="AH99" i="4"/>
  <c r="AH114" i="4"/>
  <c r="AH115" i="4"/>
  <c r="AG66" i="4"/>
  <c r="AH116" i="4"/>
  <c r="AH63" i="4"/>
  <c r="AG100" i="4"/>
  <c r="AH119" i="4"/>
  <c r="AH122" i="4"/>
  <c r="AJ7" i="4"/>
  <c r="AE122" i="23" l="1"/>
  <c r="AE112" i="30"/>
  <c r="AE118" i="23"/>
  <c r="AE108" i="30"/>
  <c r="AI97" i="4"/>
  <c r="AI98" i="4" s="1"/>
  <c r="AG135" i="4"/>
  <c r="AG146" i="4" s="1"/>
  <c r="AI121" i="4"/>
  <c r="AG74" i="4"/>
  <c r="AG77" i="4" s="1"/>
  <c r="AH62" i="4"/>
  <c r="AH75" i="4"/>
  <c r="AI11" i="4"/>
  <c r="AJ6" i="4"/>
  <c r="AI115" i="4"/>
  <c r="AI114" i="4"/>
  <c r="AI63" i="4"/>
  <c r="AI71" i="4" s="1"/>
  <c r="AI116" i="4"/>
  <c r="AI61" i="4"/>
  <c r="AI99" i="4"/>
  <c r="AI113" i="4"/>
  <c r="AI119" i="4"/>
  <c r="AI152" i="4"/>
  <c r="AI122" i="4"/>
  <c r="AH100" i="4"/>
  <c r="AH70" i="4"/>
  <c r="AH71" i="4"/>
  <c r="AH66" i="4"/>
  <c r="AK7" i="4"/>
  <c r="AF118" i="23" l="1"/>
  <c r="AF108" i="30"/>
  <c r="AF122" i="23"/>
  <c r="AF112" i="30"/>
  <c r="AJ97" i="4"/>
  <c r="AJ98" i="4" s="1"/>
  <c r="AG156" i="4"/>
  <c r="AG171" i="4" s="1"/>
  <c r="AH135" i="4"/>
  <c r="AH146" i="4" s="1"/>
  <c r="AJ63" i="4"/>
  <c r="AJ71" i="4" s="1"/>
  <c r="AJ116" i="4"/>
  <c r="AJ115" i="4"/>
  <c r="AJ114" i="4"/>
  <c r="AJ152" i="4"/>
  <c r="AJ119" i="4"/>
  <c r="AI62" i="4"/>
  <c r="AI75" i="4"/>
  <c r="AH72" i="4"/>
  <c r="AH74" i="4" s="1"/>
  <c r="AH77" i="4" s="1"/>
  <c r="AJ113" i="4"/>
  <c r="AJ121" i="4"/>
  <c r="AJ61" i="4"/>
  <c r="AJ99" i="4"/>
  <c r="AJ11" i="4"/>
  <c r="AK6" i="4"/>
  <c r="AJ122" i="4"/>
  <c r="AI70" i="4"/>
  <c r="AI72" i="4" s="1"/>
  <c r="AI66" i="4"/>
  <c r="AI100" i="4"/>
  <c r="AL7" i="4"/>
  <c r="AG118" i="23" l="1"/>
  <c r="AG108" i="30"/>
  <c r="AG122" i="23"/>
  <c r="AG112" i="30"/>
  <c r="AK97" i="4"/>
  <c r="AK98" i="4" s="1"/>
  <c r="AH156" i="4"/>
  <c r="AH171" i="4" s="1"/>
  <c r="AI135" i="4"/>
  <c r="AI146" i="4" s="1"/>
  <c r="AK119" i="4"/>
  <c r="AJ75" i="4"/>
  <c r="AJ62" i="4"/>
  <c r="AI74" i="4"/>
  <c r="AI77" i="4" s="1"/>
  <c r="AJ70" i="4"/>
  <c r="AJ72" i="4" s="1"/>
  <c r="AJ66" i="4"/>
  <c r="AL6" i="4"/>
  <c r="AJ100" i="4"/>
  <c r="AK121" i="4"/>
  <c r="AK114" i="4"/>
  <c r="AK152" i="4"/>
  <c r="AK122" i="4"/>
  <c r="AK115" i="4"/>
  <c r="AK61" i="4"/>
  <c r="AK63" i="4"/>
  <c r="AK71" i="4" s="1"/>
  <c r="AK116" i="4"/>
  <c r="AK11" i="4"/>
  <c r="AK99" i="4"/>
  <c r="AK113" i="4"/>
  <c r="AM7" i="4"/>
  <c r="AH122" i="23" l="1"/>
  <c r="AH112" i="30"/>
  <c r="AH118" i="23"/>
  <c r="AH108" i="30"/>
  <c r="AL97" i="4"/>
  <c r="AL98" i="4" s="1"/>
  <c r="AI156" i="4"/>
  <c r="AI171" i="4" s="1"/>
  <c r="AJ135" i="4"/>
  <c r="AJ146" i="4" s="1"/>
  <c r="AL99" i="4"/>
  <c r="AL122" i="4"/>
  <c r="AL115" i="4"/>
  <c r="AL114" i="4"/>
  <c r="AJ74" i="4"/>
  <c r="AJ77" i="4" s="1"/>
  <c r="AK70" i="4"/>
  <c r="AK72" i="4" s="1"/>
  <c r="AL61" i="4"/>
  <c r="AL70" i="4" s="1"/>
  <c r="AL63" i="4"/>
  <c r="AL71" i="4" s="1"/>
  <c r="AL119" i="4"/>
  <c r="AL11" i="4"/>
  <c r="AM6" i="4"/>
  <c r="AL116" i="4"/>
  <c r="AL113" i="4"/>
  <c r="AL121" i="4"/>
  <c r="AL152" i="4"/>
  <c r="AK62" i="4"/>
  <c r="AK66" i="4"/>
  <c r="AK100" i="4"/>
  <c r="AK135" i="4" s="1"/>
  <c r="AK146" i="4" s="1"/>
  <c r="AN7" i="4"/>
  <c r="AI118" i="23" l="1"/>
  <c r="AI108" i="30"/>
  <c r="AI122" i="23"/>
  <c r="AI112" i="30"/>
  <c r="AM97" i="4"/>
  <c r="AM98" i="4" s="1"/>
  <c r="AK156" i="4"/>
  <c r="AK171" i="4" s="1"/>
  <c r="AJ156" i="4"/>
  <c r="AJ171" i="4" s="1"/>
  <c r="AL100" i="4"/>
  <c r="AL62" i="4"/>
  <c r="AK74" i="4"/>
  <c r="AK75" i="4" s="1"/>
  <c r="AM116" i="4"/>
  <c r="AM113" i="4"/>
  <c r="AM121" i="4"/>
  <c r="AM152" i="4"/>
  <c r="AM122" i="4"/>
  <c r="AM115" i="4"/>
  <c r="AM114" i="4"/>
  <c r="AL72" i="4"/>
  <c r="AL66" i="4"/>
  <c r="AM119" i="4"/>
  <c r="AM61" i="4"/>
  <c r="AM70" i="4" s="1"/>
  <c r="AM63" i="4"/>
  <c r="AM71" i="4" s="1"/>
  <c r="AM11" i="4"/>
  <c r="AM99" i="4"/>
  <c r="AN6" i="4"/>
  <c r="AO7" i="4"/>
  <c r="AJ122" i="23" l="1"/>
  <c r="AJ112" i="30"/>
  <c r="AJ118" i="23"/>
  <c r="AJ108" i="30"/>
  <c r="AN97" i="4"/>
  <c r="AN98" i="4" s="1"/>
  <c r="AL135" i="4"/>
  <c r="AL146" i="4" s="1"/>
  <c r="AN115" i="4"/>
  <c r="AK77" i="4"/>
  <c r="AL74" i="4"/>
  <c r="AL75" i="4" s="1"/>
  <c r="AL77" i="4" s="1"/>
  <c r="AM62" i="4"/>
  <c r="AM66" i="4"/>
  <c r="AM72" i="4"/>
  <c r="AN61" i="4"/>
  <c r="AN70" i="4" s="1"/>
  <c r="AN11" i="4"/>
  <c r="AO6" i="4"/>
  <c r="AN121" i="4"/>
  <c r="AN113" i="4"/>
  <c r="AN63" i="4"/>
  <c r="AN71" i="4" s="1"/>
  <c r="AN119" i="4"/>
  <c r="AN99" i="4"/>
  <c r="AM100" i="4"/>
  <c r="AN152" i="4"/>
  <c r="AN116" i="4"/>
  <c r="AN122" i="4"/>
  <c r="AN114" i="4"/>
  <c r="AP7" i="4"/>
  <c r="AK118" i="23" l="1"/>
  <c r="AK108" i="30"/>
  <c r="AK122" i="23"/>
  <c r="AK112" i="30"/>
  <c r="AO97" i="4"/>
  <c r="AO98" i="4" s="1"/>
  <c r="AL156" i="4"/>
  <c r="AL171" i="4" s="1"/>
  <c r="AM135" i="4"/>
  <c r="AM146" i="4" s="1"/>
  <c r="AM74" i="4"/>
  <c r="AM75" i="4" s="1"/>
  <c r="AO99" i="4"/>
  <c r="AO116" i="4"/>
  <c r="AO113" i="4"/>
  <c r="AO121" i="4"/>
  <c r="AN100" i="4"/>
  <c r="AO152" i="4"/>
  <c r="AO122" i="4"/>
  <c r="AN62" i="4"/>
  <c r="AO114" i="4"/>
  <c r="AO115" i="4"/>
  <c r="AO119" i="4"/>
  <c r="AO61" i="4"/>
  <c r="AO11" i="4"/>
  <c r="AO63" i="4"/>
  <c r="AO71" i="4" s="1"/>
  <c r="AP6" i="4"/>
  <c r="AN72" i="4"/>
  <c r="AN66" i="4"/>
  <c r="AQ7" i="4"/>
  <c r="AL122" i="23" l="1"/>
  <c r="AL112" i="30"/>
  <c r="AL118" i="23"/>
  <c r="AL108" i="30"/>
  <c r="AM77" i="4"/>
  <c r="AP97" i="4"/>
  <c r="AP98" i="4" s="1"/>
  <c r="AM156" i="4"/>
  <c r="AM171" i="4" s="1"/>
  <c r="AN135" i="4"/>
  <c r="AN146" i="4" s="1"/>
  <c r="AO100" i="4"/>
  <c r="AO135" i="4" s="1"/>
  <c r="AO146" i="4" s="1"/>
  <c r="AN74" i="4"/>
  <c r="AN75" i="4" s="1"/>
  <c r="AN77" i="4" s="1"/>
  <c r="AO66" i="4"/>
  <c r="AO70" i="4"/>
  <c r="AO72" i="4" s="1"/>
  <c r="AP61" i="4"/>
  <c r="AP62" i="4" s="1"/>
  <c r="AP63" i="4"/>
  <c r="AP71" i="4" s="1"/>
  <c r="AP99" i="4"/>
  <c r="AO62" i="4"/>
  <c r="AP11" i="4"/>
  <c r="AQ6" i="4"/>
  <c r="AP119" i="4"/>
  <c r="AP152" i="4"/>
  <c r="AP122" i="4"/>
  <c r="AP116" i="4"/>
  <c r="AP114" i="4"/>
  <c r="AP121" i="4"/>
  <c r="AP115" i="4"/>
  <c r="AP113" i="4"/>
  <c r="AR7" i="4"/>
  <c r="AM118" i="23" l="1"/>
  <c r="AM108" i="30"/>
  <c r="AM122" i="23"/>
  <c r="AM112" i="30"/>
  <c r="AQ97" i="4"/>
  <c r="AQ98" i="4" s="1"/>
  <c r="AO156" i="4"/>
  <c r="AO171" i="4" s="1"/>
  <c r="AN156" i="4"/>
  <c r="AN171" i="4" s="1"/>
  <c r="AO74" i="4"/>
  <c r="AO75" i="4" s="1"/>
  <c r="AO77" i="4" s="1"/>
  <c r="AQ113" i="4"/>
  <c r="AQ119" i="4"/>
  <c r="AQ11" i="4"/>
  <c r="AR6" i="4"/>
  <c r="AP66" i="4"/>
  <c r="AP70" i="4"/>
  <c r="AP72" i="4" s="1"/>
  <c r="AQ115" i="4"/>
  <c r="AQ114" i="4"/>
  <c r="AQ61" i="4"/>
  <c r="AQ62" i="4" s="1"/>
  <c r="AQ99" i="4"/>
  <c r="AP100" i="4"/>
  <c r="AQ116" i="4"/>
  <c r="AQ152" i="4"/>
  <c r="AQ121" i="4"/>
  <c r="AQ122" i="4"/>
  <c r="AS7" i="4"/>
  <c r="AR121" i="4" l="1"/>
  <c r="AN118" i="23"/>
  <c r="AN108" i="30"/>
  <c r="AN122" i="23"/>
  <c r="AN112" i="30"/>
  <c r="AR97" i="4"/>
  <c r="AR98" i="4" s="1"/>
  <c r="AR113" i="4"/>
  <c r="AR116" i="4"/>
  <c r="AP135" i="4"/>
  <c r="AP146" i="4" s="1"/>
  <c r="AR99" i="4"/>
  <c r="AR119" i="4"/>
  <c r="AR11" i="4"/>
  <c r="AP74" i="4"/>
  <c r="AP75" i="4" s="1"/>
  <c r="AP77" i="4" s="1"/>
  <c r="AR152" i="4"/>
  <c r="AS6" i="4"/>
  <c r="AR115" i="4"/>
  <c r="AQ70" i="4"/>
  <c r="AR114" i="4"/>
  <c r="AR122" i="4"/>
  <c r="AR61" i="4"/>
  <c r="AR70" i="4" s="1"/>
  <c r="AQ100" i="4"/>
  <c r="AQ135" i="4" s="1"/>
  <c r="AQ146" i="4" s="1"/>
  <c r="AT7" i="4"/>
  <c r="AO122" i="23" l="1"/>
  <c r="AO112" i="30"/>
  <c r="AO118" i="23"/>
  <c r="AO108" i="30"/>
  <c r="AS97" i="4"/>
  <c r="AS98" i="4" s="1"/>
  <c r="AQ156" i="4"/>
  <c r="AQ171" i="4" s="1"/>
  <c r="AP156" i="4"/>
  <c r="AP171" i="4" s="1"/>
  <c r="AS119" i="4"/>
  <c r="AS115" i="4"/>
  <c r="AS114" i="4"/>
  <c r="AS61" i="4"/>
  <c r="AS70" i="4" s="1"/>
  <c r="AS99" i="4"/>
  <c r="AS116" i="4"/>
  <c r="AS113" i="4"/>
  <c r="AS121" i="4"/>
  <c r="AS11" i="4"/>
  <c r="AT6" i="4"/>
  <c r="AS122" i="4"/>
  <c r="AS152" i="4"/>
  <c r="AR62" i="4"/>
  <c r="AR100" i="4"/>
  <c r="AR135" i="4" s="1"/>
  <c r="AR146" i="4" s="1"/>
  <c r="AU7" i="4"/>
  <c r="AP118" i="23" l="1"/>
  <c r="AP108" i="30"/>
  <c r="AP122" i="23"/>
  <c r="AP112" i="30"/>
  <c r="AT97" i="4"/>
  <c r="AT98" i="4" s="1"/>
  <c r="AR156" i="4"/>
  <c r="AR171" i="4" s="1"/>
  <c r="AT116" i="4"/>
  <c r="AT114" i="4"/>
  <c r="AT152" i="4"/>
  <c r="AT115" i="4"/>
  <c r="AS62" i="4"/>
  <c r="AT122" i="4"/>
  <c r="AT113" i="4"/>
  <c r="AT61" i="4"/>
  <c r="AT62" i="4" s="1"/>
  <c r="AT121" i="4"/>
  <c r="AS100" i="4"/>
  <c r="AT119" i="4"/>
  <c r="AT11" i="4"/>
  <c r="AT99" i="4"/>
  <c r="AU6" i="4"/>
  <c r="AV7" i="4"/>
  <c r="AQ118" i="23" l="1"/>
  <c r="AQ108" i="30"/>
  <c r="AQ122" i="23"/>
  <c r="AQ112" i="30"/>
  <c r="AU97" i="4"/>
  <c r="AS135" i="4"/>
  <c r="AS146" i="4" s="1"/>
  <c r="AU114" i="4"/>
  <c r="AT70" i="4"/>
  <c r="AU121" i="4"/>
  <c r="AU119" i="4"/>
  <c r="AU152" i="4"/>
  <c r="AU122" i="4"/>
  <c r="AU61" i="4"/>
  <c r="AU62" i="4" s="1"/>
  <c r="AU11" i="4"/>
  <c r="AV6" i="4"/>
  <c r="AU116" i="4"/>
  <c r="AU113" i="4"/>
  <c r="AU115" i="4"/>
  <c r="AT100" i="4"/>
  <c r="AT135" i="4" s="1"/>
  <c r="AT146" i="4" s="1"/>
  <c r="AW7" i="4"/>
  <c r="AR122" i="23" l="1"/>
  <c r="AR112" i="30"/>
  <c r="AV97" i="4"/>
  <c r="AV98" i="4" s="1"/>
  <c r="AT156" i="4"/>
  <c r="AT171" i="4" s="1"/>
  <c r="AS156" i="4"/>
  <c r="AS171" i="4" s="1"/>
  <c r="AV116" i="4"/>
  <c r="AV152" i="4"/>
  <c r="AV122" i="4"/>
  <c r="AV114" i="4"/>
  <c r="AV61" i="4"/>
  <c r="AV62" i="4" s="1"/>
  <c r="AV115" i="4"/>
  <c r="AU70" i="4"/>
  <c r="AV113" i="4"/>
  <c r="AV121" i="4"/>
  <c r="AV119" i="4"/>
  <c r="AV11" i="4"/>
  <c r="AV99" i="4"/>
  <c r="AW6" i="4"/>
  <c r="AX7" i="4"/>
  <c r="AS118" i="23" l="1"/>
  <c r="AS108" i="30"/>
  <c r="AS122" i="23"/>
  <c r="AS112" i="30"/>
  <c r="AW97" i="4"/>
  <c r="AW98" i="4" s="1"/>
  <c r="AV70" i="4"/>
  <c r="AW122" i="4"/>
  <c r="AW114" i="4"/>
  <c r="AW99" i="4"/>
  <c r="AX6" i="4"/>
  <c r="AW116" i="4"/>
  <c r="AW115" i="4"/>
  <c r="AW113" i="4"/>
  <c r="AW121" i="4"/>
  <c r="AV100" i="4"/>
  <c r="AW119" i="4"/>
  <c r="AW152" i="4"/>
  <c r="AW61" i="4"/>
  <c r="AW70" i="4" s="1"/>
  <c r="AW11" i="4"/>
  <c r="AY7" i="4"/>
  <c r="AT118" i="23" l="1"/>
  <c r="AT108" i="30"/>
  <c r="AT122" i="23"/>
  <c r="AT112" i="30"/>
  <c r="AX97" i="4"/>
  <c r="AX98" i="4" s="1"/>
  <c r="AX113" i="4"/>
  <c r="AX152" i="4"/>
  <c r="AX114" i="4"/>
  <c r="AX115" i="4"/>
  <c r="AX61" i="4"/>
  <c r="AX62" i="4" s="1"/>
  <c r="AX99" i="4"/>
  <c r="AX116" i="4"/>
  <c r="AX121" i="4"/>
  <c r="AV135" i="4"/>
  <c r="AV146" i="4" s="1"/>
  <c r="AX11" i="4"/>
  <c r="AY6" i="4"/>
  <c r="AX119" i="4"/>
  <c r="AW100" i="4"/>
  <c r="AX122" i="4"/>
  <c r="AW62" i="4"/>
  <c r="AZ7" i="4"/>
  <c r="AU118" i="23" l="1"/>
  <c r="AU108" i="30"/>
  <c r="AU122" i="23"/>
  <c r="AU112" i="30"/>
  <c r="AY97" i="4"/>
  <c r="AY98" i="4" s="1"/>
  <c r="AV156" i="4"/>
  <c r="AV171" i="4" s="1"/>
  <c r="AX100" i="4"/>
  <c r="AX135" i="4" s="1"/>
  <c r="AX146" i="4" s="1"/>
  <c r="AX70" i="4"/>
  <c r="AY11" i="4"/>
  <c r="AY99" i="4"/>
  <c r="AW135" i="4"/>
  <c r="AW146" i="4" s="1"/>
  <c r="AZ6" i="4"/>
  <c r="AY116" i="4"/>
  <c r="AY113" i="4"/>
  <c r="AY121" i="4"/>
  <c r="AY119" i="4"/>
  <c r="AY152" i="4"/>
  <c r="AY122" i="4"/>
  <c r="AY115" i="4"/>
  <c r="AY114" i="4"/>
  <c r="AY61" i="4"/>
  <c r="AY62" i="4" s="1"/>
  <c r="BA7" i="4"/>
  <c r="AZ115" i="4" l="1"/>
  <c r="AV118" i="23"/>
  <c r="AV108" i="30"/>
  <c r="AV122" i="23"/>
  <c r="AV112" i="30"/>
  <c r="AZ97" i="4"/>
  <c r="AZ98" i="4" s="1"/>
  <c r="AZ114" i="4"/>
  <c r="AZ116" i="4"/>
  <c r="AZ61" i="4"/>
  <c r="AZ70" i="4" s="1"/>
  <c r="AZ99" i="4"/>
  <c r="AW156" i="4"/>
  <c r="AW171" i="4" s="1"/>
  <c r="AX156" i="4"/>
  <c r="AX171" i="4" s="1"/>
  <c r="AZ119" i="4"/>
  <c r="AZ121" i="4"/>
  <c r="AZ11" i="4"/>
  <c r="BA6" i="4"/>
  <c r="AZ122" i="4"/>
  <c r="AY100" i="4"/>
  <c r="AY135" i="4" s="1"/>
  <c r="AY146" i="4" s="1"/>
  <c r="AZ152" i="4"/>
  <c r="AY70" i="4"/>
  <c r="AZ113" i="4"/>
  <c r="BB7" i="4"/>
  <c r="BA115" i="4" l="1"/>
  <c r="AW118" i="23"/>
  <c r="AW108" i="30"/>
  <c r="AW122" i="23"/>
  <c r="AW112" i="30"/>
  <c r="AZ62" i="4"/>
  <c r="AZ100" i="4"/>
  <c r="AZ135" i="4" s="1"/>
  <c r="AZ146" i="4" s="1"/>
  <c r="AZ156" i="4" s="1"/>
  <c r="AZ171" i="4" s="1"/>
  <c r="BA97" i="4"/>
  <c r="BA98" i="4" s="1"/>
  <c r="BA122" i="4"/>
  <c r="BA61" i="4"/>
  <c r="BA62" i="4" s="1"/>
  <c r="BA99" i="4"/>
  <c r="BA114" i="4"/>
  <c r="BA119" i="4"/>
  <c r="BA11" i="4"/>
  <c r="BA152" i="4"/>
  <c r="AY156" i="4"/>
  <c r="AY171" i="4" s="1"/>
  <c r="BB6" i="4"/>
  <c r="BA116" i="4"/>
  <c r="BA113" i="4"/>
  <c r="BA121" i="4"/>
  <c r="BC7" i="4"/>
  <c r="BB115" i="4" l="1"/>
  <c r="AX118" i="23"/>
  <c r="AX108" i="30"/>
  <c r="AX122" i="23"/>
  <c r="AX112" i="30"/>
  <c r="BA100" i="4"/>
  <c r="BA135" i="4" s="1"/>
  <c r="BA146" i="4" s="1"/>
  <c r="BA156" i="4" s="1"/>
  <c r="BA171" i="4" s="1"/>
  <c r="BA70" i="4"/>
  <c r="BB97" i="4"/>
  <c r="BB98" i="4" s="1"/>
  <c r="BB11" i="4"/>
  <c r="BB113" i="4"/>
  <c r="BB114" i="4"/>
  <c r="BB61" i="4"/>
  <c r="BB70" i="4" s="1"/>
  <c r="BB119" i="4"/>
  <c r="BB116" i="4"/>
  <c r="BC6" i="4"/>
  <c r="BB152" i="4"/>
  <c r="BB99" i="4"/>
  <c r="BB121" i="4"/>
  <c r="BB122" i="4"/>
  <c r="BD7" i="4"/>
  <c r="BC88" i="4" l="1"/>
  <c r="AZ111" i="30" s="1"/>
  <c r="AY122" i="23"/>
  <c r="AY112" i="30"/>
  <c r="AY118" i="23"/>
  <c r="AY108" i="30"/>
  <c r="BC122" i="4"/>
  <c r="BB62" i="4"/>
  <c r="BC114" i="4"/>
  <c r="BC115" i="4"/>
  <c r="BC61" i="4"/>
  <c r="BC62" i="4" s="1"/>
  <c r="BC11" i="4"/>
  <c r="BC121" i="4"/>
  <c r="BD6" i="4"/>
  <c r="BC113" i="4"/>
  <c r="BD103" i="4"/>
  <c r="BD120" i="4" s="1"/>
  <c r="BC116" i="4"/>
  <c r="BC119" i="4"/>
  <c r="BB100" i="4"/>
  <c r="BB135" i="4" s="1"/>
  <c r="BB146" i="4" s="1"/>
  <c r="BB156" i="4" s="1"/>
  <c r="BB171" i="4" s="1"/>
  <c r="BC152" i="4"/>
  <c r="AZ121" i="23"/>
  <c r="BE7" i="4"/>
  <c r="BD88" i="4" l="1"/>
  <c r="BA111" i="30" s="1"/>
  <c r="AZ122" i="23"/>
  <c r="AZ112" i="30"/>
  <c r="E64" i="16"/>
  <c r="D64" i="16" s="1"/>
  <c r="BD11" i="4"/>
  <c r="BD113" i="4"/>
  <c r="BD121" i="4"/>
  <c r="BE6" i="4"/>
  <c r="BD119" i="4"/>
  <c r="BD99" i="4"/>
  <c r="BD97" i="4"/>
  <c r="BD98" i="4" s="1"/>
  <c r="BD122" i="4"/>
  <c r="BC70" i="4"/>
  <c r="E68" i="16" s="1"/>
  <c r="D68" i="16" s="1"/>
  <c r="BD152" i="4"/>
  <c r="BD115" i="4"/>
  <c r="BD114" i="4"/>
  <c r="BD116" i="4"/>
  <c r="BE103" i="4"/>
  <c r="BE120" i="4" s="1"/>
  <c r="BD145" i="4"/>
  <c r="BD61" i="4"/>
  <c r="BD70" i="4" s="1"/>
  <c r="BE97" i="4"/>
  <c r="BE145" i="4"/>
  <c r="BF7" i="4"/>
  <c r="BE115" i="4" l="1"/>
  <c r="BF103" i="4"/>
  <c r="BF120" i="4" s="1"/>
  <c r="BA121" i="23"/>
  <c r="BE113" i="4"/>
  <c r="BB122" i="23" s="1"/>
  <c r="BE88" i="4"/>
  <c r="BE152" i="4"/>
  <c r="BE121" i="4"/>
  <c r="BE119" i="4"/>
  <c r="BA118" i="23"/>
  <c r="BA108" i="30"/>
  <c r="BA122" i="23"/>
  <c r="BA112" i="30"/>
  <c r="BE122" i="4"/>
  <c r="BE114" i="4"/>
  <c r="BE61" i="4"/>
  <c r="BE62" i="4" s="1"/>
  <c r="BE99" i="4"/>
  <c r="BE11" i="4"/>
  <c r="BE116" i="4"/>
  <c r="BF6" i="4"/>
  <c r="BD62" i="4"/>
  <c r="F64" i="16"/>
  <c r="BD100" i="4"/>
  <c r="BD135" i="4" s="1"/>
  <c r="BD146" i="4" s="1"/>
  <c r="BE98" i="4"/>
  <c r="BG7" i="4"/>
  <c r="BF152" i="4" l="1"/>
  <c r="BF119" i="4"/>
  <c r="BG103" i="4"/>
  <c r="BG120" i="4" s="1"/>
  <c r="BB112" i="30"/>
  <c r="BF97" i="4"/>
  <c r="BF98" i="4" s="1"/>
  <c r="BG6" i="4"/>
  <c r="BF88" i="4"/>
  <c r="BB111" i="30"/>
  <c r="BB121" i="23"/>
  <c r="BE100" i="4"/>
  <c r="BE135" i="4" s="1"/>
  <c r="BE146" i="4" s="1"/>
  <c r="BE156" i="4" s="1"/>
  <c r="BE171" i="4" s="1"/>
  <c r="BB118" i="23"/>
  <c r="BB108" i="30"/>
  <c r="BE70" i="4"/>
  <c r="BF122" i="4"/>
  <c r="BF115" i="4"/>
  <c r="BF121" i="4"/>
  <c r="BF114" i="4"/>
  <c r="BF61" i="4"/>
  <c r="BF70" i="4" s="1"/>
  <c r="BF116" i="4"/>
  <c r="BF113" i="4"/>
  <c r="BF145" i="4"/>
  <c r="BF99" i="4"/>
  <c r="BF11" i="4"/>
  <c r="BD156" i="4"/>
  <c r="BD171" i="4" s="1"/>
  <c r="BG113" i="4"/>
  <c r="BG116" i="4"/>
  <c r="BG99" i="4"/>
  <c r="BG61" i="4"/>
  <c r="BG115" i="4"/>
  <c r="BH7" i="4"/>
  <c r="BH6" i="4"/>
  <c r="BG11" i="4"/>
  <c r="BF62" i="4" l="1"/>
  <c r="BH88" i="4"/>
  <c r="BE111" i="30" s="1"/>
  <c r="BG88" i="4"/>
  <c r="BG119" i="4"/>
  <c r="BH103" i="4"/>
  <c r="BH120" i="4" s="1"/>
  <c r="BG152" i="4"/>
  <c r="BG145" i="4"/>
  <c r="BG122" i="4"/>
  <c r="BG97" i="4"/>
  <c r="BG98" i="4" s="1"/>
  <c r="BG114" i="4"/>
  <c r="BG121" i="4"/>
  <c r="BC111" i="30"/>
  <c r="BC121" i="23"/>
  <c r="BD122" i="23"/>
  <c r="BD112" i="30"/>
  <c r="BC122" i="23"/>
  <c r="BC112" i="30"/>
  <c r="BD118" i="23"/>
  <c r="BD108" i="30"/>
  <c r="BC118" i="23"/>
  <c r="BC108" i="30"/>
  <c r="BF100" i="4"/>
  <c r="BF135" i="4" s="1"/>
  <c r="BF146" i="4" s="1"/>
  <c r="BF156" i="4" s="1"/>
  <c r="BF171" i="4" s="1"/>
  <c r="BH97" i="4"/>
  <c r="BH145" i="4"/>
  <c r="BI103" i="4"/>
  <c r="BI120" i="4" s="1"/>
  <c r="BH119" i="4"/>
  <c r="BE121" i="23"/>
  <c r="BH121" i="4"/>
  <c r="BH113" i="4"/>
  <c r="BH116" i="4"/>
  <c r="BH99" i="4"/>
  <c r="BH61" i="4"/>
  <c r="BG62" i="4"/>
  <c r="BG70" i="4"/>
  <c r="BH114" i="4"/>
  <c r="BH115" i="4"/>
  <c r="BH122" i="4"/>
  <c r="BH152" i="4"/>
  <c r="BI7" i="4"/>
  <c r="BI6" i="4"/>
  <c r="BH11" i="4"/>
  <c r="BI88" i="4" l="1"/>
  <c r="BF111" i="30" s="1"/>
  <c r="BD111" i="30"/>
  <c r="BD121" i="23"/>
  <c r="BE122" i="23"/>
  <c r="BE112" i="30"/>
  <c r="BE118" i="23"/>
  <c r="BE108" i="30"/>
  <c r="BI97" i="4"/>
  <c r="BI145" i="4"/>
  <c r="BJ103" i="4"/>
  <c r="BJ120" i="4" s="1"/>
  <c r="BI119" i="4"/>
  <c r="BF121" i="23"/>
  <c r="BI121" i="4"/>
  <c r="BI113" i="4"/>
  <c r="BI116" i="4"/>
  <c r="BI99" i="4"/>
  <c r="BI61" i="4"/>
  <c r="BH62" i="4"/>
  <c r="BH70" i="4"/>
  <c r="BI114" i="4"/>
  <c r="BI115" i="4"/>
  <c r="BI122" i="4"/>
  <c r="BI152" i="4"/>
  <c r="BG100" i="4"/>
  <c r="BG135" i="4" s="1"/>
  <c r="BG146" i="4" s="1"/>
  <c r="BH98" i="4"/>
  <c r="BH100" i="4" s="1"/>
  <c r="BH135" i="4" s="1"/>
  <c r="BH146" i="4" s="1"/>
  <c r="BJ7" i="4"/>
  <c r="BJ6" i="4"/>
  <c r="BI11" i="4"/>
  <c r="BJ88" i="4" l="1"/>
  <c r="BG111" i="30" s="1"/>
  <c r="BF122" i="23"/>
  <c r="BF112" i="30"/>
  <c r="BF118" i="23"/>
  <c r="BF108" i="30"/>
  <c r="BH156" i="4"/>
  <c r="BH171" i="4" s="1"/>
  <c r="BG156" i="4"/>
  <c r="BG171" i="4" s="1"/>
  <c r="BJ97" i="4"/>
  <c r="BJ145" i="4"/>
  <c r="BK103" i="4"/>
  <c r="BK120" i="4" s="1"/>
  <c r="BJ119" i="4"/>
  <c r="BG121" i="23"/>
  <c r="BJ121" i="4"/>
  <c r="BJ113" i="4"/>
  <c r="BJ116" i="4"/>
  <c r="BJ99" i="4"/>
  <c r="BJ61" i="4"/>
  <c r="BI62" i="4"/>
  <c r="BI70" i="4"/>
  <c r="BJ114" i="4"/>
  <c r="BJ115" i="4"/>
  <c r="BJ122" i="4"/>
  <c r="BJ152" i="4"/>
  <c r="BI98" i="4"/>
  <c r="BI100" i="4" s="1"/>
  <c r="BI135" i="4" s="1"/>
  <c r="BI146" i="4" s="1"/>
  <c r="BK7" i="4"/>
  <c r="BK6" i="4"/>
  <c r="BJ11" i="4"/>
  <c r="BK88" i="4" l="1"/>
  <c r="BH111" i="30" s="1"/>
  <c r="BG118" i="23"/>
  <c r="BG108" i="30"/>
  <c r="BG122" i="23"/>
  <c r="BG112" i="30"/>
  <c r="BI156" i="4"/>
  <c r="BI171" i="4" s="1"/>
  <c r="BK97" i="4"/>
  <c r="BK145" i="4"/>
  <c r="BL103" i="4"/>
  <c r="BL120" i="4" s="1"/>
  <c r="BK119" i="4"/>
  <c r="BH121" i="23"/>
  <c r="BK113" i="4"/>
  <c r="BK121" i="4"/>
  <c r="BK116" i="4"/>
  <c r="BJ62" i="4"/>
  <c r="BJ70" i="4"/>
  <c r="BK99" i="4"/>
  <c r="BK61" i="4"/>
  <c r="BK114" i="4"/>
  <c r="BK115" i="4"/>
  <c r="BK122" i="4"/>
  <c r="BK152" i="4"/>
  <c r="BJ98" i="4"/>
  <c r="BL7" i="4"/>
  <c r="BL6" i="4"/>
  <c r="BK11" i="4"/>
  <c r="BL88" i="4" l="1"/>
  <c r="BI111" i="30" s="1"/>
  <c r="BH122" i="23"/>
  <c r="BH112" i="30"/>
  <c r="BH118" i="23"/>
  <c r="BH108" i="30"/>
  <c r="BL97" i="4"/>
  <c r="BL145" i="4"/>
  <c r="BM103" i="4"/>
  <c r="BM120" i="4" s="1"/>
  <c r="BL119" i="4"/>
  <c r="BI121" i="23"/>
  <c r="BL121" i="4"/>
  <c r="BL113" i="4"/>
  <c r="BL116" i="4"/>
  <c r="BK62" i="4"/>
  <c r="BK70" i="4"/>
  <c r="BL99" i="4"/>
  <c r="BL61" i="4"/>
  <c r="BL115" i="4"/>
  <c r="BL114" i="4"/>
  <c r="BL122" i="4"/>
  <c r="BL152" i="4"/>
  <c r="BJ100" i="4"/>
  <c r="BJ135" i="4" s="1"/>
  <c r="BJ146" i="4" s="1"/>
  <c r="BK98" i="4"/>
  <c r="BK100" i="4" s="1"/>
  <c r="BK135" i="4" s="1"/>
  <c r="BK146" i="4" s="1"/>
  <c r="BM7" i="4"/>
  <c r="BM6" i="4"/>
  <c r="BL11" i="4"/>
  <c r="BM88" i="4" l="1"/>
  <c r="BJ111" i="30" s="1"/>
  <c r="BI122" i="23"/>
  <c r="BI112" i="30"/>
  <c r="BI118" i="23"/>
  <c r="BI108" i="30"/>
  <c r="BK156" i="4"/>
  <c r="BK171" i="4" s="1"/>
  <c r="BJ156" i="4"/>
  <c r="BJ171" i="4" s="1"/>
  <c r="BM97" i="4"/>
  <c r="BM145" i="4"/>
  <c r="BN103" i="4"/>
  <c r="BN120" i="4" s="1"/>
  <c r="BM119" i="4"/>
  <c r="BJ121" i="23"/>
  <c r="BM121" i="4"/>
  <c r="BM113" i="4"/>
  <c r="BM116" i="4"/>
  <c r="BM99" i="4"/>
  <c r="BM61" i="4"/>
  <c r="BL62" i="4"/>
  <c r="BL70" i="4"/>
  <c r="BM115" i="4"/>
  <c r="BM114" i="4"/>
  <c r="BM122" i="4"/>
  <c r="BM152" i="4"/>
  <c r="BL98" i="4"/>
  <c r="BL100" i="4" s="1"/>
  <c r="BL135" i="4" s="1"/>
  <c r="BL146" i="4" s="1"/>
  <c r="BN7" i="4"/>
  <c r="BN6" i="4"/>
  <c r="BM11" i="4"/>
  <c r="BN88" i="4" l="1"/>
  <c r="BK111" i="30" s="1"/>
  <c r="BJ118" i="23"/>
  <c r="BJ108" i="30"/>
  <c r="BJ122" i="23"/>
  <c r="BJ112" i="30"/>
  <c r="BL156" i="4"/>
  <c r="BL171" i="4" s="1"/>
  <c r="BN97" i="4"/>
  <c r="BN145" i="4"/>
  <c r="BO103" i="4"/>
  <c r="BO120" i="4" s="1"/>
  <c r="BN119" i="4"/>
  <c r="BK121" i="23"/>
  <c r="BN113" i="4"/>
  <c r="BN121" i="4"/>
  <c r="BN116" i="4"/>
  <c r="BN99" i="4"/>
  <c r="BN61" i="4"/>
  <c r="BM62" i="4"/>
  <c r="BM70" i="4"/>
  <c r="BN114" i="4"/>
  <c r="BN115" i="4"/>
  <c r="BN122" i="4"/>
  <c r="BN152" i="4"/>
  <c r="BM98" i="4"/>
  <c r="BM100" i="4" s="1"/>
  <c r="BM135" i="4" s="1"/>
  <c r="BM146" i="4" s="1"/>
  <c r="BO7" i="4"/>
  <c r="BO6" i="4"/>
  <c r="BN11" i="4"/>
  <c r="BO88" i="4" l="1"/>
  <c r="BL111" i="30" s="1"/>
  <c r="BK122" i="23"/>
  <c r="BK112" i="30"/>
  <c r="BK118" i="23"/>
  <c r="BK108" i="30"/>
  <c r="BM156" i="4"/>
  <c r="BM171" i="4" s="1"/>
  <c r="BO97" i="4"/>
  <c r="BO145" i="4"/>
  <c r="BP103" i="4"/>
  <c r="BP120" i="4" s="1"/>
  <c r="BO119" i="4"/>
  <c r="BL121" i="23"/>
  <c r="BO121" i="4"/>
  <c r="BO113" i="4"/>
  <c r="BO116" i="4"/>
  <c r="BO99" i="4"/>
  <c r="BO61" i="4"/>
  <c r="BN70" i="4"/>
  <c r="BN62" i="4"/>
  <c r="BO114" i="4"/>
  <c r="BO115" i="4"/>
  <c r="BO122" i="4"/>
  <c r="BO152" i="4"/>
  <c r="BN98" i="4"/>
  <c r="BN100" i="4" s="1"/>
  <c r="BN135" i="4" s="1"/>
  <c r="BN146" i="4" s="1"/>
  <c r="BP7" i="4"/>
  <c r="BP6" i="4"/>
  <c r="BO11" i="4"/>
  <c r="BP88" i="4" l="1"/>
  <c r="BL122" i="23"/>
  <c r="BL112" i="30"/>
  <c r="BL118" i="23"/>
  <c r="BL108" i="30"/>
  <c r="BN156" i="4"/>
  <c r="BN171" i="4" s="1"/>
  <c r="BP97" i="4"/>
  <c r="BP145" i="4"/>
  <c r="BQ103" i="4"/>
  <c r="BQ120" i="4" s="1"/>
  <c r="BP119" i="4"/>
  <c r="BP121" i="4"/>
  <c r="BP113" i="4"/>
  <c r="BP116" i="4"/>
  <c r="BP99" i="4"/>
  <c r="BP61" i="4"/>
  <c r="BO70" i="4"/>
  <c r="BO62" i="4"/>
  <c r="BP114" i="4"/>
  <c r="BP115" i="4"/>
  <c r="BP122" i="4"/>
  <c r="BP152" i="4"/>
  <c r="BO98" i="4"/>
  <c r="BO100" i="4" s="1"/>
  <c r="BO135" i="4" s="1"/>
  <c r="BO146" i="4" s="1"/>
  <c r="BQ7" i="4"/>
  <c r="BQ6" i="4"/>
  <c r="BP11" i="4"/>
  <c r="BQ88" i="4" l="1"/>
  <c r="BO156" i="4"/>
  <c r="BO171" i="4" s="1"/>
  <c r="BQ97" i="4"/>
  <c r="BQ145" i="4"/>
  <c r="BR103" i="4"/>
  <c r="BR120" i="4" s="1"/>
  <c r="BQ119" i="4"/>
  <c r="BQ121" i="4"/>
  <c r="BQ113" i="4"/>
  <c r="BQ116" i="4"/>
  <c r="BQ99" i="4"/>
  <c r="BQ61" i="4"/>
  <c r="BP62" i="4"/>
  <c r="BP70" i="4"/>
  <c r="BQ114" i="4"/>
  <c r="BQ115" i="4"/>
  <c r="BQ122" i="4"/>
  <c r="BQ152" i="4"/>
  <c r="BP98" i="4"/>
  <c r="BP100" i="4" s="1"/>
  <c r="BP135" i="4" s="1"/>
  <c r="BP146" i="4" s="1"/>
  <c r="BR7" i="4"/>
  <c r="BR6" i="4"/>
  <c r="BQ11" i="4"/>
  <c r="BR88" i="4" l="1"/>
  <c r="BP156" i="4"/>
  <c r="BP171" i="4" s="1"/>
  <c r="BR97" i="4"/>
  <c r="BR145" i="4"/>
  <c r="BS103" i="4"/>
  <c r="BS120" i="4" s="1"/>
  <c r="BR119" i="4"/>
  <c r="BR121" i="4"/>
  <c r="BR113" i="4"/>
  <c r="BR116" i="4"/>
  <c r="BR99" i="4"/>
  <c r="BR61" i="4"/>
  <c r="BQ70" i="4"/>
  <c r="BQ62" i="4"/>
  <c r="BR114" i="4"/>
  <c r="BR115" i="4"/>
  <c r="BR122" i="4"/>
  <c r="BR152" i="4"/>
  <c r="BQ98" i="4"/>
  <c r="BQ100" i="4" s="1"/>
  <c r="BQ135" i="4" s="1"/>
  <c r="BQ146" i="4" s="1"/>
  <c r="BS7" i="4"/>
  <c r="BS6" i="4"/>
  <c r="BR11" i="4"/>
  <c r="BS88" i="4" l="1"/>
  <c r="BQ156" i="4"/>
  <c r="BQ171" i="4" s="1"/>
  <c r="BS97" i="4"/>
  <c r="BS145" i="4"/>
  <c r="BT103" i="4"/>
  <c r="BT120" i="4" s="1"/>
  <c r="BS119" i="4"/>
  <c r="BS121" i="4"/>
  <c r="BS113" i="4"/>
  <c r="BS116" i="4"/>
  <c r="BR62" i="4"/>
  <c r="BR70" i="4"/>
  <c r="BS99" i="4"/>
  <c r="BS61" i="4"/>
  <c r="BS114" i="4"/>
  <c r="BS115" i="4"/>
  <c r="BS122" i="4"/>
  <c r="BS152" i="4"/>
  <c r="BR98" i="4"/>
  <c r="BR100" i="4" s="1"/>
  <c r="BR135" i="4" s="1"/>
  <c r="BR146" i="4" s="1"/>
  <c r="BT7" i="4"/>
  <c r="BT6" i="4"/>
  <c r="BS11" i="4"/>
  <c r="BT88" i="4" l="1"/>
  <c r="BR156" i="4"/>
  <c r="BR171" i="4" s="1"/>
  <c r="BT97" i="4"/>
  <c r="BT145" i="4"/>
  <c r="BU103" i="4"/>
  <c r="BU120" i="4" s="1"/>
  <c r="BT119" i="4"/>
  <c r="BT121" i="4"/>
  <c r="BT113" i="4"/>
  <c r="BT116" i="4"/>
  <c r="BS62" i="4"/>
  <c r="BS70" i="4"/>
  <c r="BT99" i="4"/>
  <c r="BT61" i="4"/>
  <c r="BT115" i="4"/>
  <c r="BT114" i="4"/>
  <c r="BT122" i="4"/>
  <c r="BT152" i="4"/>
  <c r="BS98" i="4"/>
  <c r="BS100" i="4" s="1"/>
  <c r="BS135" i="4" s="1"/>
  <c r="BS146" i="4" s="1"/>
  <c r="BU7" i="4"/>
  <c r="BU6" i="4"/>
  <c r="BT11" i="4"/>
  <c r="BU88" i="4" l="1"/>
  <c r="BS156" i="4"/>
  <c r="BS171" i="4" s="1"/>
  <c r="BU97" i="4"/>
  <c r="BU145" i="4"/>
  <c r="BV103" i="4"/>
  <c r="BV120" i="4" s="1"/>
  <c r="BU119" i="4"/>
  <c r="BU121" i="4"/>
  <c r="BU113" i="4"/>
  <c r="BU116" i="4"/>
  <c r="BU99" i="4"/>
  <c r="BU61" i="4"/>
  <c r="BT70" i="4"/>
  <c r="BT62" i="4"/>
  <c r="BU115" i="4"/>
  <c r="BU114" i="4"/>
  <c r="BU122" i="4"/>
  <c r="BU152" i="4"/>
  <c r="BT98" i="4"/>
  <c r="BT100" i="4" s="1"/>
  <c r="BT135" i="4" s="1"/>
  <c r="BT146" i="4" s="1"/>
  <c r="BV7" i="4"/>
  <c r="BV6" i="4"/>
  <c r="BU11" i="4"/>
  <c r="BV88" i="4" l="1"/>
  <c r="BT156" i="4"/>
  <c r="BT171" i="4" s="1"/>
  <c r="BV97" i="4"/>
  <c r="BV145" i="4"/>
  <c r="BW103" i="4"/>
  <c r="BW120" i="4" s="1"/>
  <c r="BV119" i="4"/>
  <c r="BV121" i="4"/>
  <c r="BV113" i="4"/>
  <c r="BV116" i="4"/>
  <c r="BU62" i="4"/>
  <c r="BU70" i="4"/>
  <c r="BV99" i="4"/>
  <c r="BV61" i="4"/>
  <c r="AU98" i="4"/>
  <c r="BV115" i="4"/>
  <c r="BV114" i="4"/>
  <c r="BV122" i="4"/>
  <c r="BV152" i="4"/>
  <c r="BU98" i="4"/>
  <c r="BU100" i="4" s="1"/>
  <c r="BU135" i="4" s="1"/>
  <c r="BU146" i="4" s="1"/>
  <c r="BW7" i="4"/>
  <c r="BW6" i="4"/>
  <c r="BV11" i="4"/>
  <c r="BW88" i="4" l="1"/>
  <c r="BU156" i="4"/>
  <c r="BU171" i="4" s="1"/>
  <c r="BW97" i="4"/>
  <c r="BW145" i="4"/>
  <c r="BX103" i="4"/>
  <c r="BX120" i="4" s="1"/>
  <c r="BW119" i="4"/>
  <c r="BW113" i="4"/>
  <c r="BW121" i="4"/>
  <c r="BW116" i="4"/>
  <c r="BV62" i="4"/>
  <c r="BV70" i="4"/>
  <c r="BW99" i="4"/>
  <c r="BW61" i="4"/>
  <c r="BW114" i="4"/>
  <c r="BW115" i="4"/>
  <c r="BW122" i="4"/>
  <c r="BW152" i="4"/>
  <c r="BV98" i="4"/>
  <c r="BV100" i="4" s="1"/>
  <c r="BV135" i="4" s="1"/>
  <c r="BV146" i="4" s="1"/>
  <c r="BX7" i="4"/>
  <c r="BX6" i="4"/>
  <c r="BW11" i="4"/>
  <c r="BX88" i="4" l="1"/>
  <c r="BV156" i="4"/>
  <c r="BV171" i="4" s="1"/>
  <c r="BX97" i="4"/>
  <c r="BX145" i="4"/>
  <c r="BY103" i="4"/>
  <c r="BY120" i="4" s="1"/>
  <c r="BX119" i="4"/>
  <c r="BX113" i="4"/>
  <c r="BX121" i="4"/>
  <c r="BX116" i="4"/>
  <c r="BW62" i="4"/>
  <c r="BW70" i="4"/>
  <c r="BX99" i="4"/>
  <c r="BX61" i="4"/>
  <c r="BX114" i="4"/>
  <c r="BX115" i="4"/>
  <c r="BX122" i="4"/>
  <c r="BX152" i="4"/>
  <c r="BW98" i="4"/>
  <c r="BW100" i="4" s="1"/>
  <c r="BW135" i="4" s="1"/>
  <c r="BW146" i="4" s="1"/>
  <c r="BY7" i="4"/>
  <c r="BY6" i="4"/>
  <c r="BX11" i="4"/>
  <c r="BY88" i="4" l="1"/>
  <c r="BW156" i="4"/>
  <c r="BW171" i="4" s="1"/>
  <c r="BY97" i="4"/>
  <c r="BY145" i="4"/>
  <c r="BZ103" i="4"/>
  <c r="BZ120" i="4" s="1"/>
  <c r="BY119" i="4"/>
  <c r="BY113" i="4"/>
  <c r="BY121" i="4"/>
  <c r="BY116" i="4"/>
  <c r="BX62" i="4"/>
  <c r="BX70" i="4"/>
  <c r="BY99" i="4"/>
  <c r="BY61" i="4"/>
  <c r="BY114" i="4"/>
  <c r="BY115" i="4"/>
  <c r="BY122" i="4"/>
  <c r="BY152" i="4"/>
  <c r="BX98" i="4"/>
  <c r="BX100" i="4" s="1"/>
  <c r="BX135" i="4" s="1"/>
  <c r="BX146" i="4" s="1"/>
  <c r="BZ7" i="4"/>
  <c r="BZ6" i="4"/>
  <c r="BY11" i="4"/>
  <c r="BZ88" i="4" l="1"/>
  <c r="BX156" i="4"/>
  <c r="BX171" i="4" s="1"/>
  <c r="BZ97" i="4"/>
  <c r="BZ145" i="4"/>
  <c r="CA103" i="4"/>
  <c r="CA120" i="4" s="1"/>
  <c r="BZ119" i="4"/>
  <c r="BZ113" i="4"/>
  <c r="BZ121" i="4"/>
  <c r="BZ116" i="4"/>
  <c r="BY70" i="4"/>
  <c r="BY62" i="4"/>
  <c r="BZ99" i="4"/>
  <c r="BZ61" i="4"/>
  <c r="BZ114" i="4"/>
  <c r="BZ115" i="4"/>
  <c r="BZ122" i="4"/>
  <c r="BZ152" i="4"/>
  <c r="BY98" i="4"/>
  <c r="BY100" i="4" s="1"/>
  <c r="BY135" i="4" s="1"/>
  <c r="BY146" i="4" s="1"/>
  <c r="CA7" i="4"/>
  <c r="CA6" i="4"/>
  <c r="BZ11" i="4"/>
  <c r="CA88" i="4" l="1"/>
  <c r="H7" i="9"/>
  <c r="F7" i="9"/>
  <c r="I11" i="9"/>
  <c r="E11" i="9"/>
  <c r="G7" i="9"/>
  <c r="F11" i="9"/>
  <c r="E7" i="9"/>
  <c r="H11" i="9"/>
  <c r="G11" i="9"/>
  <c r="I7" i="9"/>
  <c r="CA145" i="4"/>
  <c r="BY156" i="4"/>
  <c r="BY171" i="4" s="1"/>
  <c r="CA97" i="4"/>
  <c r="CA119" i="4"/>
  <c r="CA113" i="4"/>
  <c r="CA121" i="4"/>
  <c r="CA116" i="4"/>
  <c r="E116" i="4" s="1"/>
  <c r="N21" i="5" s="1"/>
  <c r="P21" i="5" s="1"/>
  <c r="Q21" i="5" s="1"/>
  <c r="BZ70" i="4"/>
  <c r="BZ62" i="4"/>
  <c r="CA99" i="4"/>
  <c r="CA61" i="4"/>
  <c r="CA114" i="4"/>
  <c r="E114" i="4" s="1"/>
  <c r="N19" i="5" s="1"/>
  <c r="CA115" i="4"/>
  <c r="CA122" i="4"/>
  <c r="CA152" i="4"/>
  <c r="E43" i="9"/>
  <c r="F43" i="9"/>
  <c r="G43" i="9"/>
  <c r="BZ98" i="4"/>
  <c r="CA11" i="4"/>
  <c r="CA70" i="4" l="1"/>
  <c r="CA62" i="4"/>
  <c r="P19" i="5"/>
  <c r="Q19" i="5" s="1"/>
  <c r="BZ100" i="4"/>
  <c r="BZ135" i="4" s="1"/>
  <c r="E44" i="9"/>
  <c r="E45" i="9" s="1"/>
  <c r="F44" i="9"/>
  <c r="F45" i="9" s="1"/>
  <c r="G44" i="9"/>
  <c r="G45" i="9" s="1"/>
  <c r="CA98" i="4"/>
  <c r="E11" i="4"/>
  <c r="BZ146" i="4" l="1"/>
  <c r="CA100" i="4"/>
  <c r="CA135" i="4" s="1"/>
  <c r="CA146" i="4" s="1"/>
  <c r="CA156" i="4" l="1"/>
  <c r="CA171" i="4" s="1"/>
  <c r="BZ156" i="4"/>
  <c r="BZ171" i="4" s="1"/>
  <c r="E121" i="4" l="1"/>
  <c r="N25" i="5" s="1"/>
  <c r="P25" i="5" l="1"/>
  <c r="Q25" i="5" s="1"/>
  <c r="AU99" i="4" l="1"/>
  <c r="AR118" i="23" l="1"/>
  <c r="AR108" i="30"/>
  <c r="AU100" i="4"/>
  <c r="AU135" i="4" s="1"/>
  <c r="AU146" i="4" l="1"/>
  <c r="E27" i="1"/>
  <c r="E39" i="1" s="1"/>
  <c r="E18" i="13"/>
  <c r="D7" i="16" s="1"/>
  <c r="D19" i="13"/>
  <c r="AU156" i="4" l="1"/>
  <c r="AU171" i="4" s="1"/>
  <c r="F24" i="16"/>
  <c r="D8" i="16"/>
  <c r="F55" i="16"/>
  <c r="F23" i="16"/>
  <c r="F22" i="16"/>
  <c r="F31" i="16"/>
  <c r="F30" i="16"/>
  <c r="D39" i="16"/>
  <c r="F43" i="16"/>
  <c r="F44" i="16"/>
  <c r="F48" i="16"/>
  <c r="D40" i="16"/>
  <c r="E40" i="16" s="1"/>
  <c r="F45" i="16"/>
  <c r="F49" i="16"/>
  <c r="E41" i="1"/>
  <c r="E11" i="1" s="1"/>
  <c r="E43" i="5" s="1"/>
  <c r="E19" i="13"/>
  <c r="F36" i="16"/>
  <c r="F37" i="16"/>
  <c r="E39" i="16" l="1"/>
  <c r="E25" i="5"/>
  <c r="E28" i="5"/>
  <c r="E80" i="5"/>
  <c r="E24" i="5"/>
  <c r="E27" i="5"/>
  <c r="E29" i="5"/>
  <c r="E26" i="5"/>
  <c r="E13" i="5"/>
  <c r="E46" i="5"/>
  <c r="E33" i="5"/>
  <c r="E45" i="5"/>
  <c r="E83" i="5"/>
  <c r="D28" i="13"/>
  <c r="E71" i="5"/>
  <c r="E23" i="5"/>
  <c r="E47" i="5"/>
  <c r="E31" i="5"/>
  <c r="E38" i="5"/>
  <c r="E28" i="13" l="1"/>
  <c r="E29" i="13" s="1"/>
  <c r="C12" i="4"/>
  <c r="C29" i="13" l="1"/>
  <c r="U12" i="4"/>
  <c r="V12" i="4"/>
  <c r="AW12" i="4"/>
  <c r="AW80" i="4" s="1"/>
  <c r="BO12" i="4"/>
  <c r="BO80" i="4" s="1"/>
  <c r="AB12" i="4"/>
  <c r="AB80" i="4" s="1"/>
  <c r="BG12" i="4"/>
  <c r="BG80" i="4" s="1"/>
  <c r="BV12" i="4"/>
  <c r="BV80" i="4" s="1"/>
  <c r="BW12" i="4"/>
  <c r="BW80" i="4" s="1"/>
  <c r="BJ12" i="4"/>
  <c r="BJ80" i="4" s="1"/>
  <c r="AQ12" i="4"/>
  <c r="AQ80" i="4" s="1"/>
  <c r="BX12" i="4"/>
  <c r="BX80" i="4" s="1"/>
  <c r="BN12" i="4"/>
  <c r="BN80" i="4" s="1"/>
  <c r="BQ12" i="4"/>
  <c r="BQ80" i="4" s="1"/>
  <c r="AI12" i="4"/>
  <c r="AI80" i="4" s="1"/>
  <c r="AF12" i="4"/>
  <c r="AF80" i="4" s="1"/>
  <c r="Y12" i="4"/>
  <c r="Y80" i="4" s="1"/>
  <c r="BY12" i="4"/>
  <c r="BY80" i="4" s="1"/>
  <c r="BS12" i="4"/>
  <c r="BS80" i="4" s="1"/>
  <c r="AZ12" i="4"/>
  <c r="AZ80" i="4" s="1"/>
  <c r="BD12" i="4"/>
  <c r="BD80" i="4" s="1"/>
  <c r="AY12" i="4"/>
  <c r="AY80" i="4" s="1"/>
  <c r="AL12" i="4"/>
  <c r="AL80" i="4" s="1"/>
  <c r="AA12" i="4"/>
  <c r="AA80" i="4" s="1"/>
  <c r="AE12" i="4"/>
  <c r="AE80" i="4" s="1"/>
  <c r="BF12" i="4"/>
  <c r="BF80" i="4" s="1"/>
  <c r="W12" i="4"/>
  <c r="BC12" i="4"/>
  <c r="BC80" i="4" s="1"/>
  <c r="E78" i="16" s="1"/>
  <c r="D78" i="16" s="1"/>
  <c r="F78" i="16" s="1"/>
  <c r="AX12" i="4"/>
  <c r="AX80" i="4" s="1"/>
  <c r="AN12" i="4"/>
  <c r="AN80" i="4" s="1"/>
  <c r="BH12" i="4"/>
  <c r="BH80" i="4" s="1"/>
  <c r="AV12" i="4"/>
  <c r="AV80" i="4" s="1"/>
  <c r="AP12" i="4"/>
  <c r="AP80" i="4" s="1"/>
  <c r="X12" i="4"/>
  <c r="X80" i="4" s="1"/>
  <c r="BB12" i="4"/>
  <c r="BB80" i="4" s="1"/>
  <c r="BU12" i="4"/>
  <c r="BU80" i="4" s="1"/>
  <c r="BR12" i="4"/>
  <c r="BR80" i="4" s="1"/>
  <c r="AR12" i="4"/>
  <c r="AR80" i="4" s="1"/>
  <c r="CA12" i="4"/>
  <c r="CA80" i="4" s="1"/>
  <c r="Z12" i="4"/>
  <c r="Z80" i="4" s="1"/>
  <c r="AG12" i="4"/>
  <c r="AG80" i="4" s="1"/>
  <c r="AH12" i="4"/>
  <c r="AH80" i="4" s="1"/>
  <c r="BE12" i="4"/>
  <c r="BE80" i="4" s="1"/>
  <c r="AD12" i="4"/>
  <c r="AD80" i="4" s="1"/>
  <c r="AS12" i="4"/>
  <c r="AS80" i="4" s="1"/>
  <c r="C14" i="4"/>
  <c r="BK12" i="4"/>
  <c r="BK80" i="4" s="1"/>
  <c r="BP12" i="4"/>
  <c r="BP80" i="4" s="1"/>
  <c r="AU12" i="4"/>
  <c r="AU80" i="4" s="1"/>
  <c r="AJ12" i="4"/>
  <c r="AJ80" i="4" s="1"/>
  <c r="AO12" i="4"/>
  <c r="AO80" i="4" s="1"/>
  <c r="BT12" i="4"/>
  <c r="BT80" i="4" s="1"/>
  <c r="BM12" i="4"/>
  <c r="BM80" i="4" s="1"/>
  <c r="AM12" i="4"/>
  <c r="AM80" i="4" s="1"/>
  <c r="BA12" i="4"/>
  <c r="BA80" i="4" s="1"/>
  <c r="AC12" i="4"/>
  <c r="AC80" i="4" s="1"/>
  <c r="BZ12" i="4"/>
  <c r="BZ80" i="4" s="1"/>
  <c r="AK12" i="4"/>
  <c r="AK80" i="4" s="1"/>
  <c r="BI12" i="4"/>
  <c r="BI80" i="4" s="1"/>
  <c r="AT12" i="4"/>
  <c r="AT80" i="4" s="1"/>
  <c r="BL12" i="4"/>
  <c r="BL80" i="4" s="1"/>
  <c r="D29" i="13"/>
  <c r="E7" i="16"/>
  <c r="D46" i="16"/>
  <c r="D47" i="16"/>
  <c r="D8" i="28"/>
  <c r="E14" i="4"/>
  <c r="V80" i="4" l="1"/>
  <c r="U80" i="4"/>
  <c r="E46" i="16"/>
  <c r="F46" i="16"/>
  <c r="E8" i="16"/>
  <c r="D21" i="16" s="1"/>
  <c r="E6" i="16"/>
  <c r="E12" i="4"/>
  <c r="W80" i="4"/>
  <c r="M29" i="27"/>
  <c r="Z36" i="4" s="1"/>
  <c r="Y29" i="27"/>
  <c r="AL36" i="4" s="1"/>
  <c r="AK29" i="27"/>
  <c r="AX36" i="4" s="1"/>
  <c r="AW29" i="27"/>
  <c r="BJ36" i="4" s="1"/>
  <c r="BI29" i="27"/>
  <c r="BV36" i="4" s="1"/>
  <c r="M37" i="27"/>
  <c r="Z44" i="4" s="1"/>
  <c r="Y37" i="27"/>
  <c r="AL44" i="4" s="1"/>
  <c r="AK37" i="27"/>
  <c r="AX44" i="4" s="1"/>
  <c r="AW37" i="27"/>
  <c r="BJ44" i="4" s="1"/>
  <c r="BI37" i="27"/>
  <c r="BV44" i="4" s="1"/>
  <c r="N29" i="27"/>
  <c r="AA36" i="4" s="1"/>
  <c r="Z29" i="27"/>
  <c r="AM36" i="4" s="1"/>
  <c r="AL29" i="27"/>
  <c r="AY36" i="4" s="1"/>
  <c r="AX29" i="27"/>
  <c r="BK36" i="4" s="1"/>
  <c r="BJ29" i="27"/>
  <c r="BW36" i="4" s="1"/>
  <c r="C29" i="27"/>
  <c r="O29" i="27"/>
  <c r="AA29" i="27"/>
  <c r="AM29" i="27"/>
  <c r="AY29" i="27"/>
  <c r="C37" i="27"/>
  <c r="O37" i="27"/>
  <c r="AA37" i="27"/>
  <c r="AM37" i="27"/>
  <c r="AY37" i="27"/>
  <c r="C38" i="27"/>
  <c r="O38" i="27"/>
  <c r="AA38" i="27"/>
  <c r="AM38" i="27"/>
  <c r="AY38" i="27"/>
  <c r="H73" i="28"/>
  <c r="L65" i="27" s="1"/>
  <c r="E29" i="27"/>
  <c r="R36" i="4" s="1"/>
  <c r="Q29" i="27"/>
  <c r="AD36" i="4" s="1"/>
  <c r="AC29" i="27"/>
  <c r="AP36" i="4" s="1"/>
  <c r="AO29" i="27"/>
  <c r="BB36" i="4" s="1"/>
  <c r="BA29" i="27"/>
  <c r="BN36" i="4" s="1"/>
  <c r="E37" i="27"/>
  <c r="R44" i="4" s="1"/>
  <c r="Q37" i="27"/>
  <c r="AD44" i="4" s="1"/>
  <c r="AC37" i="27"/>
  <c r="AP44" i="4" s="1"/>
  <c r="AO37" i="27"/>
  <c r="BB44" i="4" s="1"/>
  <c r="BA37" i="27"/>
  <c r="BN44" i="4" s="1"/>
  <c r="E38" i="27"/>
  <c r="R45" i="4" s="1"/>
  <c r="Q38" i="27"/>
  <c r="AD45" i="4" s="1"/>
  <c r="AC38" i="27"/>
  <c r="AP45" i="4" s="1"/>
  <c r="AO38" i="27"/>
  <c r="BB45" i="4" s="1"/>
  <c r="BA38" i="27"/>
  <c r="BN45" i="4" s="1"/>
  <c r="H68" i="28"/>
  <c r="L57" i="27" s="1"/>
  <c r="G29" i="27"/>
  <c r="S29" i="27"/>
  <c r="AF36" i="4" s="1"/>
  <c r="AE29" i="27"/>
  <c r="AR36" i="4" s="1"/>
  <c r="AQ29" i="27"/>
  <c r="BD36" i="4" s="1"/>
  <c r="BC29" i="27"/>
  <c r="BP36" i="4" s="1"/>
  <c r="G37" i="27"/>
  <c r="T44" i="4" s="1"/>
  <c r="S37" i="27"/>
  <c r="AF44" i="4" s="1"/>
  <c r="AE37" i="27"/>
  <c r="AR44" i="4" s="1"/>
  <c r="AQ37" i="27"/>
  <c r="BD44" i="4" s="1"/>
  <c r="BC37" i="27"/>
  <c r="BP44" i="4" s="1"/>
  <c r="G38" i="27"/>
  <c r="T45" i="4" s="1"/>
  <c r="S38" i="27"/>
  <c r="AF45" i="4" s="1"/>
  <c r="AE38" i="27"/>
  <c r="AR45" i="4" s="1"/>
  <c r="AQ38" i="27"/>
  <c r="BD45" i="4" s="1"/>
  <c r="J29" i="27"/>
  <c r="W36" i="4" s="1"/>
  <c r="AF29" i="27"/>
  <c r="AS36" i="4" s="1"/>
  <c r="AZ29" i="27"/>
  <c r="BM36" i="4" s="1"/>
  <c r="K37" i="27"/>
  <c r="X44" i="4" s="1"/>
  <c r="AD37" i="27"/>
  <c r="AQ44" i="4" s="1"/>
  <c r="AU37" i="27"/>
  <c r="BH44" i="4" s="1"/>
  <c r="F38" i="27"/>
  <c r="S45" i="4" s="1"/>
  <c r="V38" i="27"/>
  <c r="AI45" i="4" s="1"/>
  <c r="AK38" i="27"/>
  <c r="AX45" i="4" s="1"/>
  <c r="BB38" i="27"/>
  <c r="BO45" i="4" s="1"/>
  <c r="K29" i="27"/>
  <c r="X36" i="4" s="1"/>
  <c r="AG29" i="27"/>
  <c r="AT36" i="4" s="1"/>
  <c r="BB29" i="27"/>
  <c r="BO36" i="4" s="1"/>
  <c r="L37" i="27"/>
  <c r="Y44" i="4" s="1"/>
  <c r="AF37" i="27"/>
  <c r="AS44" i="4" s="1"/>
  <c r="AV37" i="27"/>
  <c r="BI44" i="4" s="1"/>
  <c r="H38" i="27"/>
  <c r="U45" i="4" s="1"/>
  <c r="W38" i="27"/>
  <c r="AJ45" i="4" s="1"/>
  <c r="AL38" i="27"/>
  <c r="AY45" i="4" s="1"/>
  <c r="BC38" i="27"/>
  <c r="BP45" i="4" s="1"/>
  <c r="L29" i="27"/>
  <c r="Y36" i="4" s="1"/>
  <c r="AH29" i="27"/>
  <c r="AU36" i="4" s="1"/>
  <c r="BD29" i="27"/>
  <c r="BQ36" i="4" s="1"/>
  <c r="N37" i="27"/>
  <c r="AA44" i="4" s="1"/>
  <c r="AG37" i="27"/>
  <c r="AT44" i="4" s="1"/>
  <c r="R29" i="27"/>
  <c r="AE36" i="4" s="1"/>
  <c r="AJ29" i="27"/>
  <c r="AW36" i="4" s="1"/>
  <c r="BF29" i="27"/>
  <c r="BS36" i="4" s="1"/>
  <c r="R37" i="27"/>
  <c r="AE44" i="4" s="1"/>
  <c r="AI37" i="27"/>
  <c r="AV44" i="4" s="1"/>
  <c r="BB37" i="27"/>
  <c r="BO44" i="4" s="1"/>
  <c r="K38" i="27"/>
  <c r="X45" i="4" s="1"/>
  <c r="Z38" i="27"/>
  <c r="AM45" i="4" s="1"/>
  <c r="AR38" i="27"/>
  <c r="BE45" i="4" s="1"/>
  <c r="BF38" i="27"/>
  <c r="BS45" i="4" s="1"/>
  <c r="C42" i="26"/>
  <c r="T29" i="27"/>
  <c r="AG36" i="4" s="1"/>
  <c r="U29" i="27"/>
  <c r="AH36" i="4" s="1"/>
  <c r="AP29" i="27"/>
  <c r="BC36" i="4" s="1"/>
  <c r="BH29" i="27"/>
  <c r="BU36" i="4" s="1"/>
  <c r="U37" i="27"/>
  <c r="AH44" i="4" s="1"/>
  <c r="AL37" i="27"/>
  <c r="AY44" i="4" s="1"/>
  <c r="BE37" i="27"/>
  <c r="BR44" i="4" s="1"/>
  <c r="M38" i="27"/>
  <c r="Z45" i="4" s="1"/>
  <c r="AD38" i="27"/>
  <c r="AQ45" i="4" s="1"/>
  <c r="AT38" i="27"/>
  <c r="BG45" i="4" s="1"/>
  <c r="BH38" i="27"/>
  <c r="BU45" i="4" s="1"/>
  <c r="D29" i="27"/>
  <c r="Q36" i="4" s="1"/>
  <c r="AR29" i="27"/>
  <c r="BE36" i="4" s="1"/>
  <c r="P37" i="27"/>
  <c r="AC44" i="4" s="1"/>
  <c r="AS37" i="27"/>
  <c r="BF44" i="4" s="1"/>
  <c r="L38" i="27"/>
  <c r="Y45" i="4" s="1"/>
  <c r="AI38" i="27"/>
  <c r="AV45" i="4" s="1"/>
  <c r="BG38" i="27"/>
  <c r="BT45" i="4" s="1"/>
  <c r="AS29" i="27"/>
  <c r="BF36" i="4" s="1"/>
  <c r="T37" i="27"/>
  <c r="AG44" i="4" s="1"/>
  <c r="N38" i="27"/>
  <c r="AA45" i="4" s="1"/>
  <c r="BI38" i="27"/>
  <c r="BV45" i="4" s="1"/>
  <c r="BJ37" i="27"/>
  <c r="BW44" i="4" s="1"/>
  <c r="BX44" i="4" s="1"/>
  <c r="BY44" i="4" s="1"/>
  <c r="BZ44" i="4" s="1"/>
  <c r="CA44" i="4" s="1"/>
  <c r="AZ38" i="27"/>
  <c r="BM45" i="4" s="1"/>
  <c r="F29" i="27"/>
  <c r="S36" i="4" s="1"/>
  <c r="AT37" i="27"/>
  <c r="BG44" i="4" s="1"/>
  <c r="AJ38" i="27"/>
  <c r="AW45" i="4" s="1"/>
  <c r="BE29" i="27"/>
  <c r="BR36" i="4" s="1"/>
  <c r="AB38" i="27"/>
  <c r="AO45" i="4" s="1"/>
  <c r="AG38" i="27"/>
  <c r="AT45" i="4" s="1"/>
  <c r="AH38" i="27"/>
  <c r="AU45" i="4" s="1"/>
  <c r="H29" i="27"/>
  <c r="U36" i="4" s="1"/>
  <c r="AT29" i="27"/>
  <c r="BG36" i="4" s="1"/>
  <c r="V37" i="27"/>
  <c r="AI44" i="4" s="1"/>
  <c r="AX37" i="27"/>
  <c r="BK44" i="4" s="1"/>
  <c r="P38" i="27"/>
  <c r="AC45" i="4" s="1"/>
  <c r="AN38" i="27"/>
  <c r="BA45" i="4" s="1"/>
  <c r="BJ38" i="27"/>
  <c r="BW45" i="4" s="1"/>
  <c r="BX45" i="4" s="1"/>
  <c r="BY45" i="4" s="1"/>
  <c r="BZ45" i="4" s="1"/>
  <c r="CA45" i="4" s="1"/>
  <c r="I29" i="27"/>
  <c r="V36" i="4" s="1"/>
  <c r="AU29" i="27"/>
  <c r="BH36" i="4" s="1"/>
  <c r="W37" i="27"/>
  <c r="AJ44" i="4" s="1"/>
  <c r="AZ37" i="27"/>
  <c r="BM44" i="4" s="1"/>
  <c r="R38" i="27"/>
  <c r="AE45" i="4" s="1"/>
  <c r="AP38" i="27"/>
  <c r="BC45" i="4" s="1"/>
  <c r="H69" i="28"/>
  <c r="L61" i="27" s="1"/>
  <c r="P29" i="27"/>
  <c r="AC36" i="4" s="1"/>
  <c r="AV29" i="27"/>
  <c r="BI36" i="4" s="1"/>
  <c r="X37" i="27"/>
  <c r="AK44" i="4" s="1"/>
  <c r="BD37" i="27"/>
  <c r="BQ44" i="4" s="1"/>
  <c r="T38" i="27"/>
  <c r="AG45" i="4" s="1"/>
  <c r="AS38" i="27"/>
  <c r="BF45" i="4" s="1"/>
  <c r="V29" i="27"/>
  <c r="AI36" i="4" s="1"/>
  <c r="Z37" i="27"/>
  <c r="AM44" i="4" s="1"/>
  <c r="BF37" i="27"/>
  <c r="BS44" i="4" s="1"/>
  <c r="U38" i="27"/>
  <c r="AH45" i="4" s="1"/>
  <c r="AU38" i="27"/>
  <c r="BH45" i="4" s="1"/>
  <c r="W29" i="27"/>
  <c r="AJ36" i="4" s="1"/>
  <c r="BG29" i="27"/>
  <c r="BT36" i="4" s="1"/>
  <c r="AB37" i="27"/>
  <c r="AO44" i="4" s="1"/>
  <c r="BG37" i="27"/>
  <c r="BT44" i="4" s="1"/>
  <c r="X38" i="27"/>
  <c r="AK45" i="4" s="1"/>
  <c r="AV38" i="27"/>
  <c r="BI45" i="4" s="1"/>
  <c r="F37" i="27"/>
  <c r="S44" i="4" s="1"/>
  <c r="AD29" i="27"/>
  <c r="AQ36" i="4" s="1"/>
  <c r="H37" i="27"/>
  <c r="U44" i="4" s="1"/>
  <c r="AN37" i="27"/>
  <c r="BA44" i="4" s="1"/>
  <c r="D38" i="27"/>
  <c r="Q45" i="4" s="1"/>
  <c r="AF38" i="27"/>
  <c r="AS45" i="4" s="1"/>
  <c r="AI29" i="27"/>
  <c r="AV36" i="4" s="1"/>
  <c r="I37" i="27"/>
  <c r="V44" i="4" s="1"/>
  <c r="AP37" i="27"/>
  <c r="BC44" i="4" s="1"/>
  <c r="I38" i="27"/>
  <c r="V45" i="4" s="1"/>
  <c r="BD38" i="27"/>
  <c r="BQ45" i="4" s="1"/>
  <c r="AN29" i="27"/>
  <c r="BA36" i="4" s="1"/>
  <c r="J37" i="27"/>
  <c r="W44" i="4" s="1"/>
  <c r="AR37" i="27"/>
  <c r="BE44" i="4" s="1"/>
  <c r="J38" i="27"/>
  <c r="W45" i="4" s="1"/>
  <c r="BE38" i="27"/>
  <c r="BR45" i="4" s="1"/>
  <c r="AJ37" i="27"/>
  <c r="AW44" i="4" s="1"/>
  <c r="X29" i="27"/>
  <c r="AK36" i="4" s="1"/>
  <c r="D37" i="27"/>
  <c r="Q44" i="4" s="1"/>
  <c r="AH37" i="27"/>
  <c r="AU44" i="4" s="1"/>
  <c r="BH37" i="27"/>
  <c r="BU44" i="4" s="1"/>
  <c r="Y38" i="27"/>
  <c r="AL45" i="4" s="1"/>
  <c r="AW38" i="27"/>
  <c r="BJ45" i="4" s="1"/>
  <c r="AB29" i="27"/>
  <c r="AO36" i="4" s="1"/>
  <c r="AX38" i="27"/>
  <c r="BK45" i="4" s="1"/>
  <c r="E47" i="16"/>
  <c r="F47" i="16"/>
  <c r="D20" i="16"/>
  <c r="L71" i="27" l="1"/>
  <c r="BL45" i="4"/>
  <c r="G37" i="29"/>
  <c r="AZ45" i="4"/>
  <c r="F37" i="29"/>
  <c r="AB36" i="4"/>
  <c r="D28" i="29"/>
  <c r="E28" i="29"/>
  <c r="AN45" i="4"/>
  <c r="E37" i="29"/>
  <c r="P36" i="4"/>
  <c r="C28" i="29"/>
  <c r="AB45" i="4"/>
  <c r="D37" i="29"/>
  <c r="AN44" i="4"/>
  <c r="E36" i="29"/>
  <c r="AB44" i="4"/>
  <c r="D36" i="29"/>
  <c r="P44" i="4"/>
  <c r="C36" i="29"/>
  <c r="BL44" i="4"/>
  <c r="G36" i="29"/>
  <c r="BL36" i="4"/>
  <c r="G28" i="29"/>
  <c r="P45" i="4"/>
  <c r="C37" i="29"/>
  <c r="AZ44" i="4"/>
  <c r="F36" i="29"/>
  <c r="AZ36" i="4"/>
  <c r="F28" i="29"/>
  <c r="BX36" i="4"/>
  <c r="D42" i="26"/>
  <c r="C43" i="26"/>
  <c r="C13" i="26"/>
  <c r="AN36" i="4"/>
  <c r="D38" i="16"/>
  <c r="E38" i="16" s="1"/>
  <c r="T36" i="4"/>
  <c r="D90" i="16"/>
  <c r="E21" i="16"/>
  <c r="F21" i="16"/>
  <c r="D25" i="16"/>
  <c r="D26" i="16" s="1"/>
  <c r="E26" i="16" s="1"/>
  <c r="E20" i="16"/>
  <c r="D41" i="16"/>
  <c r="C57" i="26" l="1"/>
  <c r="C21" i="26" s="1"/>
  <c r="C56" i="26"/>
  <c r="E42" i="26"/>
  <c r="D43" i="26"/>
  <c r="BY36" i="4"/>
  <c r="B26" i="16"/>
  <c r="E25" i="16"/>
  <c r="F25" i="16"/>
  <c r="E41" i="16"/>
  <c r="E50" i="16" s="1"/>
  <c r="D50" i="16"/>
  <c r="D57" i="26" l="1"/>
  <c r="D56" i="26"/>
  <c r="D83" i="26" s="1"/>
  <c r="C20" i="26"/>
  <c r="C58" i="26"/>
  <c r="BZ36" i="4"/>
  <c r="F42" i="26"/>
  <c r="E43" i="26"/>
  <c r="F41" i="16"/>
  <c r="F39" i="16"/>
  <c r="F40" i="16"/>
  <c r="E57" i="26" l="1"/>
  <c r="E56" i="26"/>
  <c r="E83" i="26" s="1"/>
  <c r="G42" i="26"/>
  <c r="F43" i="26"/>
  <c r="D27" i="26"/>
  <c r="CA36" i="4"/>
  <c r="C15" i="27"/>
  <c r="D55" i="26"/>
  <c r="D58" i="26" s="1"/>
  <c r="C59" i="26"/>
  <c r="C10" i="27"/>
  <c r="C22" i="26"/>
  <c r="C23" i="26" s="1"/>
  <c r="D32" i="16"/>
  <c r="L31" i="16"/>
  <c r="F26" i="16"/>
  <c r="E29" i="1"/>
  <c r="E22" i="13"/>
  <c r="D12" i="16"/>
  <c r="B65" i="16" s="1"/>
  <c r="B66" i="16" s="1"/>
  <c r="F68" i="16" s="1"/>
  <c r="F57" i="26" l="1"/>
  <c r="F56" i="26"/>
  <c r="F83" i="26" s="1"/>
  <c r="P22" i="4"/>
  <c r="D59" i="26"/>
  <c r="E55" i="26"/>
  <c r="E58" i="26" s="1"/>
  <c r="D15" i="27"/>
  <c r="C16" i="27"/>
  <c r="C15" i="29" s="1"/>
  <c r="P17" i="4"/>
  <c r="C17" i="27"/>
  <c r="C16" i="29" s="1"/>
  <c r="C33" i="27"/>
  <c r="H42" i="26"/>
  <c r="G43" i="26"/>
  <c r="E27" i="26"/>
  <c r="F32" i="16"/>
  <c r="D89" i="16"/>
  <c r="D33" i="16"/>
  <c r="D57" i="16" s="1"/>
  <c r="E32" i="16"/>
  <c r="D13" i="16"/>
  <c r="D15" i="16" s="1"/>
  <c r="C63" i="4"/>
  <c r="V81" i="4" l="1"/>
  <c r="V82" i="4" s="1"/>
  <c r="V84" i="4" s="1"/>
  <c r="U81" i="4"/>
  <c r="U82" i="4" s="1"/>
  <c r="U84" i="4" s="1"/>
  <c r="G57" i="26"/>
  <c r="G56" i="26"/>
  <c r="P40" i="4"/>
  <c r="C32" i="29"/>
  <c r="P24" i="4"/>
  <c r="P23" i="4"/>
  <c r="C27" i="27"/>
  <c r="C26" i="29" s="1"/>
  <c r="F27" i="26"/>
  <c r="Q22" i="4"/>
  <c r="G83" i="26"/>
  <c r="E59" i="26"/>
  <c r="E15" i="27"/>
  <c r="F55" i="26"/>
  <c r="F58" i="26" s="1"/>
  <c r="I42" i="26"/>
  <c r="H43" i="26"/>
  <c r="E57" i="16"/>
  <c r="G57" i="16"/>
  <c r="B57" i="16"/>
  <c r="F33" i="16"/>
  <c r="E33" i="16"/>
  <c r="F57" i="16"/>
  <c r="D59" i="16"/>
  <c r="I59" i="16" s="1"/>
  <c r="BC63" i="4"/>
  <c r="AQ63" i="4"/>
  <c r="O64" i="4"/>
  <c r="BL63" i="4"/>
  <c r="AA64" i="4"/>
  <c r="AZ63" i="4"/>
  <c r="AM64" i="4"/>
  <c r="BA63" i="4"/>
  <c r="R64" i="4"/>
  <c r="BM63" i="4"/>
  <c r="AD64" i="4"/>
  <c r="CA63" i="4"/>
  <c r="AP64" i="4"/>
  <c r="BJ63" i="4"/>
  <c r="M64" i="4"/>
  <c r="Y64" i="4"/>
  <c r="AK64" i="4"/>
  <c r="BY63" i="4"/>
  <c r="AY63" i="4"/>
  <c r="BK63" i="4"/>
  <c r="AB64" i="4"/>
  <c r="BW63" i="4"/>
  <c r="AN64" i="4"/>
  <c r="Z64" i="4"/>
  <c r="AL64" i="4"/>
  <c r="AX63" i="4"/>
  <c r="BG63" i="4"/>
  <c r="H64" i="4"/>
  <c r="AC64" i="4"/>
  <c r="AE81" i="4"/>
  <c r="AE82" i="4" s="1"/>
  <c r="AE84" i="4" s="1"/>
  <c r="AQ81" i="4"/>
  <c r="AQ82" i="4" s="1"/>
  <c r="BC81" i="4"/>
  <c r="BO81" i="4"/>
  <c r="BO82" i="4" s="1"/>
  <c r="CA81" i="4"/>
  <c r="CA82" i="4" s="1"/>
  <c r="E36" i="9" s="1"/>
  <c r="BF81" i="4"/>
  <c r="BF82" i="4" s="1"/>
  <c r="AJ64" i="4"/>
  <c r="AK81" i="4"/>
  <c r="AK82" i="4" s="1"/>
  <c r="AK84" i="4" s="1"/>
  <c r="BJ81" i="4"/>
  <c r="BJ82" i="4" s="1"/>
  <c r="V64" i="4"/>
  <c r="AN81" i="4"/>
  <c r="AN82" i="4" s="1"/>
  <c r="AN84" i="4" s="1"/>
  <c r="BL81" i="4"/>
  <c r="BL82" i="4" s="1"/>
  <c r="BE63" i="4"/>
  <c r="AC81" i="4"/>
  <c r="AC82" i="4" s="1"/>
  <c r="AC84" i="4" s="1"/>
  <c r="BM81" i="4"/>
  <c r="BM82" i="4" s="1"/>
  <c r="BH63" i="4"/>
  <c r="I64" i="4"/>
  <c r="AE64" i="4"/>
  <c r="C67" i="4"/>
  <c r="AF81" i="4"/>
  <c r="AF82" i="4" s="1"/>
  <c r="AR81" i="4"/>
  <c r="AR82" i="4" s="1"/>
  <c r="BD81" i="4"/>
  <c r="BD82" i="4" s="1"/>
  <c r="BP81" i="4"/>
  <c r="BP82" i="4" s="1"/>
  <c r="AH81" i="4"/>
  <c r="AH82" i="4" s="1"/>
  <c r="AH84" i="4" s="1"/>
  <c r="BR63" i="4"/>
  <c r="AX81" i="4"/>
  <c r="AX82" i="4" s="1"/>
  <c r="BB63" i="4"/>
  <c r="AY81" i="4"/>
  <c r="AY82" i="4" s="1"/>
  <c r="G64" i="4"/>
  <c r="BB81" i="4"/>
  <c r="BB82" i="4" s="1"/>
  <c r="AR63" i="4"/>
  <c r="BI63" i="4"/>
  <c r="J64" i="4"/>
  <c r="AF64" i="4"/>
  <c r="AG81" i="4"/>
  <c r="AG82" i="4" s="1"/>
  <c r="AG84" i="4" s="1"/>
  <c r="AS81" i="4"/>
  <c r="AS82" i="4" s="1"/>
  <c r="BE81" i="4"/>
  <c r="BE82" i="4" s="1"/>
  <c r="BQ81" i="4"/>
  <c r="BQ82" i="4" s="1"/>
  <c r="AT81" i="4"/>
  <c r="AT82" i="4" s="1"/>
  <c r="BR81" i="4"/>
  <c r="BR82" i="4" s="1"/>
  <c r="BU81" i="4"/>
  <c r="BU82" i="4" s="1"/>
  <c r="BS63" i="4"/>
  <c r="AM81" i="4"/>
  <c r="AM82" i="4" s="1"/>
  <c r="AM84" i="4" s="1"/>
  <c r="BU63" i="4"/>
  <c r="AB81" i="4"/>
  <c r="AB82" i="4" s="1"/>
  <c r="AB84" i="4" s="1"/>
  <c r="BA81" i="4"/>
  <c r="BA82" i="4" s="1"/>
  <c r="AS63" i="4"/>
  <c r="BN63" i="4"/>
  <c r="K64" i="4"/>
  <c r="AG64" i="4"/>
  <c r="AW81" i="4"/>
  <c r="AW82" i="4" s="1"/>
  <c r="AW63" i="4"/>
  <c r="Z81" i="4"/>
  <c r="Z82" i="4" s="1"/>
  <c r="Z84" i="4" s="1"/>
  <c r="BT63" i="4"/>
  <c r="BW81" i="4"/>
  <c r="BW82" i="4" s="1"/>
  <c r="BD63" i="4"/>
  <c r="W64" i="4"/>
  <c r="AO81" i="4"/>
  <c r="AO82" i="4" s="1"/>
  <c r="AO84" i="4" s="1"/>
  <c r="BY81" i="4"/>
  <c r="BY82" i="4" s="1"/>
  <c r="BF63" i="4"/>
  <c r="AQ71" i="4"/>
  <c r="AQ72" i="4" s="1"/>
  <c r="AT63" i="4"/>
  <c r="BP63" i="4"/>
  <c r="L64" i="4"/>
  <c r="AH64" i="4"/>
  <c r="W81" i="4"/>
  <c r="W82" i="4" s="1"/>
  <c r="AI81" i="4"/>
  <c r="AI82" i="4" s="1"/>
  <c r="AI84" i="4" s="1"/>
  <c r="AU81" i="4"/>
  <c r="AU82" i="4" s="1"/>
  <c r="BG81" i="4"/>
  <c r="BG82" i="4" s="1"/>
  <c r="BS81" i="4"/>
  <c r="BS82" i="4" s="1"/>
  <c r="S64" i="4"/>
  <c r="AZ81" i="4"/>
  <c r="AZ82" i="4" s="1"/>
  <c r="BZ63" i="4"/>
  <c r="X64" i="4"/>
  <c r="BZ81" i="4"/>
  <c r="BZ82" i="4" s="1"/>
  <c r="AU63" i="4"/>
  <c r="BQ63" i="4"/>
  <c r="Q64" i="4"/>
  <c r="AI64" i="4"/>
  <c r="X81" i="4"/>
  <c r="X82" i="4" s="1"/>
  <c r="X84" i="4" s="1"/>
  <c r="AJ81" i="4"/>
  <c r="AJ82" i="4" s="1"/>
  <c r="AJ84" i="4" s="1"/>
  <c r="AV81" i="4"/>
  <c r="AV82" i="4" s="1"/>
  <c r="BH81" i="4"/>
  <c r="BH82" i="4" s="1"/>
  <c r="BT81" i="4"/>
  <c r="BT82" i="4" s="1"/>
  <c r="AV63" i="4"/>
  <c r="Y81" i="4"/>
  <c r="Y82" i="4" s="1"/>
  <c r="Y84" i="4" s="1"/>
  <c r="BI81" i="4"/>
  <c r="BI82" i="4" s="1"/>
  <c r="T64" i="4"/>
  <c r="AO64" i="4"/>
  <c r="AL81" i="4"/>
  <c r="AL82" i="4" s="1"/>
  <c r="AL84" i="4" s="1"/>
  <c r="BV81" i="4"/>
  <c r="BV82" i="4" s="1"/>
  <c r="U64" i="4"/>
  <c r="AA81" i="4"/>
  <c r="AA82" i="4" s="1"/>
  <c r="AA84" i="4" s="1"/>
  <c r="BK81" i="4"/>
  <c r="BK82" i="4" s="1"/>
  <c r="BX81" i="4"/>
  <c r="BX82" i="4" s="1"/>
  <c r="AD81" i="4"/>
  <c r="AD82" i="4" s="1"/>
  <c r="AD84" i="4" s="1"/>
  <c r="AP81" i="4"/>
  <c r="AP82" i="4" s="1"/>
  <c r="AP84" i="4" s="1"/>
  <c r="BN81" i="4"/>
  <c r="BN82" i="4" s="1"/>
  <c r="N64" i="4"/>
  <c r="P64" i="4"/>
  <c r="BV63" i="4"/>
  <c r="BX63" i="4"/>
  <c r="BO63" i="4"/>
  <c r="H56" i="26" l="1"/>
  <c r="H57" i="26"/>
  <c r="F59" i="26"/>
  <c r="G55" i="26"/>
  <c r="G58" i="26" s="1"/>
  <c r="F15" i="27"/>
  <c r="H83" i="26"/>
  <c r="J42" i="26"/>
  <c r="I43" i="26"/>
  <c r="R22" i="4"/>
  <c r="G27" i="26"/>
  <c r="P34" i="4"/>
  <c r="AF84" i="4"/>
  <c r="G36" i="9"/>
  <c r="W84" i="4"/>
  <c r="F36" i="9"/>
  <c r="I36" i="9"/>
  <c r="E59" i="16"/>
  <c r="E79" i="16"/>
  <c r="D79" i="16" s="1"/>
  <c r="BC82" i="4"/>
  <c r="H36" i="9" s="1"/>
  <c r="BW64" i="4"/>
  <c r="BK66" i="4"/>
  <c r="BA71" i="4"/>
  <c r="AY64" i="4"/>
  <c r="BM64" i="4"/>
  <c r="AZ64" i="4"/>
  <c r="BL64" i="4"/>
  <c r="BO71" i="4"/>
  <c r="BO72" i="4" s="1"/>
  <c r="BX66" i="4"/>
  <c r="BV64" i="4"/>
  <c r="BY71" i="4"/>
  <c r="BJ64" i="4"/>
  <c r="AQ66" i="4"/>
  <c r="AQ74" i="4" s="1"/>
  <c r="AQ75" i="4" s="1"/>
  <c r="AQ77" i="4" s="1"/>
  <c r="CA66" i="4"/>
  <c r="BC71" i="4"/>
  <c r="BC72" i="4" s="1"/>
  <c r="E65" i="16"/>
  <c r="D65" i="16" s="1"/>
  <c r="BC66" i="4"/>
  <c r="BC64" i="4"/>
  <c r="AZ71" i="4"/>
  <c r="AZ66" i="4"/>
  <c r="CA71" i="4"/>
  <c r="CA72" i="4" s="1"/>
  <c r="BL71" i="4"/>
  <c r="BA66" i="4"/>
  <c r="AZ67" i="4"/>
  <c r="BM71" i="4"/>
  <c r="BL66" i="4"/>
  <c r="AQ64" i="4"/>
  <c r="CA64" i="4"/>
  <c r="AY71" i="4"/>
  <c r="BY66" i="4"/>
  <c r="BY64" i="4"/>
  <c r="BM66" i="4"/>
  <c r="BJ71" i="4"/>
  <c r="BJ66" i="4"/>
  <c r="BK64" i="4"/>
  <c r="BA64" i="4"/>
  <c r="BW71" i="4"/>
  <c r="BW66" i="4"/>
  <c r="BV71" i="4"/>
  <c r="AY66" i="4"/>
  <c r="BK71" i="4"/>
  <c r="BV66" i="4"/>
  <c r="BO66" i="4"/>
  <c r="BO64" i="4"/>
  <c r="BX64" i="4"/>
  <c r="BX71" i="4"/>
  <c r="BO67" i="4"/>
  <c r="BI71" i="4"/>
  <c r="BI64" i="4"/>
  <c r="BI66" i="4"/>
  <c r="BI67" i="4"/>
  <c r="AR66" i="4"/>
  <c r="AR64" i="4"/>
  <c r="AR67" i="4"/>
  <c r="AR71" i="4"/>
  <c r="AU67" i="4"/>
  <c r="AU64" i="4"/>
  <c r="AU71" i="4"/>
  <c r="AU66" i="4"/>
  <c r="CA67" i="4"/>
  <c r="BP67" i="4"/>
  <c r="BP64" i="4"/>
  <c r="BP66" i="4"/>
  <c r="BP71" i="4"/>
  <c r="BB64" i="4"/>
  <c r="BB67" i="4"/>
  <c r="BB71" i="4"/>
  <c r="BB72" i="4" s="1"/>
  <c r="BB66" i="4"/>
  <c r="AT66" i="4"/>
  <c r="AT71" i="4"/>
  <c r="AT64" i="4"/>
  <c r="AT67" i="4"/>
  <c r="S67" i="4"/>
  <c r="T67" i="4"/>
  <c r="AB67" i="4"/>
  <c r="AC67" i="4"/>
  <c r="AD67" i="4"/>
  <c r="U67" i="4"/>
  <c r="J67" i="4"/>
  <c r="N67" i="4"/>
  <c r="P67" i="4"/>
  <c r="V67" i="4"/>
  <c r="Z67" i="4"/>
  <c r="AN67" i="4"/>
  <c r="AH67" i="4"/>
  <c r="Q67" i="4"/>
  <c r="AE67" i="4"/>
  <c r="O67" i="4"/>
  <c r="M67" i="4"/>
  <c r="AF67" i="4"/>
  <c r="AL67" i="4"/>
  <c r="AJ67" i="4"/>
  <c r="K67" i="4"/>
  <c r="AO67" i="4"/>
  <c r="I67" i="4"/>
  <c r="W67" i="4"/>
  <c r="AA67" i="4"/>
  <c r="R67" i="4"/>
  <c r="X67" i="4"/>
  <c r="Y67" i="4"/>
  <c r="AI67" i="4"/>
  <c r="AM67" i="4"/>
  <c r="AP67" i="4"/>
  <c r="L67" i="4"/>
  <c r="G67" i="4"/>
  <c r="H67" i="4"/>
  <c r="AK67" i="4"/>
  <c r="AG67" i="4"/>
  <c r="AY67" i="4"/>
  <c r="BT71" i="4"/>
  <c r="BT67" i="4"/>
  <c r="BT66" i="4"/>
  <c r="BT64" i="4"/>
  <c r="BW67" i="4"/>
  <c r="AQ67" i="4"/>
  <c r="BX67" i="4"/>
  <c r="AV66" i="4"/>
  <c r="AV67" i="4"/>
  <c r="AV64" i="4"/>
  <c r="AV71" i="4"/>
  <c r="BZ64" i="4"/>
  <c r="BZ66" i="4"/>
  <c r="BZ71" i="4"/>
  <c r="BZ72" i="4" s="1"/>
  <c r="BZ67" i="4"/>
  <c r="BR66" i="4"/>
  <c r="BR67" i="4"/>
  <c r="BR71" i="4"/>
  <c r="BR64" i="4"/>
  <c r="BE71" i="4"/>
  <c r="BE64" i="4"/>
  <c r="BE66" i="4"/>
  <c r="BE67" i="4"/>
  <c r="BU71" i="4"/>
  <c r="BU64" i="4"/>
  <c r="BU66" i="4"/>
  <c r="BU67" i="4"/>
  <c r="BV67" i="4"/>
  <c r="BK67" i="4"/>
  <c r="BC67" i="4"/>
  <c r="BF64" i="4"/>
  <c r="BF66" i="4"/>
  <c r="BF71" i="4"/>
  <c r="BF67" i="4"/>
  <c r="BN64" i="4"/>
  <c r="BN71" i="4"/>
  <c r="BN66" i="4"/>
  <c r="BN67" i="4"/>
  <c r="BD66" i="4"/>
  <c r="BD64" i="4"/>
  <c r="BD67" i="4"/>
  <c r="BD71" i="4"/>
  <c r="BS66" i="4"/>
  <c r="BS71" i="4"/>
  <c r="BS67" i="4"/>
  <c r="BS64" i="4"/>
  <c r="BH64" i="4"/>
  <c r="BH71" i="4"/>
  <c r="BH67" i="4"/>
  <c r="BH66" i="4"/>
  <c r="BA67" i="4"/>
  <c r="AS66" i="4"/>
  <c r="AS67" i="4"/>
  <c r="AS64" i="4"/>
  <c r="AS71" i="4"/>
  <c r="BJ67" i="4"/>
  <c r="BG66" i="4"/>
  <c r="BG71" i="4"/>
  <c r="BG64" i="4"/>
  <c r="BG67" i="4"/>
  <c r="BY67" i="4"/>
  <c r="BQ67" i="4"/>
  <c r="BQ71" i="4"/>
  <c r="BQ66" i="4"/>
  <c r="BQ64" i="4"/>
  <c r="AW71" i="4"/>
  <c r="AW64" i="4"/>
  <c r="AW66" i="4"/>
  <c r="AW67" i="4"/>
  <c r="BM67" i="4"/>
  <c r="BL67" i="4"/>
  <c r="AX71" i="4"/>
  <c r="AX66" i="4"/>
  <c r="AX67" i="4"/>
  <c r="AX64" i="4"/>
  <c r="I56" i="26" l="1"/>
  <c r="I57" i="26"/>
  <c r="H27" i="26"/>
  <c r="S22" i="4"/>
  <c r="I83" i="26"/>
  <c r="H55" i="26"/>
  <c r="H58" i="26" s="1"/>
  <c r="G59" i="26"/>
  <c r="G15" i="27"/>
  <c r="K42" i="26"/>
  <c r="J43" i="26"/>
  <c r="BB74" i="4"/>
  <c r="BB75" i="4" s="1"/>
  <c r="AQ84" i="4"/>
  <c r="E80" i="16"/>
  <c r="E69" i="16"/>
  <c r="E70" i="16" s="1"/>
  <c r="BO74" i="4"/>
  <c r="BO75" i="4" s="1"/>
  <c r="BO77" i="4" s="1"/>
  <c r="BC74" i="4"/>
  <c r="BC75" i="4" s="1"/>
  <c r="BC77" i="4" s="1"/>
  <c r="BN72" i="4"/>
  <c r="BN74" i="4" s="1"/>
  <c r="BZ74" i="4"/>
  <c r="AU72" i="4"/>
  <c r="AU74" i="4" s="1"/>
  <c r="BL72" i="4"/>
  <c r="BL74" i="4" s="1"/>
  <c r="AZ72" i="4"/>
  <c r="AZ74" i="4" s="1"/>
  <c r="BH72" i="4"/>
  <c r="BH74" i="4" s="1"/>
  <c r="BU72" i="4"/>
  <c r="BU74" i="4" s="1"/>
  <c r="BA72" i="4"/>
  <c r="BA74" i="4" s="1"/>
  <c r="BA75" i="4" s="1"/>
  <c r="BA77" i="4" s="1"/>
  <c r="BT72" i="4"/>
  <c r="BT74" i="4" s="1"/>
  <c r="BP72" i="4"/>
  <c r="BP74" i="4" s="1"/>
  <c r="BG72" i="4"/>
  <c r="BG74" i="4" s="1"/>
  <c r="BV72" i="4"/>
  <c r="BV74" i="4" s="1"/>
  <c r="BF72" i="4"/>
  <c r="BF74" i="4" s="1"/>
  <c r="AV72" i="4"/>
  <c r="AV74" i="4" s="1"/>
  <c r="BS72" i="4"/>
  <c r="BS74" i="4" s="1"/>
  <c r="BE72" i="4"/>
  <c r="BE74" i="4" s="1"/>
  <c r="BW72" i="4"/>
  <c r="BW74" i="4" s="1"/>
  <c r="BM72" i="4"/>
  <c r="BM74" i="4" s="1"/>
  <c r="BY72" i="4"/>
  <c r="BY74" i="4" s="1"/>
  <c r="AX72" i="4"/>
  <c r="AX74" i="4" s="1"/>
  <c r="BK72" i="4"/>
  <c r="BK74" i="4" s="1"/>
  <c r="CA74" i="4"/>
  <c r="AT72" i="4"/>
  <c r="AT74" i="4" s="1"/>
  <c r="BI72" i="4"/>
  <c r="BI74" i="4" s="1"/>
  <c r="BX72" i="4"/>
  <c r="BX74" i="4" s="1"/>
  <c r="BJ72" i="4"/>
  <c r="BJ74" i="4" s="1"/>
  <c r="BQ72" i="4"/>
  <c r="BQ74" i="4" s="1"/>
  <c r="AR72" i="4"/>
  <c r="AR74" i="4" s="1"/>
  <c r="AY72" i="4"/>
  <c r="AY74" i="4" s="1"/>
  <c r="AS72" i="4"/>
  <c r="AS74" i="4" s="1"/>
  <c r="AW72" i="4"/>
  <c r="AW74" i="4" s="1"/>
  <c r="BD72" i="4"/>
  <c r="BD74" i="4" s="1"/>
  <c r="BR72" i="4"/>
  <c r="BR74" i="4" s="1"/>
  <c r="E66" i="16"/>
  <c r="F79" i="16"/>
  <c r="D80" i="16"/>
  <c r="F80" i="16" s="1"/>
  <c r="D66" i="16"/>
  <c r="F65" i="16"/>
  <c r="J57" i="26" l="1"/>
  <c r="J56" i="26"/>
  <c r="BB77" i="4"/>
  <c r="BB84" i="4" s="1"/>
  <c r="T22" i="4"/>
  <c r="H15" i="27"/>
  <c r="I55" i="26"/>
  <c r="I58" i="26" s="1"/>
  <c r="H59" i="26"/>
  <c r="I27" i="26"/>
  <c r="L42" i="26"/>
  <c r="K43" i="26"/>
  <c r="J83" i="26"/>
  <c r="BA84" i="4"/>
  <c r="D69" i="16"/>
  <c r="D70" i="16" s="1"/>
  <c r="F70" i="16" s="1"/>
  <c r="BO84" i="4"/>
  <c r="BC84" i="4"/>
  <c r="BX75" i="4"/>
  <c r="BX77" i="4" s="1"/>
  <c r="BS75" i="4"/>
  <c r="BS77" i="4" s="1"/>
  <c r="AZ75" i="4"/>
  <c r="AZ77" i="4" s="1"/>
  <c r="BI75" i="4"/>
  <c r="BI77" i="4" s="1"/>
  <c r="AV75" i="4"/>
  <c r="AV77" i="4" s="1"/>
  <c r="BL75" i="4"/>
  <c r="BL77" i="4" s="1"/>
  <c r="AT75" i="4"/>
  <c r="AT77" i="4" s="1"/>
  <c r="BM75" i="4"/>
  <c r="BM77" i="4" s="1"/>
  <c r="BR75" i="4"/>
  <c r="BR77" i="4" s="1"/>
  <c r="AU75" i="4"/>
  <c r="AU77" i="4" s="1"/>
  <c r="AR75" i="4"/>
  <c r="AR77" i="4" s="1"/>
  <c r="BV75" i="4"/>
  <c r="BV77" i="4" s="1"/>
  <c r="BD75" i="4"/>
  <c r="BD77" i="4" s="1"/>
  <c r="BU75" i="4"/>
  <c r="BU77" i="4" s="1"/>
  <c r="BQ75" i="4"/>
  <c r="BQ77" i="4" s="1"/>
  <c r="AW75" i="4"/>
  <c r="AW77" i="4" s="1"/>
  <c r="BH75" i="4"/>
  <c r="BH77" i="4" s="1"/>
  <c r="BJ75" i="4"/>
  <c r="BJ77" i="4" s="1"/>
  <c r="AX75" i="4"/>
  <c r="AX77" i="4" s="1"/>
  <c r="BG75" i="4"/>
  <c r="BG77" i="4" s="1"/>
  <c r="BW75" i="4"/>
  <c r="BW77" i="4" s="1"/>
  <c r="BY75" i="4"/>
  <c r="BY77" i="4" s="1"/>
  <c r="AS75" i="4"/>
  <c r="AS77" i="4" s="1"/>
  <c r="AY75" i="4"/>
  <c r="AY77" i="4" s="1"/>
  <c r="BZ75" i="4"/>
  <c r="BZ77" i="4" s="1"/>
  <c r="BK75" i="4"/>
  <c r="BK77" i="4" s="1"/>
  <c r="BT75" i="4"/>
  <c r="BT77" i="4" s="1"/>
  <c r="BF75" i="4"/>
  <c r="BF77" i="4" s="1"/>
  <c r="BE75" i="4"/>
  <c r="BE77" i="4" s="1"/>
  <c r="BN75" i="4"/>
  <c r="BN77" i="4" s="1"/>
  <c r="BP75" i="4"/>
  <c r="BP77" i="4" s="1"/>
  <c r="CA75" i="4"/>
  <c r="CA77" i="4" s="1"/>
  <c r="E72" i="16"/>
  <c r="F66" i="16"/>
  <c r="K57" i="26" l="1"/>
  <c r="K56" i="26"/>
  <c r="J27" i="26"/>
  <c r="U22" i="4"/>
  <c r="M42" i="26"/>
  <c r="L43" i="26"/>
  <c r="I15" i="27"/>
  <c r="I59" i="26"/>
  <c r="J55" i="26"/>
  <c r="J58" i="26" s="1"/>
  <c r="K83" i="26"/>
  <c r="BZ84" i="4"/>
  <c r="F69" i="16"/>
  <c r="I24" i="9"/>
  <c r="I25" i="9" s="1"/>
  <c r="CA84" i="4"/>
  <c r="E24" i="9"/>
  <c r="E25" i="9" s="1"/>
  <c r="F24" i="9"/>
  <c r="F25" i="9" s="1"/>
  <c r="G24" i="9"/>
  <c r="G25" i="9" s="1"/>
  <c r="H24" i="9"/>
  <c r="H25" i="9" s="1"/>
  <c r="BL84" i="4"/>
  <c r="BH84" i="4"/>
  <c r="BI84" i="4"/>
  <c r="BQ84" i="4"/>
  <c r="BU84" i="4"/>
  <c r="BD84" i="4"/>
  <c r="BV84" i="4"/>
  <c r="AU84" i="4"/>
  <c r="BN84" i="4"/>
  <c r="BF84" i="4"/>
  <c r="BK84" i="4"/>
  <c r="AY84" i="4"/>
  <c r="AS84" i="4"/>
  <c r="BW84" i="4"/>
  <c r="BJ84" i="4"/>
  <c r="AW84" i="4"/>
  <c r="BS84" i="4"/>
  <c r="BY84" i="4"/>
  <c r="BE84" i="4"/>
  <c r="AV84" i="4"/>
  <c r="BT84" i="4"/>
  <c r="AZ84" i="4"/>
  <c r="BX84" i="4"/>
  <c r="AR84" i="4"/>
  <c r="BR84" i="4"/>
  <c r="BG84" i="4"/>
  <c r="BM84" i="4"/>
  <c r="BP84" i="4"/>
  <c r="AX84" i="4"/>
  <c r="AT84" i="4"/>
  <c r="D72" i="16"/>
  <c r="L57" i="26" l="1"/>
  <c r="L56" i="26"/>
  <c r="L83" i="26" s="1"/>
  <c r="J15" i="27"/>
  <c r="J59" i="26"/>
  <c r="K55" i="26"/>
  <c r="K58" i="26" s="1"/>
  <c r="M103" i="4"/>
  <c r="V22" i="4"/>
  <c r="N103" i="4"/>
  <c r="K27" i="26"/>
  <c r="N42" i="26"/>
  <c r="M43" i="26"/>
  <c r="F72" i="16"/>
  <c r="D73" i="16"/>
  <c r="N128" i="4" l="1"/>
  <c r="N189" i="4" s="1"/>
  <c r="N134" i="4"/>
  <c r="M128" i="4"/>
  <c r="M189" i="4" s="1"/>
  <c r="M134" i="4"/>
  <c r="M57" i="26"/>
  <c r="M56" i="26"/>
  <c r="M83" i="26" s="1"/>
  <c r="O42" i="26"/>
  <c r="N43" i="26"/>
  <c r="M120" i="4"/>
  <c r="M145" i="4"/>
  <c r="K59" i="26"/>
  <c r="K15" i="27"/>
  <c r="L55" i="26"/>
  <c r="L58" i="26" s="1"/>
  <c r="W22" i="4"/>
  <c r="N120" i="4"/>
  <c r="N145" i="4"/>
  <c r="L27" i="26"/>
  <c r="E73" i="16"/>
  <c r="E75" i="16" s="1"/>
  <c r="E82" i="16" s="1"/>
  <c r="F73" i="16"/>
  <c r="D75" i="16"/>
  <c r="D82" i="16" s="1"/>
  <c r="N57" i="26" l="1"/>
  <c r="N56" i="26"/>
  <c r="N83" i="26" s="1"/>
  <c r="M55" i="26"/>
  <c r="M58" i="26" s="1"/>
  <c r="L59" i="26"/>
  <c r="L15" i="27"/>
  <c r="P42" i="26"/>
  <c r="O43" i="26"/>
  <c r="X22" i="4"/>
  <c r="M27" i="26"/>
  <c r="F75" i="16"/>
  <c r="O57" i="26" l="1"/>
  <c r="O56" i="26"/>
  <c r="Y22" i="4"/>
  <c r="M59" i="26"/>
  <c r="M15" i="27"/>
  <c r="N55" i="26"/>
  <c r="N58" i="26" s="1"/>
  <c r="O83" i="26"/>
  <c r="Q42" i="26"/>
  <c r="P43" i="26"/>
  <c r="N27" i="26"/>
  <c r="F82" i="16"/>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BC9" i="4"/>
  <c r="BD9" i="4"/>
  <c r="BE9" i="4"/>
  <c r="BF9" i="4"/>
  <c r="BG9" i="4"/>
  <c r="BH9" i="4"/>
  <c r="BI9" i="4"/>
  <c r="BJ9" i="4"/>
  <c r="BK9" i="4"/>
  <c r="BL9" i="4"/>
  <c r="BM9" i="4"/>
  <c r="BN9" i="4"/>
  <c r="BO9" i="4"/>
  <c r="BP9" i="4"/>
  <c r="BQ9" i="4"/>
  <c r="BR9" i="4"/>
  <c r="BS9" i="4"/>
  <c r="BT9" i="4"/>
  <c r="BU9" i="4"/>
  <c r="BV9" i="4"/>
  <c r="BW9" i="4"/>
  <c r="BX9" i="4"/>
  <c r="BY9" i="4"/>
  <c r="BZ9" i="4"/>
  <c r="CA9" i="4"/>
  <c r="P57" i="26" l="1"/>
  <c r="P56" i="26"/>
  <c r="R42" i="26"/>
  <c r="Q43" i="26"/>
  <c r="O27" i="26"/>
  <c r="N59" i="26"/>
  <c r="O55" i="26"/>
  <c r="O58" i="26" s="1"/>
  <c r="N15" i="27"/>
  <c r="Z22" i="4"/>
  <c r="P83" i="26"/>
  <c r="F38" i="16"/>
  <c r="F42" i="16"/>
  <c r="Q57" i="26" l="1"/>
  <c r="Q56" i="26"/>
  <c r="Q83" i="26" s="1"/>
  <c r="P27" i="26"/>
  <c r="AA22" i="4"/>
  <c r="O15" i="27"/>
  <c r="O59" i="26"/>
  <c r="P55" i="26"/>
  <c r="P58" i="26" s="1"/>
  <c r="S42" i="26"/>
  <c r="R43" i="26"/>
  <c r="R57" i="26" l="1"/>
  <c r="R56" i="26"/>
  <c r="R83" i="26" s="1"/>
  <c r="Q27" i="26"/>
  <c r="Q55" i="26"/>
  <c r="Q58" i="26" s="1"/>
  <c r="P59" i="26"/>
  <c r="P15" i="27"/>
  <c r="T42" i="26"/>
  <c r="S43" i="26"/>
  <c r="AB22" i="4"/>
  <c r="S57" i="26" l="1"/>
  <c r="S56" i="26"/>
  <c r="S83" i="26" s="1"/>
  <c r="R27" i="26"/>
  <c r="AC22" i="4"/>
  <c r="Q15" i="27"/>
  <c r="R55" i="26"/>
  <c r="R58" i="26" s="1"/>
  <c r="Q59" i="26"/>
  <c r="U42" i="26"/>
  <c r="T43" i="26"/>
  <c r="T57" i="26" l="1"/>
  <c r="T56" i="26"/>
  <c r="V42" i="26"/>
  <c r="U43" i="26"/>
  <c r="S27" i="26"/>
  <c r="R15" i="27"/>
  <c r="S55" i="26"/>
  <c r="S58" i="26" s="1"/>
  <c r="R59" i="26"/>
  <c r="T83" i="26"/>
  <c r="AD22" i="4"/>
  <c r="E10" i="1"/>
  <c r="G43" i="5" s="1"/>
  <c r="U57" i="26" l="1"/>
  <c r="U56" i="26"/>
  <c r="T55" i="26"/>
  <c r="T58" i="26" s="1"/>
  <c r="S59" i="26"/>
  <c r="S15" i="27"/>
  <c r="AE22" i="4"/>
  <c r="U83" i="26"/>
  <c r="W42" i="26"/>
  <c r="V43" i="26"/>
  <c r="T27" i="26"/>
  <c r="G28" i="5"/>
  <c r="G25" i="5"/>
  <c r="G24" i="5"/>
  <c r="G27" i="5"/>
  <c r="G29" i="5"/>
  <c r="G26" i="5"/>
  <c r="G13" i="5"/>
  <c r="G46" i="5"/>
  <c r="G45" i="5"/>
  <c r="G47" i="5"/>
  <c r="G38" i="5"/>
  <c r="G23" i="5"/>
  <c r="V57" i="26" l="1"/>
  <c r="V56" i="26"/>
  <c r="U27" i="26"/>
  <c r="V83" i="26"/>
  <c r="AF22" i="4"/>
  <c r="T59" i="26"/>
  <c r="T15" i="27"/>
  <c r="U55" i="26"/>
  <c r="U58" i="26" s="1"/>
  <c r="X42" i="26"/>
  <c r="W43" i="26"/>
  <c r="F54" i="16"/>
  <c r="W57" i="26" l="1"/>
  <c r="W56" i="26"/>
  <c r="AG22" i="4"/>
  <c r="W83" i="26"/>
  <c r="U15" i="27"/>
  <c r="U59" i="26"/>
  <c r="V55" i="26"/>
  <c r="V58" i="26" s="1"/>
  <c r="Y42" i="26"/>
  <c r="X43" i="26"/>
  <c r="V27" i="26"/>
  <c r="D56" i="5"/>
  <c r="BC99" i="4" s="1"/>
  <c r="AZ118" i="23" l="1"/>
  <c r="B118" i="23" s="1"/>
  <c r="AZ108" i="30"/>
  <c r="B108" i="30" s="1"/>
  <c r="X56" i="26"/>
  <c r="X83" i="26" s="1"/>
  <c r="X57" i="26"/>
  <c r="W27" i="26"/>
  <c r="AH22" i="4"/>
  <c r="Z42" i="26"/>
  <c r="Y43" i="26"/>
  <c r="V59" i="26"/>
  <c r="V15" i="27"/>
  <c r="W55" i="26"/>
  <c r="W58" i="26" s="1"/>
  <c r="E99" i="4"/>
  <c r="Y57" i="26" l="1"/>
  <c r="Y56" i="26"/>
  <c r="Y83" i="26" s="1"/>
  <c r="W59" i="26"/>
  <c r="W15" i="27"/>
  <c r="X55" i="26"/>
  <c r="X58" i="26" s="1"/>
  <c r="AI22" i="4"/>
  <c r="AA42" i="26"/>
  <c r="Z43" i="26"/>
  <c r="X27" i="26"/>
  <c r="N32" i="5"/>
  <c r="P32" i="5" s="1"/>
  <c r="Q32" i="5" s="1"/>
  <c r="Z57" i="26" l="1"/>
  <c r="Z56" i="26"/>
  <c r="Z83" i="26" s="1"/>
  <c r="Y27" i="26"/>
  <c r="X15" i="27"/>
  <c r="X59" i="26"/>
  <c r="Y55" i="26"/>
  <c r="Y58" i="26" s="1"/>
  <c r="AJ22" i="4"/>
  <c r="AB42" i="26"/>
  <c r="AA43" i="26"/>
  <c r="E12" i="5"/>
  <c r="G12" i="5"/>
  <c r="D14" i="5"/>
  <c r="AA57" i="26" l="1"/>
  <c r="AA56" i="26"/>
  <c r="AK22" i="4"/>
  <c r="AC42" i="26"/>
  <c r="AB43" i="26"/>
  <c r="AA83" i="26"/>
  <c r="Z27" i="26"/>
  <c r="Y15" i="27"/>
  <c r="Z55" i="26"/>
  <c r="Z58" i="26" s="1"/>
  <c r="Y59" i="26"/>
  <c r="G14" i="5"/>
  <c r="E14" i="5"/>
  <c r="J115" i="4"/>
  <c r="K115" i="4"/>
  <c r="L115" i="4"/>
  <c r="M115" i="4"/>
  <c r="N115" i="4"/>
  <c r="O115" i="4"/>
  <c r="P115" i="4"/>
  <c r="Q115" i="4"/>
  <c r="R115" i="4"/>
  <c r="S115" i="4"/>
  <c r="T115" i="4"/>
  <c r="U115" i="4"/>
  <c r="V115" i="4"/>
  <c r="W115" i="4"/>
  <c r="M20" i="5"/>
  <c r="E32" i="5"/>
  <c r="D34" i="5"/>
  <c r="D76" i="5" s="1"/>
  <c r="D74" i="5"/>
  <c r="E74" i="5" l="1"/>
  <c r="B33" i="13"/>
  <c r="E76" i="5"/>
  <c r="D77" i="5"/>
  <c r="AB57" i="26"/>
  <c r="AB56" i="26"/>
  <c r="AL22" i="4"/>
  <c r="AB83" i="26"/>
  <c r="Z59" i="26"/>
  <c r="Z15" i="27"/>
  <c r="AA55" i="26"/>
  <c r="AA58" i="26" s="1"/>
  <c r="AA27" i="26"/>
  <c r="AD42" i="26"/>
  <c r="AC43" i="26"/>
  <c r="E34" i="5"/>
  <c r="D35" i="5"/>
  <c r="E115" i="4"/>
  <c r="N20" i="5" s="1"/>
  <c r="P20" i="5" s="1"/>
  <c r="Q20" i="5" s="1"/>
  <c r="AC57" i="26" l="1"/>
  <c r="AC56" i="26"/>
  <c r="AE42" i="26"/>
  <c r="AD43" i="26"/>
  <c r="AB27" i="26"/>
  <c r="AC83" i="26"/>
  <c r="AA59" i="26"/>
  <c r="AA15" i="27"/>
  <c r="AB55" i="26"/>
  <c r="AB58" i="26" s="1"/>
  <c r="AM22" i="4"/>
  <c r="E77" i="5"/>
  <c r="E35" i="5"/>
  <c r="G35" i="5"/>
  <c r="AD57" i="26" l="1"/>
  <c r="AD56" i="26"/>
  <c r="AD83" i="26"/>
  <c r="AN22" i="4"/>
  <c r="AF42" i="26"/>
  <c r="AE43" i="26"/>
  <c r="AC27" i="26"/>
  <c r="AB59" i="26"/>
  <c r="AB15" i="27"/>
  <c r="AC55" i="26"/>
  <c r="AC58" i="26" s="1"/>
  <c r="AE57" i="26" l="1"/>
  <c r="AE56" i="26"/>
  <c r="AC59" i="26"/>
  <c r="AD55" i="26"/>
  <c r="AD58" i="26" s="1"/>
  <c r="AC15" i="27"/>
  <c r="AO22" i="4"/>
  <c r="AE83" i="26"/>
  <c r="AD27" i="26"/>
  <c r="AG42" i="26"/>
  <c r="AF43" i="26"/>
  <c r="W119" i="4"/>
  <c r="X119" i="4"/>
  <c r="Y119" i="4"/>
  <c r="AF56" i="26" l="1"/>
  <c r="AF83" i="26" s="1"/>
  <c r="AF57" i="26"/>
  <c r="AE27" i="26"/>
  <c r="AH42" i="26"/>
  <c r="AG43" i="26"/>
  <c r="AP22" i="4"/>
  <c r="AD59" i="26"/>
  <c r="AE55" i="26"/>
  <c r="AE58" i="26" s="1"/>
  <c r="AD15" i="27"/>
  <c r="F53" i="16"/>
  <c r="AG57" i="26" l="1"/>
  <c r="AG56" i="26"/>
  <c r="AQ22" i="4"/>
  <c r="AE15" i="27"/>
  <c r="AE59" i="26"/>
  <c r="AF55" i="26"/>
  <c r="AF58" i="26" s="1"/>
  <c r="AF27" i="26"/>
  <c r="AI42" i="26"/>
  <c r="AH43" i="26"/>
  <c r="AG83" i="26"/>
  <c r="P176" i="4"/>
  <c r="M19" i="23" l="1"/>
  <c r="M19" i="30"/>
  <c r="AH57" i="26"/>
  <c r="AH56" i="26"/>
  <c r="AH83" i="26" s="1"/>
  <c r="AG27" i="26"/>
  <c r="AF59" i="26"/>
  <c r="AF15" i="27"/>
  <c r="AG55" i="26"/>
  <c r="AG58" i="26" s="1"/>
  <c r="AR22" i="4"/>
  <c r="AJ42" i="26"/>
  <c r="AI43" i="26"/>
  <c r="Q176" i="4"/>
  <c r="R176" i="4"/>
  <c r="S176" i="4"/>
  <c r="P19" i="30" s="1"/>
  <c r="T176" i="4"/>
  <c r="Q19" i="30" s="1"/>
  <c r="U176" i="4"/>
  <c r="R19" i="30" s="1"/>
  <c r="V176" i="4"/>
  <c r="S19" i="30" s="1"/>
  <c r="W176" i="4"/>
  <c r="T19" i="30" s="1"/>
  <c r="X176" i="4"/>
  <c r="Y176" i="4"/>
  <c r="Z176" i="4"/>
  <c r="AA176" i="4"/>
  <c r="AB176" i="4"/>
  <c r="AC176" i="4"/>
  <c r="AD176" i="4"/>
  <c r="AE176" i="4"/>
  <c r="AF176" i="4"/>
  <c r="AG176" i="4"/>
  <c r="AD19" i="30" s="1"/>
  <c r="AH176" i="4"/>
  <c r="AE19" i="30" s="1"/>
  <c r="AI176" i="4"/>
  <c r="AF19" i="30" s="1"/>
  <c r="AJ176" i="4"/>
  <c r="AG19" i="30" s="1"/>
  <c r="AK176" i="4"/>
  <c r="AL176" i="4"/>
  <c r="AM176" i="4"/>
  <c r="AN176" i="4"/>
  <c r="AO176" i="4"/>
  <c r="AP176" i="4"/>
  <c r="AQ176" i="4"/>
  <c r="AR176" i="4"/>
  <c r="AS176" i="4"/>
  <c r="AT176" i="4"/>
  <c r="AQ19" i="30" s="1"/>
  <c r="AU176" i="4"/>
  <c r="AV176" i="4"/>
  <c r="AW176" i="4"/>
  <c r="AX176" i="4"/>
  <c r="AY176" i="4"/>
  <c r="AZ176" i="4"/>
  <c r="BA176" i="4"/>
  <c r="BB176" i="4"/>
  <c r="BC176" i="4"/>
  <c r="AZ19" i="30" s="1"/>
  <c r="BD176" i="4"/>
  <c r="BA19" i="30" s="1"/>
  <c r="BE176" i="4"/>
  <c r="BF176" i="4"/>
  <c r="BG176" i="4"/>
  <c r="BH176" i="4"/>
  <c r="BI176" i="4"/>
  <c r="BJ176" i="4"/>
  <c r="BK176" i="4"/>
  <c r="BL176" i="4"/>
  <c r="BM176" i="4"/>
  <c r="BN176" i="4"/>
  <c r="BO176" i="4"/>
  <c r="BL19" i="30" s="1"/>
  <c r="BP176" i="4"/>
  <c r="BQ176" i="4"/>
  <c r="BR176" i="4"/>
  <c r="BS176" i="4"/>
  <c r="BT176" i="4"/>
  <c r="BU176" i="4"/>
  <c r="BV176" i="4"/>
  <c r="BW176" i="4"/>
  <c r="BX176" i="4"/>
  <c r="BY176" i="4"/>
  <c r="BZ176" i="4"/>
  <c r="CA176" i="4"/>
  <c r="Z19" i="23" l="1"/>
  <c r="Z19" i="30"/>
  <c r="AW19" i="23"/>
  <c r="AW19" i="30"/>
  <c r="BH19" i="23"/>
  <c r="BH19" i="30"/>
  <c r="BG19" i="23"/>
  <c r="BG19" i="30"/>
  <c r="BF19" i="23"/>
  <c r="BF19" i="30"/>
  <c r="BC19" i="23"/>
  <c r="BC19" i="30"/>
  <c r="U19" i="23"/>
  <c r="U19" i="30"/>
  <c r="AR19" i="23"/>
  <c r="AR19" i="30"/>
  <c r="AP19" i="23"/>
  <c r="AP19" i="30"/>
  <c r="AL19" i="23"/>
  <c r="AL19" i="30"/>
  <c r="AK19" i="23"/>
  <c r="AK19" i="30"/>
  <c r="X19" i="23"/>
  <c r="X19" i="30"/>
  <c r="AU19" i="23"/>
  <c r="AU19" i="30"/>
  <c r="AT19" i="23"/>
  <c r="AT19" i="30"/>
  <c r="BD19" i="23"/>
  <c r="BD19" i="30"/>
  <c r="AX19" i="23"/>
  <c r="AX19" i="30"/>
  <c r="BI19" i="23"/>
  <c r="BI19" i="30"/>
  <c r="AV19" i="23"/>
  <c r="AV19" i="30"/>
  <c r="V19" i="23"/>
  <c r="V19" i="30"/>
  <c r="AB19" i="23"/>
  <c r="AB19" i="30"/>
  <c r="BJ19" i="23"/>
  <c r="BJ19" i="30"/>
  <c r="N19" i="23"/>
  <c r="N19" i="30"/>
  <c r="Y19" i="23"/>
  <c r="Y19" i="30"/>
  <c r="AJ19" i="23"/>
  <c r="AJ19" i="30"/>
  <c r="AI19" i="23"/>
  <c r="AI19" i="30"/>
  <c r="W19" i="23"/>
  <c r="W19" i="30"/>
  <c r="AH19" i="23"/>
  <c r="AH19" i="30"/>
  <c r="BE19" i="23"/>
  <c r="BE19" i="30"/>
  <c r="AS19" i="23"/>
  <c r="AS19" i="30"/>
  <c r="BB19" i="23"/>
  <c r="BB19" i="30"/>
  <c r="AO19" i="23"/>
  <c r="AO19" i="30"/>
  <c r="AC19" i="23"/>
  <c r="AC19" i="30"/>
  <c r="AN19" i="23"/>
  <c r="AN19" i="30"/>
  <c r="BK19" i="23"/>
  <c r="BK19" i="30"/>
  <c r="AY19" i="23"/>
  <c r="AY19" i="30"/>
  <c r="AM19" i="23"/>
  <c r="AM19" i="30"/>
  <c r="AA19" i="23"/>
  <c r="AA19" i="30"/>
  <c r="O19" i="23"/>
  <c r="O19" i="30"/>
  <c r="AI57" i="26"/>
  <c r="AI56" i="26"/>
  <c r="AG15" i="27"/>
  <c r="AG59" i="26"/>
  <c r="AH55" i="26"/>
  <c r="AH58" i="26" s="1"/>
  <c r="AK42" i="26"/>
  <c r="AJ43" i="26"/>
  <c r="AI83" i="26"/>
  <c r="AS22" i="4"/>
  <c r="AH27" i="26"/>
  <c r="T19" i="23"/>
  <c r="AE19" i="23"/>
  <c r="AD19" i="23"/>
  <c r="R19" i="23"/>
  <c r="AG19" i="23"/>
  <c r="AF19" i="23"/>
  <c r="BA19" i="23"/>
  <c r="Q19" i="23"/>
  <c r="AQ19" i="23"/>
  <c r="S19" i="23"/>
  <c r="BL19" i="23"/>
  <c r="AZ19" i="23"/>
  <c r="P19" i="23"/>
  <c r="AJ57" i="26" l="1"/>
  <c r="AJ56" i="26"/>
  <c r="AJ83" i="26" s="1"/>
  <c r="AL42" i="26"/>
  <c r="AK43" i="26"/>
  <c r="AI27" i="26"/>
  <c r="AH15" i="27"/>
  <c r="AH59" i="26"/>
  <c r="AI55" i="26"/>
  <c r="AI58" i="26" s="1"/>
  <c r="AT22" i="4"/>
  <c r="G155" i="4"/>
  <c r="AK57" i="26" l="1"/>
  <c r="AK56" i="26"/>
  <c r="AK83" i="26" s="1"/>
  <c r="AI15" i="27"/>
  <c r="AI59" i="26"/>
  <c r="AJ55" i="26"/>
  <c r="AJ58" i="26" s="1"/>
  <c r="AU22" i="4"/>
  <c r="AM42" i="26"/>
  <c r="AL43" i="26"/>
  <c r="G162" i="4"/>
  <c r="G184" i="4"/>
  <c r="AJ27" i="26"/>
  <c r="G118" i="4"/>
  <c r="AL57" i="26" l="1"/>
  <c r="AL56" i="26"/>
  <c r="AK27" i="26"/>
  <c r="AL83" i="26"/>
  <c r="AN42" i="26"/>
  <c r="AM43" i="26"/>
  <c r="AJ59" i="26"/>
  <c r="AJ15" i="27"/>
  <c r="AK55" i="26"/>
  <c r="AK58" i="26" s="1"/>
  <c r="AV22" i="4"/>
  <c r="E110" i="4"/>
  <c r="N16" i="5" s="1"/>
  <c r="P16" i="5" s="1"/>
  <c r="Q16" i="5" s="1"/>
  <c r="AM57" i="26" l="1"/>
  <c r="AM56" i="26"/>
  <c r="AM83" i="26" s="1"/>
  <c r="AO42" i="26"/>
  <c r="AN43" i="26"/>
  <c r="AW22" i="4"/>
  <c r="AL27" i="26"/>
  <c r="AK15" i="27"/>
  <c r="AK59" i="26"/>
  <c r="AL55" i="26"/>
  <c r="AL58" i="26" s="1"/>
  <c r="F50" i="16"/>
  <c r="AN57" i="26" l="1"/>
  <c r="AN56" i="26"/>
  <c r="AN83" i="26" s="1"/>
  <c r="AM27" i="26"/>
  <c r="AL15" i="27"/>
  <c r="AM55" i="26"/>
  <c r="AM58" i="26" s="1"/>
  <c r="AL59" i="26"/>
  <c r="AX22" i="4"/>
  <c r="AP42" i="26"/>
  <c r="AO43" i="26"/>
  <c r="F59" i="16"/>
  <c r="E105" i="16"/>
  <c r="D85" i="16"/>
  <c r="T14" i="1" s="1"/>
  <c r="AO57" i="26" l="1"/>
  <c r="AO56" i="26"/>
  <c r="AO83" i="26" s="1"/>
  <c r="AY22" i="4"/>
  <c r="AQ42" i="26"/>
  <c r="AP43" i="26"/>
  <c r="AN55" i="26"/>
  <c r="AN58" i="26" s="1"/>
  <c r="AM15" i="27"/>
  <c r="AM59" i="26"/>
  <c r="AN27" i="26"/>
  <c r="D88" i="16"/>
  <c r="D91" i="16" s="1"/>
  <c r="D93" i="16" s="1"/>
  <c r="F85" i="16"/>
  <c r="D105" i="16"/>
  <c r="I93" i="16" l="1"/>
  <c r="I82" i="16" s="1"/>
  <c r="H82" i="16" s="1"/>
  <c r="AP57" i="26"/>
  <c r="AP56" i="26"/>
  <c r="AP83" i="26" s="1"/>
  <c r="AR42" i="26"/>
  <c r="AQ43" i="26"/>
  <c r="AZ22" i="4"/>
  <c r="AO27" i="26"/>
  <c r="AO55" i="26"/>
  <c r="AO58" i="26" s="1"/>
  <c r="AN59" i="26"/>
  <c r="AN15" i="27"/>
  <c r="H93" i="16"/>
  <c r="T9" i="1"/>
  <c r="E93" i="16"/>
  <c r="AQ56" i="26" l="1"/>
  <c r="AQ83" i="26" s="1"/>
  <c r="AQ57" i="26"/>
  <c r="AS42" i="26"/>
  <c r="AR43" i="26"/>
  <c r="AP27" i="26"/>
  <c r="BA22" i="4"/>
  <c r="AO15" i="27"/>
  <c r="AO59" i="26"/>
  <c r="AP55" i="26"/>
  <c r="AP58" i="26" s="1"/>
  <c r="U10" i="1"/>
  <c r="E85" i="16"/>
  <c r="AR57" i="26" l="1"/>
  <c r="AR56" i="26"/>
  <c r="AR83" i="26" s="1"/>
  <c r="AT42" i="26"/>
  <c r="AS43" i="26"/>
  <c r="AQ55" i="26"/>
  <c r="AQ58" i="26" s="1"/>
  <c r="AP59" i="26"/>
  <c r="AP15" i="27"/>
  <c r="BB22" i="4"/>
  <c r="AQ27" i="26"/>
  <c r="D18" i="23"/>
  <c r="D23" i="23"/>
  <c r="D37" i="23" s="1"/>
  <c r="D41" i="23" s="1"/>
  <c r="D42" i="23" s="1"/>
  <c r="AS57" i="26" l="1"/>
  <c r="AS56" i="26"/>
  <c r="AS83" i="26" s="1"/>
  <c r="BC22" i="4"/>
  <c r="AR27" i="26"/>
  <c r="AQ59" i="26"/>
  <c r="AQ15" i="27"/>
  <c r="AR55" i="26"/>
  <c r="AR58" i="26" s="1"/>
  <c r="AU42" i="26"/>
  <c r="AT43" i="26"/>
  <c r="D106" i="23"/>
  <c r="D50" i="23"/>
  <c r="AT57" i="26" l="1"/>
  <c r="AT56" i="26"/>
  <c r="AT83" i="26" s="1"/>
  <c r="AV42" i="26"/>
  <c r="AU43" i="26"/>
  <c r="AS27" i="26"/>
  <c r="AR15" i="27"/>
  <c r="AS55" i="26"/>
  <c r="AS58" i="26" s="1"/>
  <c r="AR59" i="26"/>
  <c r="BD22" i="4"/>
  <c r="D53" i="23"/>
  <c r="D84" i="23"/>
  <c r="D65" i="23"/>
  <c r="AU57" i="26" l="1"/>
  <c r="AU56" i="26"/>
  <c r="AU83" i="26" s="1"/>
  <c r="AS59" i="26"/>
  <c r="AT55" i="26"/>
  <c r="AT58" i="26" s="1"/>
  <c r="AS15" i="27"/>
  <c r="BE22" i="4"/>
  <c r="AW42" i="26"/>
  <c r="AV43" i="26"/>
  <c r="AT27" i="26"/>
  <c r="D123" i="23"/>
  <c r="D54" i="23"/>
  <c r="D59" i="23" s="1"/>
  <c r="AV57" i="26" l="1"/>
  <c r="AV56" i="26"/>
  <c r="AV83" i="26" s="1"/>
  <c r="BF22" i="4"/>
  <c r="AX42" i="26"/>
  <c r="AW43" i="26"/>
  <c r="AT59" i="26"/>
  <c r="AT15" i="27"/>
  <c r="AU55" i="26"/>
  <c r="AU58" i="26" s="1"/>
  <c r="AU27" i="26"/>
  <c r="AW57" i="26" l="1"/>
  <c r="AW56" i="26"/>
  <c r="AW83" i="26" s="1"/>
  <c r="BG22" i="4"/>
  <c r="AY42" i="26"/>
  <c r="AX43" i="26"/>
  <c r="AV55" i="26"/>
  <c r="AV58" i="26" s="1"/>
  <c r="AU59" i="26"/>
  <c r="AU15" i="27"/>
  <c r="AV27" i="26"/>
  <c r="AX57" i="26" l="1"/>
  <c r="AX56" i="26"/>
  <c r="AX83" i="26" s="1"/>
  <c r="BH22" i="4"/>
  <c r="AW55" i="26"/>
  <c r="AW58" i="26" s="1"/>
  <c r="AV15" i="27"/>
  <c r="AV59" i="26"/>
  <c r="AZ42" i="26"/>
  <c r="AY43" i="26"/>
  <c r="AW27" i="26"/>
  <c r="AY57" i="26" l="1"/>
  <c r="AY56" i="26"/>
  <c r="AY83" i="26" s="1"/>
  <c r="AX27" i="26"/>
  <c r="AX55" i="26"/>
  <c r="AX58" i="26" s="1"/>
  <c r="AW15" i="27"/>
  <c r="AW59" i="26"/>
  <c r="BI22" i="4"/>
  <c r="BA42" i="26"/>
  <c r="AZ43" i="26"/>
  <c r="AZ57" i="26" l="1"/>
  <c r="AZ56" i="26"/>
  <c r="AZ83" i="26" s="1"/>
  <c r="BJ22" i="4"/>
  <c r="AX59" i="26"/>
  <c r="AX15" i="27"/>
  <c r="AY55" i="26"/>
  <c r="AY58" i="26" s="1"/>
  <c r="BB42" i="26"/>
  <c r="BA43" i="26"/>
  <c r="AY27" i="26"/>
  <c r="BA57" i="26" l="1"/>
  <c r="BA56" i="26"/>
  <c r="BA83" i="26" s="1"/>
  <c r="BC42" i="26"/>
  <c r="BB43" i="26"/>
  <c r="AZ55" i="26"/>
  <c r="AZ58" i="26" s="1"/>
  <c r="AY15" i="27"/>
  <c r="AY59" i="26"/>
  <c r="BK22" i="4"/>
  <c r="AZ27" i="26"/>
  <c r="BB57" i="26" l="1"/>
  <c r="BB56" i="26"/>
  <c r="BB83" i="26" s="1"/>
  <c r="BA55" i="26"/>
  <c r="BA58" i="26" s="1"/>
  <c r="AZ59" i="26"/>
  <c r="AZ15" i="27"/>
  <c r="BD42" i="26"/>
  <c r="BC43" i="26"/>
  <c r="BL22" i="4"/>
  <c r="BA27" i="26"/>
  <c r="BC57" i="26" l="1"/>
  <c r="BC56" i="26"/>
  <c r="BC83" i="26" s="1"/>
  <c r="BM22" i="4"/>
  <c r="BE42" i="26"/>
  <c r="BD43" i="26"/>
  <c r="BB27" i="26"/>
  <c r="BB55" i="26"/>
  <c r="BB58" i="26" s="1"/>
  <c r="BA59" i="26"/>
  <c r="BA15" i="27"/>
  <c r="BD56" i="26" l="1"/>
  <c r="BD83" i="26" s="1"/>
  <c r="BD57" i="26"/>
  <c r="BN22" i="4"/>
  <c r="BC55" i="26"/>
  <c r="BC58" i="26" s="1"/>
  <c r="BB59" i="26"/>
  <c r="BB15" i="27"/>
  <c r="BF42" i="26"/>
  <c r="BE43" i="26"/>
  <c r="BC27" i="26"/>
  <c r="BE56" i="26" l="1"/>
  <c r="BE83" i="26" s="1"/>
  <c r="BE57" i="26"/>
  <c r="BC59" i="26"/>
  <c r="BD55" i="26"/>
  <c r="BD58" i="26" s="1"/>
  <c r="BC15" i="27"/>
  <c r="BO22" i="4"/>
  <c r="BD27" i="26"/>
  <c r="BG42" i="26"/>
  <c r="BF43" i="26"/>
  <c r="BF57" i="26" l="1"/>
  <c r="BF56" i="26"/>
  <c r="BF83" i="26" s="1"/>
  <c r="BH42" i="26"/>
  <c r="BG43" i="26"/>
  <c r="BP22" i="4"/>
  <c r="BE55" i="26"/>
  <c r="BE58" i="26" s="1"/>
  <c r="BD59" i="26"/>
  <c r="BD15" i="27"/>
  <c r="BE27" i="26"/>
  <c r="BG57" i="26" l="1"/>
  <c r="BG56" i="26"/>
  <c r="BG83" i="26" s="1"/>
  <c r="BF27" i="26"/>
  <c r="BQ22" i="4"/>
  <c r="BI42" i="26"/>
  <c r="BH43" i="26"/>
  <c r="BE59" i="26"/>
  <c r="BF55" i="26"/>
  <c r="BF58" i="26" s="1"/>
  <c r="BE15" i="27"/>
  <c r="BH57" i="26" l="1"/>
  <c r="BH56" i="26"/>
  <c r="BH83" i="26" s="1"/>
  <c r="BR22" i="4"/>
  <c r="BF15" i="27"/>
  <c r="BG55" i="26"/>
  <c r="BG58" i="26" s="1"/>
  <c r="BF59" i="26"/>
  <c r="BG27" i="26"/>
  <c r="BJ42" i="26"/>
  <c r="BJ43" i="26" s="1"/>
  <c r="BI43" i="26"/>
  <c r="BI57" i="26" l="1"/>
  <c r="BI56" i="26"/>
  <c r="BI83" i="26" s="1"/>
  <c r="BJ57" i="26"/>
  <c r="BJ56" i="26"/>
  <c r="BG59" i="26"/>
  <c r="BG15" i="27"/>
  <c r="BH55" i="26"/>
  <c r="BH58" i="26" s="1"/>
  <c r="BS22" i="4"/>
  <c r="BH27" i="26"/>
  <c r="BJ83" i="26"/>
  <c r="BT22" i="4" l="1"/>
  <c r="BI27" i="26"/>
  <c r="BH59" i="26"/>
  <c r="BH15" i="27"/>
  <c r="BI55" i="26"/>
  <c r="BI58" i="26" s="1"/>
  <c r="BJ27" i="26"/>
  <c r="BU22" i="4" l="1"/>
  <c r="BI59" i="26"/>
  <c r="BI15" i="27"/>
  <c r="BJ55" i="26"/>
  <c r="BJ58" i="26" s="1"/>
  <c r="BJ15" i="27" l="1"/>
  <c r="BJ59" i="26"/>
  <c r="BV22" i="4"/>
  <c r="C14" i="29" l="1"/>
  <c r="D14" i="29"/>
  <c r="E14" i="29"/>
  <c r="F14" i="29"/>
  <c r="G14" i="29"/>
  <c r="BW22" i="4"/>
  <c r="BX22" i="4" l="1"/>
  <c r="BY22" i="4" l="1"/>
  <c r="BZ22" i="4" l="1"/>
  <c r="CA22" i="4" l="1"/>
  <c r="H119" i="4" l="1"/>
  <c r="I119" i="4"/>
  <c r="J119" i="4"/>
  <c r="K119" i="4"/>
  <c r="L119" i="4"/>
  <c r="M119" i="4"/>
  <c r="N119" i="4"/>
  <c r="O119" i="4"/>
  <c r="P119" i="4"/>
  <c r="Q119" i="4"/>
  <c r="R119" i="4"/>
  <c r="S119" i="4"/>
  <c r="T119" i="4"/>
  <c r="U119" i="4"/>
  <c r="V119" i="4"/>
  <c r="E119" i="4" l="1"/>
  <c r="N24" i="5" s="1"/>
  <c r="P24" i="5" s="1"/>
  <c r="Q24" i="5" s="1"/>
  <c r="V113" i="4" l="1"/>
  <c r="S112" i="30" s="1"/>
  <c r="W113" i="4"/>
  <c r="T112" i="30" s="1"/>
  <c r="T122" i="23" l="1"/>
  <c r="S122" i="23"/>
  <c r="O103" i="4"/>
  <c r="O134" i="4" s="1"/>
  <c r="G18" i="4"/>
  <c r="H18" i="4"/>
  <c r="I18" i="4"/>
  <c r="J18" i="4"/>
  <c r="K18" i="4"/>
  <c r="L18" i="4"/>
  <c r="M18" i="4"/>
  <c r="N18" i="4"/>
  <c r="O18" i="4"/>
  <c r="H9" i="28"/>
  <c r="C68" i="26"/>
  <c r="C78" i="26" s="1"/>
  <c r="C77" i="26"/>
  <c r="F14" i="9" l="1"/>
  <c r="G14" i="9"/>
  <c r="I14" i="9"/>
  <c r="H14" i="9"/>
  <c r="E14" i="9"/>
  <c r="C82" i="26"/>
  <c r="C79" i="26"/>
  <c r="C25" i="26" s="1"/>
  <c r="C11" i="27" s="1"/>
  <c r="P18" i="4" s="1"/>
  <c r="D67" i="26"/>
  <c r="D76" i="26" s="1"/>
  <c r="O120" i="4"/>
  <c r="O145" i="4"/>
  <c r="O128" i="4"/>
  <c r="O189" i="4" s="1"/>
  <c r="C83" i="26"/>
  <c r="C27" i="26" s="1"/>
  <c r="D78" i="26"/>
  <c r="C26" i="26"/>
  <c r="C85" i="26" l="1"/>
  <c r="D79" i="26"/>
  <c r="D25" i="26" s="1"/>
  <c r="D11" i="27" s="1"/>
  <c r="Q18" i="4" s="1"/>
  <c r="E67" i="26"/>
  <c r="D82" i="26"/>
  <c r="C28" i="26" l="1"/>
  <c r="C30" i="26" s="1"/>
  <c r="C14" i="27" s="1"/>
  <c r="C86" i="26"/>
  <c r="D85" i="26"/>
  <c r="D28" i="26" s="1"/>
  <c r="D26" i="26"/>
  <c r="E76" i="26"/>
  <c r="E78" i="26" s="1"/>
  <c r="D30" i="26" l="1"/>
  <c r="D14" i="27" s="1"/>
  <c r="D86" i="26"/>
  <c r="C18" i="27"/>
  <c r="C32" i="27" s="1"/>
  <c r="P21" i="4"/>
  <c r="P25" i="4" s="1"/>
  <c r="F67" i="26"/>
  <c r="E79" i="26"/>
  <c r="E25" i="26" s="1"/>
  <c r="E11" i="27" s="1"/>
  <c r="R18" i="4" s="1"/>
  <c r="E82" i="26"/>
  <c r="D18" i="27"/>
  <c r="Q21" i="4"/>
  <c r="Q25" i="4" s="1"/>
  <c r="P39" i="4"/>
  <c r="P48" i="4" s="1"/>
  <c r="C41" i="27"/>
  <c r="C23" i="27"/>
  <c r="C24" i="27" l="1"/>
  <c r="C49" i="27" s="1"/>
  <c r="C51" i="27" s="1"/>
  <c r="P30" i="4"/>
  <c r="P31" i="4" s="1"/>
  <c r="D32" i="27"/>
  <c r="E85" i="26"/>
  <c r="E28" i="26" s="1"/>
  <c r="E26" i="26"/>
  <c r="F76" i="26"/>
  <c r="F78" i="26" s="1"/>
  <c r="E30" i="26" l="1"/>
  <c r="E14" i="27" s="1"/>
  <c r="R21" i="4" s="1"/>
  <c r="R25" i="4" s="1"/>
  <c r="E86" i="26"/>
  <c r="F79" i="26"/>
  <c r="F25" i="26" s="1"/>
  <c r="F11" i="27" s="1"/>
  <c r="S18" i="4" s="1"/>
  <c r="F82" i="26"/>
  <c r="G67" i="26"/>
  <c r="P55" i="4"/>
  <c r="P57" i="4" s="1"/>
  <c r="P86" i="4" s="1"/>
  <c r="D41" i="27"/>
  <c r="Q39" i="4"/>
  <c r="Q48" i="4" s="1"/>
  <c r="D23" i="27"/>
  <c r="P102" i="4" l="1"/>
  <c r="E18" i="27"/>
  <c r="D24" i="27"/>
  <c r="D49" i="27" s="1"/>
  <c r="D51" i="27" s="1"/>
  <c r="Q30" i="4"/>
  <c r="Q31" i="4" s="1"/>
  <c r="E32" i="27"/>
  <c r="G76" i="26"/>
  <c r="G78" i="26"/>
  <c r="F26" i="26"/>
  <c r="F85" i="26"/>
  <c r="F28" i="26" s="1"/>
  <c r="G79" i="26" l="1"/>
  <c r="G25" i="26" s="1"/>
  <c r="G11" i="27" s="1"/>
  <c r="T18" i="4" s="1"/>
  <c r="H67" i="26"/>
  <c r="G82" i="26"/>
  <c r="Q55" i="4"/>
  <c r="Q57" i="4" s="1"/>
  <c r="Q86" i="4" s="1"/>
  <c r="P103" i="4"/>
  <c r="P134" i="4" s="1"/>
  <c r="E41" i="27"/>
  <c r="R39" i="4"/>
  <c r="R48" i="4" s="1"/>
  <c r="E23" i="27"/>
  <c r="F86" i="26"/>
  <c r="L56" i="27"/>
  <c r="L58" i="27" s="1"/>
  <c r="L73" i="27" s="1"/>
  <c r="F30" i="26"/>
  <c r="F14" i="27" s="1"/>
  <c r="Q102" i="4" l="1"/>
  <c r="E24" i="27"/>
  <c r="E49" i="27" s="1"/>
  <c r="E51" i="27" s="1"/>
  <c r="R30" i="4"/>
  <c r="R31" i="4" s="1"/>
  <c r="P120" i="4"/>
  <c r="P128" i="4"/>
  <c r="F18" i="27"/>
  <c r="S21" i="4"/>
  <c r="S25" i="4" s="1"/>
  <c r="G26" i="26"/>
  <c r="G85" i="26"/>
  <c r="G28" i="26" s="1"/>
  <c r="G86" i="26"/>
  <c r="H76" i="26"/>
  <c r="H78" i="26" s="1"/>
  <c r="I67" i="26" l="1"/>
  <c r="H79" i="26"/>
  <c r="H25" i="26" s="1"/>
  <c r="H11" i="27" s="1"/>
  <c r="U18" i="4" s="1"/>
  <c r="H82" i="26"/>
  <c r="Q103" i="4"/>
  <c r="P189" i="4"/>
  <c r="P145" i="4"/>
  <c r="G30" i="26"/>
  <c r="G14" i="27" s="1"/>
  <c r="E20" i="9"/>
  <c r="E21" i="9" s="1"/>
  <c r="R55" i="4"/>
  <c r="R57" i="4" s="1"/>
  <c r="R86" i="4" s="1"/>
  <c r="F32" i="27"/>
  <c r="R102" i="4" l="1"/>
  <c r="Q128" i="4"/>
  <c r="Q189" i="4" s="1"/>
  <c r="Q134" i="4"/>
  <c r="E27" i="9"/>
  <c r="G18" i="27"/>
  <c r="T21" i="4"/>
  <c r="T25" i="4" s="1"/>
  <c r="F41" i="27"/>
  <c r="S39" i="4"/>
  <c r="S48" i="4" s="1"/>
  <c r="F23" i="27"/>
  <c r="Q120" i="4"/>
  <c r="H85" i="26"/>
  <c r="H28" i="26" s="1"/>
  <c r="H86" i="26"/>
  <c r="H26" i="26"/>
  <c r="I76" i="26"/>
  <c r="I78" i="26"/>
  <c r="H30" i="26" l="1"/>
  <c r="H14" i="27" s="1"/>
  <c r="G32" i="27"/>
  <c r="I79" i="26"/>
  <c r="I25" i="26" s="1"/>
  <c r="I11" i="27" s="1"/>
  <c r="V18" i="4" s="1"/>
  <c r="J67" i="26"/>
  <c r="I82" i="26"/>
  <c r="H18" i="27"/>
  <c r="U21" i="4"/>
  <c r="U25" i="4" s="1"/>
  <c r="R103" i="4"/>
  <c r="Q145" i="4"/>
  <c r="S30" i="4"/>
  <c r="S31" i="4" s="1"/>
  <c r="F24" i="27"/>
  <c r="F49" i="27" s="1"/>
  <c r="F51" i="27" s="1"/>
  <c r="R128" i="4" l="1"/>
  <c r="R189" i="4" s="1"/>
  <c r="R134" i="4"/>
  <c r="G41" i="27"/>
  <c r="T39" i="4"/>
  <c r="T48" i="4" s="1"/>
  <c r="G23" i="27"/>
  <c r="R120" i="4"/>
  <c r="H32" i="27"/>
  <c r="H23" i="27" s="1"/>
  <c r="I26" i="26"/>
  <c r="I85" i="26"/>
  <c r="I28" i="26" s="1"/>
  <c r="I86" i="26"/>
  <c r="S55" i="4"/>
  <c r="S57" i="4" s="1"/>
  <c r="S86" i="4" s="1"/>
  <c r="E31" i="9"/>
  <c r="J76" i="26"/>
  <c r="J78" i="26"/>
  <c r="S102" i="4" l="1"/>
  <c r="H24" i="27"/>
  <c r="U30" i="4"/>
  <c r="U31" i="4" s="1"/>
  <c r="K67" i="26"/>
  <c r="J82" i="26"/>
  <c r="J79" i="26"/>
  <c r="J25" i="26" s="1"/>
  <c r="J11" i="27" s="1"/>
  <c r="W18" i="4" s="1"/>
  <c r="R145" i="4"/>
  <c r="I30" i="26"/>
  <c r="I14" i="27" s="1"/>
  <c r="H41" i="27"/>
  <c r="U39" i="4"/>
  <c r="U48" i="4" s="1"/>
  <c r="G24" i="27"/>
  <c r="G49" i="27" s="1"/>
  <c r="G51" i="27" s="1"/>
  <c r="T30" i="4"/>
  <c r="T31" i="4" s="1"/>
  <c r="U55" i="4" l="1"/>
  <c r="U57" i="4" s="1"/>
  <c r="U86" i="4" s="1"/>
  <c r="K76" i="26"/>
  <c r="K78" i="26"/>
  <c r="S103" i="4"/>
  <c r="T55" i="4"/>
  <c r="T57" i="4" s="1"/>
  <c r="T86" i="4" s="1"/>
  <c r="J85" i="26"/>
  <c r="J28" i="26" s="1"/>
  <c r="J26" i="26"/>
  <c r="I18" i="27"/>
  <c r="V21" i="4"/>
  <c r="V25" i="4" s="1"/>
  <c r="H49" i="27"/>
  <c r="H51" i="27" s="1"/>
  <c r="T102" i="4" l="1"/>
  <c r="S128" i="4"/>
  <c r="S134" i="4"/>
  <c r="J30" i="26"/>
  <c r="J14" i="27" s="1"/>
  <c r="W21" i="4" s="1"/>
  <c r="W25" i="4" s="1"/>
  <c r="I32" i="27"/>
  <c r="J18" i="27"/>
  <c r="S189" i="4"/>
  <c r="S120" i="4"/>
  <c r="L67" i="26"/>
  <c r="K82" i="26"/>
  <c r="K79" i="26"/>
  <c r="K25" i="26" s="1"/>
  <c r="K11" i="27" s="1"/>
  <c r="X18" i="4" s="1"/>
  <c r="J86" i="26"/>
  <c r="K85" i="26" l="1"/>
  <c r="K28" i="26" s="1"/>
  <c r="K26" i="26"/>
  <c r="K30" i="26" s="1"/>
  <c r="K14" i="27" s="1"/>
  <c r="K86" i="26"/>
  <c r="T103" i="4"/>
  <c r="L76" i="26"/>
  <c r="L78" i="26" s="1"/>
  <c r="J32" i="27"/>
  <c r="J23" i="27" s="1"/>
  <c r="S145" i="4"/>
  <c r="I41" i="27"/>
  <c r="V39" i="4"/>
  <c r="V48" i="4" s="1"/>
  <c r="I23" i="27"/>
  <c r="T128" i="4" l="1"/>
  <c r="T134" i="4"/>
  <c r="J24" i="27"/>
  <c r="W30" i="4"/>
  <c r="W31" i="4" s="1"/>
  <c r="M67" i="26"/>
  <c r="L82" i="26"/>
  <c r="L79" i="26"/>
  <c r="L25" i="26" s="1"/>
  <c r="L11" i="27" s="1"/>
  <c r="Y18" i="4" s="1"/>
  <c r="T189" i="4"/>
  <c r="I24" i="27"/>
  <c r="I49" i="27" s="1"/>
  <c r="I51" i="27" s="1"/>
  <c r="V30" i="4"/>
  <c r="V31" i="4" s="1"/>
  <c r="T120" i="4"/>
  <c r="K18" i="27"/>
  <c r="X21" i="4"/>
  <c r="X25" i="4" s="1"/>
  <c r="J41" i="27"/>
  <c r="W39" i="4"/>
  <c r="W48" i="4" s="1"/>
  <c r="W55" i="4" l="1"/>
  <c r="W57" i="4" s="1"/>
  <c r="W86" i="4" s="1"/>
  <c r="J49" i="27"/>
  <c r="J51" i="27" s="1"/>
  <c r="M76" i="26"/>
  <c r="M78" i="26" s="1"/>
  <c r="V55" i="4"/>
  <c r="V57" i="4" s="1"/>
  <c r="V86" i="4" s="1"/>
  <c r="K32" i="27"/>
  <c r="T145" i="4"/>
  <c r="L85" i="26"/>
  <c r="L28" i="26" s="1"/>
  <c r="L26" i="26"/>
  <c r="L86" i="26" l="1"/>
  <c r="L30" i="26"/>
  <c r="L14" i="27" s="1"/>
  <c r="L18" i="27"/>
  <c r="Y21" i="4"/>
  <c r="Y25" i="4" s="1"/>
  <c r="K41" i="27"/>
  <c r="X39" i="4"/>
  <c r="X48" i="4" s="1"/>
  <c r="K23" i="27"/>
  <c r="N67" i="26"/>
  <c r="M82" i="26"/>
  <c r="M79" i="26"/>
  <c r="M25" i="26" s="1"/>
  <c r="M11" i="27" s="1"/>
  <c r="Z18" i="4" s="1"/>
  <c r="N76" i="26" l="1"/>
  <c r="N78" i="26"/>
  <c r="K24" i="27"/>
  <c r="K49" i="27" s="1"/>
  <c r="K51" i="27" s="1"/>
  <c r="X30" i="4"/>
  <c r="X31" i="4" s="1"/>
  <c r="M85" i="26"/>
  <c r="M28" i="26" s="1"/>
  <c r="M26" i="26"/>
  <c r="M30" i="26" s="1"/>
  <c r="M14" i="27" s="1"/>
  <c r="L32" i="27"/>
  <c r="X55" i="4" l="1"/>
  <c r="X57" i="4" s="1"/>
  <c r="X86" i="4" s="1"/>
  <c r="L41" i="27"/>
  <c r="Y39" i="4"/>
  <c r="Y48" i="4" s="1"/>
  <c r="L23" i="27"/>
  <c r="M86" i="26"/>
  <c r="Z21" i="4"/>
  <c r="Z25" i="4" s="1"/>
  <c r="M18" i="27"/>
  <c r="O67" i="26"/>
  <c r="N82" i="26"/>
  <c r="N79" i="26"/>
  <c r="N25" i="26" s="1"/>
  <c r="N11" i="27" s="1"/>
  <c r="AA18" i="4" l="1"/>
  <c r="C10" i="29"/>
  <c r="N26" i="26"/>
  <c r="N85" i="26"/>
  <c r="N28" i="26" s="1"/>
  <c r="O76" i="26"/>
  <c r="O78" i="26" s="1"/>
  <c r="M32" i="27"/>
  <c r="Y30" i="4"/>
  <c r="Y31" i="4" s="1"/>
  <c r="L24" i="27"/>
  <c r="L49" i="27" s="1"/>
  <c r="L51" i="27" s="1"/>
  <c r="N86" i="26" l="1"/>
  <c r="P67" i="26"/>
  <c r="O82" i="26"/>
  <c r="O79" i="26"/>
  <c r="O25" i="26" s="1"/>
  <c r="O11" i="27" s="1"/>
  <c r="AB18" i="4" s="1"/>
  <c r="Z39" i="4"/>
  <c r="Z48" i="4" s="1"/>
  <c r="M41" i="27"/>
  <c r="M23" i="27"/>
  <c r="Y55" i="4"/>
  <c r="Y57" i="4" s="1"/>
  <c r="Y86" i="4" s="1"/>
  <c r="N30" i="26"/>
  <c r="N14" i="27" s="1"/>
  <c r="Z30" i="4" l="1"/>
  <c r="Z31" i="4" s="1"/>
  <c r="M24" i="27"/>
  <c r="M49" i="27" s="1"/>
  <c r="M51" i="27" s="1"/>
  <c r="AA21" i="4"/>
  <c r="AA25" i="4" s="1"/>
  <c r="N18" i="27"/>
  <c r="O26" i="26"/>
  <c r="O85" i="26"/>
  <c r="O28" i="26" s="1"/>
  <c r="P76" i="26"/>
  <c r="P78" i="26" s="1"/>
  <c r="O30" i="26" l="1"/>
  <c r="O14" i="27" s="1"/>
  <c r="O18" i="27" s="1"/>
  <c r="O86" i="26"/>
  <c r="P79" i="26"/>
  <c r="P25" i="26" s="1"/>
  <c r="P11" i="27" s="1"/>
  <c r="AC18" i="4" s="1"/>
  <c r="Q67" i="26"/>
  <c r="P82" i="26"/>
  <c r="N32" i="27"/>
  <c r="N23" i="27" s="1"/>
  <c r="Z55" i="4"/>
  <c r="Z57" i="4" s="1"/>
  <c r="Z86" i="4" s="1"/>
  <c r="AB21" i="4" l="1"/>
  <c r="AB25" i="4" s="1"/>
  <c r="AA30" i="4"/>
  <c r="AA31" i="4" s="1"/>
  <c r="N24" i="27"/>
  <c r="P85" i="26"/>
  <c r="P28" i="26" s="1"/>
  <c r="P26" i="26"/>
  <c r="Q76" i="26"/>
  <c r="Q78" i="26" s="1"/>
  <c r="O32" i="27"/>
  <c r="O23" i="27"/>
  <c r="N41" i="27"/>
  <c r="AA39" i="4"/>
  <c r="AA48" i="4" s="1"/>
  <c r="R67" i="26" l="1"/>
  <c r="Q79" i="26"/>
  <c r="Q25" i="26" s="1"/>
  <c r="Q11" i="27" s="1"/>
  <c r="AD18" i="4" s="1"/>
  <c r="Q82" i="26"/>
  <c r="P30" i="26"/>
  <c r="P14" i="27" s="1"/>
  <c r="P86" i="26"/>
  <c r="AB30" i="4"/>
  <c r="AB31" i="4" s="1"/>
  <c r="O24" i="27"/>
  <c r="N49" i="27"/>
  <c r="N51" i="27" s="1"/>
  <c r="AB39" i="4"/>
  <c r="AB48" i="4" s="1"/>
  <c r="O41" i="27"/>
  <c r="AA55" i="4"/>
  <c r="AA57" i="4" s="1"/>
  <c r="AA86" i="4" s="1"/>
  <c r="AB55" i="4" l="1"/>
  <c r="AB57" i="4" s="1"/>
  <c r="AB86" i="4" s="1"/>
  <c r="O49" i="27"/>
  <c r="O51" i="27" s="1"/>
  <c r="P18" i="27"/>
  <c r="AC21" i="4"/>
  <c r="AC25" i="4" s="1"/>
  <c r="Q85" i="26"/>
  <c r="Q28" i="26" s="1"/>
  <c r="Q86" i="26"/>
  <c r="Q26" i="26"/>
  <c r="Q30" i="26" s="1"/>
  <c r="Q14" i="27" s="1"/>
  <c r="R76" i="26"/>
  <c r="R78" i="26"/>
  <c r="AD21" i="4" l="1"/>
  <c r="AD25" i="4" s="1"/>
  <c r="Q18" i="27"/>
  <c r="P32" i="27"/>
  <c r="P23" i="27"/>
  <c r="S67" i="26"/>
  <c r="R79" i="26"/>
  <c r="R25" i="26" s="1"/>
  <c r="R11" i="27" s="1"/>
  <c r="AE18" i="4" s="1"/>
  <c r="R82" i="26"/>
  <c r="R26" i="26" l="1"/>
  <c r="R85" i="26"/>
  <c r="R28" i="26" s="1"/>
  <c r="S76" i="26"/>
  <c r="S78" i="26"/>
  <c r="P24" i="27"/>
  <c r="AC30" i="4"/>
  <c r="AC31" i="4" s="1"/>
  <c r="P41" i="27"/>
  <c r="AC39" i="4"/>
  <c r="AC48" i="4" s="1"/>
  <c r="Q32" i="27"/>
  <c r="Q23" i="27" s="1"/>
  <c r="Q24" i="27" l="1"/>
  <c r="AD30" i="4"/>
  <c r="AD31" i="4" s="1"/>
  <c r="AC55" i="4"/>
  <c r="AC57" i="4" s="1"/>
  <c r="AC86" i="4" s="1"/>
  <c r="P49" i="27"/>
  <c r="P51" i="27" s="1"/>
  <c r="S79" i="26"/>
  <c r="S25" i="26" s="1"/>
  <c r="S11" i="27" s="1"/>
  <c r="AF18" i="4" s="1"/>
  <c r="T67" i="26"/>
  <c r="S82" i="26"/>
  <c r="R86" i="26"/>
  <c r="AD39" i="4"/>
  <c r="AD48" i="4" s="1"/>
  <c r="Q41" i="27"/>
  <c r="R30" i="26"/>
  <c r="R14" i="27" s="1"/>
  <c r="R18" i="27" l="1"/>
  <c r="AE21" i="4"/>
  <c r="AE25" i="4" s="1"/>
  <c r="S26" i="26"/>
  <c r="S85" i="26"/>
  <c r="S28" i="26" s="1"/>
  <c r="T76" i="26"/>
  <c r="T78" i="26" s="1"/>
  <c r="AD55" i="4"/>
  <c r="AD57" i="4" s="1"/>
  <c r="AD86" i="4" s="1"/>
  <c r="Q49" i="27"/>
  <c r="Q51" i="27" s="1"/>
  <c r="U67" i="26" l="1"/>
  <c r="T79" i="26"/>
  <c r="T25" i="26" s="1"/>
  <c r="T11" i="27" s="1"/>
  <c r="AG18" i="4" s="1"/>
  <c r="T82" i="26"/>
  <c r="S30" i="26"/>
  <c r="S14" i="27" s="1"/>
  <c r="S86" i="26"/>
  <c r="R32" i="27"/>
  <c r="AE39" i="4" l="1"/>
  <c r="AE48" i="4" s="1"/>
  <c r="R41" i="27"/>
  <c r="S18" i="27"/>
  <c r="AF21" i="4"/>
  <c r="AF25" i="4" s="1"/>
  <c r="T26" i="26"/>
  <c r="T85" i="26"/>
  <c r="T28" i="26" s="1"/>
  <c r="R23" i="27"/>
  <c r="U76" i="26"/>
  <c r="U78" i="26" s="1"/>
  <c r="U79" i="26" l="1"/>
  <c r="U25" i="26" s="1"/>
  <c r="U11" i="27" s="1"/>
  <c r="AH18" i="4" s="1"/>
  <c r="V67" i="26"/>
  <c r="U82" i="26"/>
  <c r="S32" i="27"/>
  <c r="AE30" i="4"/>
  <c r="AE31" i="4" s="1"/>
  <c r="AE55" i="4" s="1"/>
  <c r="AE57" i="4" s="1"/>
  <c r="AE86" i="4" s="1"/>
  <c r="R24" i="27"/>
  <c r="R49" i="27" s="1"/>
  <c r="R51" i="27" s="1"/>
  <c r="T30" i="26"/>
  <c r="T14" i="27" s="1"/>
  <c r="T86" i="26"/>
  <c r="T18" i="27" l="1"/>
  <c r="AG21" i="4"/>
  <c r="AG25" i="4" s="1"/>
  <c r="S41" i="27"/>
  <c r="AF39" i="4"/>
  <c r="AF48" i="4" s="1"/>
  <c r="S23" i="27"/>
  <c r="U26" i="26"/>
  <c r="U85" i="26"/>
  <c r="U28" i="26" s="1"/>
  <c r="V76" i="26"/>
  <c r="V78" i="26" s="1"/>
  <c r="U30" i="26" l="1"/>
  <c r="U14" i="27" s="1"/>
  <c r="U18" i="27" s="1"/>
  <c r="V79" i="26"/>
  <c r="V25" i="26" s="1"/>
  <c r="V11" i="27" s="1"/>
  <c r="AI18" i="4" s="1"/>
  <c r="W67" i="26"/>
  <c r="V82" i="26"/>
  <c r="S24" i="27"/>
  <c r="S49" i="27" s="1"/>
  <c r="S51" i="27" s="1"/>
  <c r="AF30" i="4"/>
  <c r="AF31" i="4" s="1"/>
  <c r="T32" i="27"/>
  <c r="T23" i="27" s="1"/>
  <c r="U86" i="26"/>
  <c r="AH21" i="4" l="1"/>
  <c r="AH25" i="4" s="1"/>
  <c r="T24" i="27"/>
  <c r="AG30" i="4"/>
  <c r="AG31" i="4" s="1"/>
  <c r="U32" i="27"/>
  <c r="AF55" i="4"/>
  <c r="AF57" i="4" s="1"/>
  <c r="AF86" i="4" s="1"/>
  <c r="V85" i="26"/>
  <c r="V28" i="26" s="1"/>
  <c r="V26" i="26"/>
  <c r="W76" i="26"/>
  <c r="W78" i="26" s="1"/>
  <c r="T41" i="27"/>
  <c r="AG39" i="4"/>
  <c r="AG48" i="4" s="1"/>
  <c r="V86" i="26" l="1"/>
  <c r="W79" i="26"/>
  <c r="W25" i="26" s="1"/>
  <c r="W11" i="27" s="1"/>
  <c r="AJ18" i="4" s="1"/>
  <c r="X67" i="26"/>
  <c r="W82" i="26"/>
  <c r="U41" i="27"/>
  <c r="AH39" i="4"/>
  <c r="AH48" i="4" s="1"/>
  <c r="U23" i="27"/>
  <c r="AG55" i="4"/>
  <c r="AG57" i="4" s="1"/>
  <c r="AG86" i="4" s="1"/>
  <c r="T49" i="27"/>
  <c r="T51" i="27" s="1"/>
  <c r="V30" i="26"/>
  <c r="V14" i="27" s="1"/>
  <c r="U24" i="27" l="1"/>
  <c r="U49" i="27" s="1"/>
  <c r="U51" i="27" s="1"/>
  <c r="AH30" i="4"/>
  <c r="AH31" i="4" s="1"/>
  <c r="W85" i="26"/>
  <c r="W28" i="26" s="1"/>
  <c r="W26" i="26"/>
  <c r="X76" i="26"/>
  <c r="X78" i="26" s="1"/>
  <c r="V18" i="27"/>
  <c r="AI21" i="4"/>
  <c r="AI25" i="4" s="1"/>
  <c r="W30" i="26" l="1"/>
  <c r="W14" i="27" s="1"/>
  <c r="W18" i="27" s="1"/>
  <c r="W86" i="26"/>
  <c r="X79" i="26"/>
  <c r="X25" i="26" s="1"/>
  <c r="X11" i="27" s="1"/>
  <c r="AK18" i="4" s="1"/>
  <c r="Y67" i="26"/>
  <c r="X82" i="26"/>
  <c r="AH55" i="4"/>
  <c r="AH57" i="4" s="1"/>
  <c r="AH86" i="4" s="1"/>
  <c r="V32" i="27"/>
  <c r="V23" i="27"/>
  <c r="AJ21" i="4" l="1"/>
  <c r="AJ25" i="4" s="1"/>
  <c r="V24" i="27"/>
  <c r="AI30" i="4"/>
  <c r="AI31" i="4" s="1"/>
  <c r="AI39" i="4"/>
  <c r="AI48" i="4" s="1"/>
  <c r="V41" i="27"/>
  <c r="W32" i="27"/>
  <c r="W23" i="27" s="1"/>
  <c r="X85" i="26"/>
  <c r="X28" i="26" s="1"/>
  <c r="X86" i="26"/>
  <c r="X26" i="26"/>
  <c r="X30" i="26" s="1"/>
  <c r="X14" i="27" s="1"/>
  <c r="Y76" i="26"/>
  <c r="Y78" i="26" s="1"/>
  <c r="Z67" i="26" l="1"/>
  <c r="Y82" i="26"/>
  <c r="Y79" i="26"/>
  <c r="Y25" i="26" s="1"/>
  <c r="Y11" i="27" s="1"/>
  <c r="AL18" i="4" s="1"/>
  <c r="W24" i="27"/>
  <c r="AJ30" i="4"/>
  <c r="AJ31" i="4" s="1"/>
  <c r="W41" i="27"/>
  <c r="AJ39" i="4"/>
  <c r="AJ48" i="4" s="1"/>
  <c r="AK21" i="4"/>
  <c r="AK25" i="4" s="1"/>
  <c r="X18" i="27"/>
  <c r="AI55" i="4"/>
  <c r="AI57" i="4" s="1"/>
  <c r="AI86" i="4" s="1"/>
  <c r="V49" i="27"/>
  <c r="V51" i="27" s="1"/>
  <c r="X32" i="27" l="1"/>
  <c r="AJ55" i="4"/>
  <c r="AJ57" i="4" s="1"/>
  <c r="AJ86" i="4" s="1"/>
  <c r="W49" i="27"/>
  <c r="W51" i="27" s="1"/>
  <c r="Y85" i="26"/>
  <c r="Y28" i="26" s="1"/>
  <c r="Y26" i="26"/>
  <c r="Z76" i="26"/>
  <c r="Z78" i="26"/>
  <c r="Y86" i="26" l="1"/>
  <c r="Y30" i="26"/>
  <c r="Y14" i="27" s="1"/>
  <c r="Y18" i="27" s="1"/>
  <c r="AA67" i="26"/>
  <c r="Z82" i="26"/>
  <c r="Z79" i="26"/>
  <c r="Z25" i="26" s="1"/>
  <c r="Z11" i="27" s="1"/>
  <c r="X41" i="27"/>
  <c r="AK39" i="4"/>
  <c r="AK48" i="4" s="1"/>
  <c r="X23" i="27"/>
  <c r="AM18" i="4" l="1"/>
  <c r="D10" i="29"/>
  <c r="AL21" i="4"/>
  <c r="AL25" i="4" s="1"/>
  <c r="X24" i="27"/>
  <c r="X49" i="27" s="1"/>
  <c r="X51" i="27" s="1"/>
  <c r="AK30" i="4"/>
  <c r="AK31" i="4" s="1"/>
  <c r="Y32" i="27"/>
  <c r="Z85" i="26"/>
  <c r="Z28" i="26" s="1"/>
  <c r="Z26" i="26"/>
  <c r="AA76" i="26"/>
  <c r="AA78" i="26" s="1"/>
  <c r="Z86" i="26" l="1"/>
  <c r="Z30" i="26"/>
  <c r="Z14" i="27" s="1"/>
  <c r="AM21" i="4" s="1"/>
  <c r="AM25" i="4" s="1"/>
  <c r="AB67" i="26"/>
  <c r="AA82" i="26"/>
  <c r="AA79" i="26"/>
  <c r="AA25" i="26" s="1"/>
  <c r="AA11" i="27" s="1"/>
  <c r="AN18" i="4" s="1"/>
  <c r="AL39" i="4"/>
  <c r="AL48" i="4" s="1"/>
  <c r="Y41" i="27"/>
  <c r="Y23" i="27"/>
  <c r="AK55" i="4"/>
  <c r="AK57" i="4" s="1"/>
  <c r="AK86" i="4" s="1"/>
  <c r="Z18" i="27" l="1"/>
  <c r="Z32" i="27" s="1"/>
  <c r="Z23" i="27" s="1"/>
  <c r="Y24" i="27"/>
  <c r="Y49" i="27" s="1"/>
  <c r="Y51" i="27" s="1"/>
  <c r="AL30" i="4"/>
  <c r="AL31" i="4" s="1"/>
  <c r="AA85" i="26"/>
  <c r="AA28" i="26" s="1"/>
  <c r="AA26" i="26"/>
  <c r="AB76" i="26"/>
  <c r="AB78" i="26" s="1"/>
  <c r="AC67" i="26" l="1"/>
  <c r="AB82" i="26"/>
  <c r="AB79" i="26"/>
  <c r="AB25" i="26" s="1"/>
  <c r="AB11" i="27" s="1"/>
  <c r="AO18" i="4" s="1"/>
  <c r="Z24" i="27"/>
  <c r="AM30" i="4"/>
  <c r="AM31" i="4" s="1"/>
  <c r="AA30" i="26"/>
  <c r="AA14" i="27" s="1"/>
  <c r="Z41" i="27"/>
  <c r="AM39" i="4"/>
  <c r="AM48" i="4" s="1"/>
  <c r="AL55" i="4"/>
  <c r="AL57" i="4" s="1"/>
  <c r="AL86" i="4" s="1"/>
  <c r="AA86" i="26"/>
  <c r="AA18" i="27" l="1"/>
  <c r="AN21" i="4"/>
  <c r="AN25" i="4" s="1"/>
  <c r="AM55" i="4"/>
  <c r="AM57" i="4" s="1"/>
  <c r="AM86" i="4" s="1"/>
  <c r="Z49" i="27"/>
  <c r="Z51" i="27" s="1"/>
  <c r="AB85" i="26"/>
  <c r="AB28" i="26" s="1"/>
  <c r="AB86" i="26"/>
  <c r="AB26" i="26"/>
  <c r="AB30" i="26" s="1"/>
  <c r="AB14" i="27" s="1"/>
  <c r="AC76" i="26"/>
  <c r="AC78" i="26" s="1"/>
  <c r="AB18" i="27" l="1"/>
  <c r="AO21" i="4"/>
  <c r="AO25" i="4" s="1"/>
  <c r="AA32" i="27"/>
  <c r="AD67" i="26"/>
  <c r="AC79" i="26"/>
  <c r="AC25" i="26" s="1"/>
  <c r="AC11" i="27" s="1"/>
  <c r="AP18" i="4" s="1"/>
  <c r="AC82" i="26"/>
  <c r="AC85" i="26" l="1"/>
  <c r="AC28" i="26" s="1"/>
  <c r="AC86" i="26"/>
  <c r="AC26" i="26"/>
  <c r="AC30" i="26" s="1"/>
  <c r="AC14" i="27" s="1"/>
  <c r="AD76" i="26"/>
  <c r="AD78" i="26"/>
  <c r="AA41" i="27"/>
  <c r="AN39" i="4"/>
  <c r="AN48" i="4" s="1"/>
  <c r="AA23" i="27"/>
  <c r="AB32" i="27"/>
  <c r="AB23" i="27" s="1"/>
  <c r="AP21" i="4" l="1"/>
  <c r="AP25" i="4" s="1"/>
  <c r="AC18" i="27"/>
  <c r="AB24" i="27"/>
  <c r="AO30" i="4"/>
  <c r="AO31" i="4" s="1"/>
  <c r="AA24" i="27"/>
  <c r="AA49" i="27" s="1"/>
  <c r="AA51" i="27" s="1"/>
  <c r="AN30" i="4"/>
  <c r="AN31" i="4" s="1"/>
  <c r="AN55" i="4" s="1"/>
  <c r="AN57" i="4" s="1"/>
  <c r="AN86" i="4" s="1"/>
  <c r="AE67" i="26"/>
  <c r="AD79" i="26"/>
  <c r="AD25" i="26" s="1"/>
  <c r="AD11" i="27" s="1"/>
  <c r="AQ18" i="4" s="1"/>
  <c r="AD82" i="26"/>
  <c r="AB41" i="27"/>
  <c r="AO39" i="4"/>
  <c r="AO48" i="4" s="1"/>
  <c r="AC32" i="27" l="1"/>
  <c r="AC23" i="27"/>
  <c r="AD26" i="26"/>
  <c r="AD85" i="26"/>
  <c r="AD28" i="26" s="1"/>
  <c r="AD86" i="26"/>
  <c r="AE76" i="26"/>
  <c r="AE78" i="26"/>
  <c r="AO55" i="4"/>
  <c r="AO57" i="4" s="1"/>
  <c r="AO86" i="4" s="1"/>
  <c r="AB49" i="27"/>
  <c r="AB51" i="27" s="1"/>
  <c r="AC24" i="27" l="1"/>
  <c r="AP30" i="4"/>
  <c r="AP31" i="4" s="1"/>
  <c r="AP39" i="4"/>
  <c r="AP48" i="4" s="1"/>
  <c r="AC41" i="27"/>
  <c r="AF67" i="26"/>
  <c r="AE82" i="26"/>
  <c r="AE79" i="26"/>
  <c r="AE25" i="26" s="1"/>
  <c r="AE11" i="27" s="1"/>
  <c r="AR18" i="4" s="1"/>
  <c r="AD30" i="26"/>
  <c r="AD14" i="27" s="1"/>
  <c r="AP55" i="4" l="1"/>
  <c r="AP57" i="4" s="1"/>
  <c r="AP86" i="4" s="1"/>
  <c r="AC49" i="27"/>
  <c r="AC51" i="27" s="1"/>
  <c r="AD18" i="27"/>
  <c r="AQ21" i="4"/>
  <c r="AQ25" i="4" s="1"/>
  <c r="AE26" i="26"/>
  <c r="AE85" i="26"/>
  <c r="AE28" i="26" s="1"/>
  <c r="AE86" i="26"/>
  <c r="AF76" i="26"/>
  <c r="AF78" i="26" s="1"/>
  <c r="AG67" i="26" l="1"/>
  <c r="AF79" i="26"/>
  <c r="AF25" i="26" s="1"/>
  <c r="AF11" i="27" s="1"/>
  <c r="AS18" i="4" s="1"/>
  <c r="AF82" i="26"/>
  <c r="AE30" i="26"/>
  <c r="AE14" i="27" s="1"/>
  <c r="AD32" i="27"/>
  <c r="AD41" i="27" l="1"/>
  <c r="AQ39" i="4"/>
  <c r="AQ48" i="4" s="1"/>
  <c r="AD23" i="27"/>
  <c r="AE18" i="27"/>
  <c r="AR21" i="4"/>
  <c r="AR25" i="4" s="1"/>
  <c r="AF26" i="26"/>
  <c r="AF85" i="26"/>
  <c r="AF28" i="26" s="1"/>
  <c r="AF86" i="26"/>
  <c r="AG76" i="26"/>
  <c r="AG78" i="26"/>
  <c r="AG79" i="26" l="1"/>
  <c r="AG25" i="26" s="1"/>
  <c r="AG11" i="27" s="1"/>
  <c r="AT18" i="4" s="1"/>
  <c r="AH67" i="26"/>
  <c r="AG82" i="26"/>
  <c r="AF30" i="26"/>
  <c r="AF14" i="27" s="1"/>
  <c r="AE32" i="27"/>
  <c r="AQ30" i="4"/>
  <c r="AQ31" i="4" s="1"/>
  <c r="AQ55" i="4" s="1"/>
  <c r="AQ57" i="4" s="1"/>
  <c r="AQ86" i="4" s="1"/>
  <c r="AD24" i="27"/>
  <c r="AD49" i="27" s="1"/>
  <c r="AD51" i="27" s="1"/>
  <c r="AE41" i="27" l="1"/>
  <c r="AR39" i="4"/>
  <c r="AR48" i="4" s="1"/>
  <c r="AE23" i="27"/>
  <c r="AF18" i="27"/>
  <c r="AS21" i="4"/>
  <c r="AS25" i="4" s="1"/>
  <c r="AG26" i="26"/>
  <c r="AG85" i="26"/>
  <c r="AG28" i="26" s="1"/>
  <c r="AH76" i="26"/>
  <c r="AH78" i="26" s="1"/>
  <c r="AH79" i="26" l="1"/>
  <c r="AH25" i="26" s="1"/>
  <c r="AH11" i="27" s="1"/>
  <c r="AU18" i="4" s="1"/>
  <c r="AI67" i="26"/>
  <c r="AH82" i="26"/>
  <c r="AG86" i="26"/>
  <c r="AG30" i="26"/>
  <c r="AG14" i="27" s="1"/>
  <c r="AF32" i="27"/>
  <c r="AE24" i="27"/>
  <c r="AE49" i="27" s="1"/>
  <c r="AE51" i="27" s="1"/>
  <c r="AR30" i="4"/>
  <c r="AR31" i="4" s="1"/>
  <c r="AH26" i="26" l="1"/>
  <c r="AH85" i="26"/>
  <c r="AH28" i="26" s="1"/>
  <c r="AI76" i="26"/>
  <c r="AI78" i="26" s="1"/>
  <c r="AR55" i="4"/>
  <c r="AR57" i="4" s="1"/>
  <c r="AR86" i="4" s="1"/>
  <c r="AF41" i="27"/>
  <c r="AS39" i="4"/>
  <c r="AS48" i="4" s="1"/>
  <c r="AF23" i="27"/>
  <c r="AG18" i="27"/>
  <c r="AT21" i="4"/>
  <c r="AT25" i="4" s="1"/>
  <c r="AH30" i="26" l="1"/>
  <c r="AH14" i="27" s="1"/>
  <c r="AJ67" i="26"/>
  <c r="AI82" i="26"/>
  <c r="AI79" i="26"/>
  <c r="AI25" i="26" s="1"/>
  <c r="AI11" i="27" s="1"/>
  <c r="AV18" i="4" s="1"/>
  <c r="AF24" i="27"/>
  <c r="AF49" i="27" s="1"/>
  <c r="AF51" i="27" s="1"/>
  <c r="AS30" i="4"/>
  <c r="AS31" i="4" s="1"/>
  <c r="AG32" i="27"/>
  <c r="AH18" i="27"/>
  <c r="AU21" i="4"/>
  <c r="AU25" i="4" s="1"/>
  <c r="AH86" i="26"/>
  <c r="AI26" i="26" l="1"/>
  <c r="AI85" i="26"/>
  <c r="AI28" i="26" s="1"/>
  <c r="AS55" i="4"/>
  <c r="AS57" i="4" s="1"/>
  <c r="AS86" i="4" s="1"/>
  <c r="AG41" i="27"/>
  <c r="AT39" i="4"/>
  <c r="AT48" i="4" s="1"/>
  <c r="AG23" i="27"/>
  <c r="AH32" i="27"/>
  <c r="AJ76" i="26"/>
  <c r="AJ78" i="26" s="1"/>
  <c r="AI86" i="26" l="1"/>
  <c r="AJ79" i="26"/>
  <c r="AJ25" i="26" s="1"/>
  <c r="AJ11" i="27" s="1"/>
  <c r="AW18" i="4" s="1"/>
  <c r="AK67" i="26"/>
  <c r="AJ82" i="26"/>
  <c r="AU39" i="4"/>
  <c r="AU48" i="4" s="1"/>
  <c r="AH41" i="27"/>
  <c r="AG24" i="27"/>
  <c r="AG49" i="27" s="1"/>
  <c r="AG51" i="27" s="1"/>
  <c r="AT30" i="4"/>
  <c r="AT31" i="4" s="1"/>
  <c r="AI30" i="26"/>
  <c r="AI14" i="27" s="1"/>
  <c r="AH23" i="27"/>
  <c r="AT55" i="4" l="1"/>
  <c r="AT57" i="4" s="1"/>
  <c r="AT86" i="4" s="1"/>
  <c r="AJ26" i="26"/>
  <c r="AJ85" i="26"/>
  <c r="AJ28" i="26" s="1"/>
  <c r="AH24" i="27"/>
  <c r="AH49" i="27" s="1"/>
  <c r="AH51" i="27" s="1"/>
  <c r="AU30" i="4"/>
  <c r="AU31" i="4" s="1"/>
  <c r="AU55" i="4" s="1"/>
  <c r="AU57" i="4" s="1"/>
  <c r="AU86" i="4" s="1"/>
  <c r="AK76" i="26"/>
  <c r="AK78" i="26" s="1"/>
  <c r="AI18" i="27"/>
  <c r="AV21" i="4"/>
  <c r="AV25" i="4" s="1"/>
  <c r="AK79" i="26" l="1"/>
  <c r="AK25" i="26" s="1"/>
  <c r="AK11" i="27" s="1"/>
  <c r="AX18" i="4" s="1"/>
  <c r="AL67" i="26"/>
  <c r="AK82" i="26"/>
  <c r="AI32" i="27"/>
  <c r="AI23" i="27" s="1"/>
  <c r="AJ30" i="26"/>
  <c r="AJ14" i="27" s="1"/>
  <c r="AJ86" i="26"/>
  <c r="AI24" i="27" l="1"/>
  <c r="AV30" i="4"/>
  <c r="AV31" i="4" s="1"/>
  <c r="AJ18" i="27"/>
  <c r="AW21" i="4"/>
  <c r="AW25" i="4" s="1"/>
  <c r="AI41" i="27"/>
  <c r="AV39" i="4"/>
  <c r="AV48" i="4" s="1"/>
  <c r="AK85" i="26"/>
  <c r="AK28" i="26" s="1"/>
  <c r="AK26" i="26"/>
  <c r="AL76" i="26"/>
  <c r="AL78" i="26" s="1"/>
  <c r="AL79" i="26" l="1"/>
  <c r="AL25" i="26" s="1"/>
  <c r="AL11" i="27" s="1"/>
  <c r="AM67" i="26"/>
  <c r="AL82" i="26"/>
  <c r="AK30" i="26"/>
  <c r="AK14" i="27" s="1"/>
  <c r="AK86" i="26"/>
  <c r="AJ32" i="27"/>
  <c r="AJ23" i="27" s="1"/>
  <c r="AV55" i="4"/>
  <c r="AV57" i="4" s="1"/>
  <c r="AV86" i="4" s="1"/>
  <c r="AI49" i="27"/>
  <c r="AI51" i="27" s="1"/>
  <c r="AY18" i="4" l="1"/>
  <c r="E10" i="29"/>
  <c r="AJ24" i="27"/>
  <c r="AW30" i="4"/>
  <c r="AW31" i="4" s="1"/>
  <c r="AW39" i="4"/>
  <c r="AW48" i="4" s="1"/>
  <c r="AJ41" i="27"/>
  <c r="AK18" i="27"/>
  <c r="AX21" i="4"/>
  <c r="AX25" i="4" s="1"/>
  <c r="AL85" i="26"/>
  <c r="AL28" i="26" s="1"/>
  <c r="AL26" i="26"/>
  <c r="AL30" i="26" s="1"/>
  <c r="AL14" i="27" s="1"/>
  <c r="AM76" i="26"/>
  <c r="AM78" i="26"/>
  <c r="AY21" i="4" l="1"/>
  <c r="AY25" i="4" s="1"/>
  <c r="AL18" i="27"/>
  <c r="AK32" i="27"/>
  <c r="AW55" i="4"/>
  <c r="AW57" i="4" s="1"/>
  <c r="AW86" i="4" s="1"/>
  <c r="AJ49" i="27"/>
  <c r="AJ51" i="27" s="1"/>
  <c r="AM79" i="26"/>
  <c r="AM25" i="26" s="1"/>
  <c r="AM11" i="27" s="1"/>
  <c r="AZ18" i="4" s="1"/>
  <c r="AN67" i="26"/>
  <c r="AM82" i="26"/>
  <c r="AL86" i="26"/>
  <c r="AM85" i="26" l="1"/>
  <c r="AM28" i="26" s="1"/>
  <c r="AM26" i="26"/>
  <c r="AN76" i="26"/>
  <c r="AN78" i="26" s="1"/>
  <c r="AX39" i="4"/>
  <c r="AX48" i="4" s="1"/>
  <c r="AK41" i="27"/>
  <c r="AK23" i="27"/>
  <c r="AL32" i="27"/>
  <c r="AL23" i="27"/>
  <c r="AM86" i="26" l="1"/>
  <c r="AM30" i="26"/>
  <c r="AM14" i="27" s="1"/>
  <c r="AZ21" i="4" s="1"/>
  <c r="AZ25" i="4" s="1"/>
  <c r="AO67" i="26"/>
  <c r="AN82" i="26"/>
  <c r="AN79" i="26"/>
  <c r="AN25" i="26" s="1"/>
  <c r="AN11" i="27" s="1"/>
  <c r="BA18" i="4" s="1"/>
  <c r="AK24" i="27"/>
  <c r="AK49" i="27" s="1"/>
  <c r="AK51" i="27" s="1"/>
  <c r="AX30" i="4"/>
  <c r="AX31" i="4" s="1"/>
  <c r="AX55" i="4" s="1"/>
  <c r="AX57" i="4" s="1"/>
  <c r="AX86" i="4" s="1"/>
  <c r="AL24" i="27"/>
  <c r="AY30" i="4"/>
  <c r="AY31" i="4" s="1"/>
  <c r="AL41" i="27"/>
  <c r="AY39" i="4"/>
  <c r="AY48" i="4" s="1"/>
  <c r="AM18" i="27" l="1"/>
  <c r="AM32" i="27" s="1"/>
  <c r="AY55" i="4"/>
  <c r="AY57" i="4" s="1"/>
  <c r="AY86" i="4" s="1"/>
  <c r="AL49" i="27"/>
  <c r="AL51" i="27" s="1"/>
  <c r="AN85" i="26"/>
  <c r="AN28" i="26" s="1"/>
  <c r="AN86" i="26"/>
  <c r="AN26" i="26"/>
  <c r="AO76" i="26"/>
  <c r="AO78" i="26" s="1"/>
  <c r="AM23" i="27" l="1"/>
  <c r="AM24" i="27" s="1"/>
  <c r="AP67" i="26"/>
  <c r="AO79" i="26"/>
  <c r="AO25" i="26" s="1"/>
  <c r="AO11" i="27" s="1"/>
  <c r="BB18" i="4" s="1"/>
  <c r="AO82" i="26"/>
  <c r="AM41" i="27"/>
  <c r="AZ39" i="4"/>
  <c r="AZ48" i="4" s="1"/>
  <c r="AN30" i="26"/>
  <c r="AN14" i="27" s="1"/>
  <c r="AZ30" i="4" l="1"/>
  <c r="AZ31" i="4" s="1"/>
  <c r="AZ55" i="4" s="1"/>
  <c r="AZ57" i="4" s="1"/>
  <c r="AZ86" i="4" s="1"/>
  <c r="AM49" i="27"/>
  <c r="AM51" i="27" s="1"/>
  <c r="AO85" i="26"/>
  <c r="AO28" i="26" s="1"/>
  <c r="AO26" i="26"/>
  <c r="BA21" i="4"/>
  <c r="BA25" i="4" s="1"/>
  <c r="AN18" i="27"/>
  <c r="AP76" i="26"/>
  <c r="AP78" i="26" s="1"/>
  <c r="AO30" i="26" l="1"/>
  <c r="AO14" i="27" s="1"/>
  <c r="AO86" i="26"/>
  <c r="AQ67" i="26"/>
  <c r="AP79" i="26"/>
  <c r="AP25" i="26" s="1"/>
  <c r="AP11" i="27" s="1"/>
  <c r="BC18" i="4" s="1"/>
  <c r="AP82" i="26"/>
  <c r="AN32" i="27"/>
  <c r="BB21" i="4"/>
  <c r="BB25" i="4" s="1"/>
  <c r="AO18" i="27"/>
  <c r="AO32" i="27" l="1"/>
  <c r="AO23" i="27"/>
  <c r="AN41" i="27"/>
  <c r="BA39" i="4"/>
  <c r="BA48" i="4" s="1"/>
  <c r="AN23" i="27"/>
  <c r="AP26" i="26"/>
  <c r="AP85" i="26"/>
  <c r="AP28" i="26" s="1"/>
  <c r="AQ76" i="26"/>
  <c r="AQ78" i="26" s="1"/>
  <c r="AP30" i="26" l="1"/>
  <c r="AP14" i="27" s="1"/>
  <c r="BC21" i="4" s="1"/>
  <c r="BC25" i="4" s="1"/>
  <c r="AR67" i="26"/>
  <c r="AQ82" i="26"/>
  <c r="AQ79" i="26"/>
  <c r="AQ25" i="26" s="1"/>
  <c r="AQ11" i="27" s="1"/>
  <c r="BD18" i="4" s="1"/>
  <c r="AN24" i="27"/>
  <c r="AN49" i="27" s="1"/>
  <c r="AN51" i="27" s="1"/>
  <c r="BA30" i="4"/>
  <c r="BA31" i="4" s="1"/>
  <c r="BA55" i="4" s="1"/>
  <c r="BA57" i="4" s="1"/>
  <c r="BA86" i="4" s="1"/>
  <c r="AP86" i="26"/>
  <c r="BB30" i="4"/>
  <c r="BB31" i="4" s="1"/>
  <c r="AO24" i="27"/>
  <c r="AO41" i="27"/>
  <c r="BB39" i="4"/>
  <c r="BB48" i="4" s="1"/>
  <c r="AO49" i="27" l="1"/>
  <c r="AO51" i="27" s="1"/>
  <c r="AP18" i="27"/>
  <c r="BB55" i="4"/>
  <c r="BB57" i="4" s="1"/>
  <c r="BB86" i="4" s="1"/>
  <c r="AP32" i="27"/>
  <c r="AP23" i="27"/>
  <c r="AQ26" i="26"/>
  <c r="AQ85" i="26"/>
  <c r="AQ28" i="26" s="1"/>
  <c r="AQ86" i="26"/>
  <c r="AR76" i="26"/>
  <c r="AR78" i="26" s="1"/>
  <c r="AS67" i="26" l="1"/>
  <c r="AR79" i="26"/>
  <c r="AR25" i="26" s="1"/>
  <c r="AR11" i="27" s="1"/>
  <c r="BE18" i="4" s="1"/>
  <c r="AR82" i="26"/>
  <c r="BC30" i="4"/>
  <c r="BC31" i="4" s="1"/>
  <c r="AP24" i="27"/>
  <c r="BC39" i="4"/>
  <c r="BC48" i="4" s="1"/>
  <c r="AP41" i="27"/>
  <c r="AQ30" i="26"/>
  <c r="AQ14" i="27" s="1"/>
  <c r="AQ18" i="27" l="1"/>
  <c r="BD21" i="4"/>
  <c r="BD25" i="4" s="1"/>
  <c r="AP49" i="27"/>
  <c r="AP51" i="27" s="1"/>
  <c r="BC55" i="4"/>
  <c r="BC57" i="4" s="1"/>
  <c r="BC86" i="4" s="1"/>
  <c r="AR26" i="26"/>
  <c r="AR85" i="26"/>
  <c r="AR28" i="26" s="1"/>
  <c r="AS76" i="26"/>
  <c r="AS78" i="26"/>
  <c r="AR30" i="26" l="1"/>
  <c r="AR14" i="27" s="1"/>
  <c r="AR18" i="27"/>
  <c r="BE21" i="4"/>
  <c r="BE25" i="4" s="1"/>
  <c r="T33" i="1" a="1"/>
  <c r="T33" i="1" s="1"/>
  <c r="AT67" i="26"/>
  <c r="AS82" i="26"/>
  <c r="AS79" i="26"/>
  <c r="AS25" i="26" s="1"/>
  <c r="AS11" i="27" s="1"/>
  <c r="BF18" i="4" s="1"/>
  <c r="AR86" i="26"/>
  <c r="AQ32" i="27"/>
  <c r="AS26" i="26" l="1"/>
  <c r="AS85" i="26"/>
  <c r="AS28" i="26" s="1"/>
  <c r="AS86" i="26"/>
  <c r="AT76" i="26"/>
  <c r="AT78" i="26"/>
  <c r="AQ41" i="27"/>
  <c r="BD39" i="4"/>
  <c r="BD48" i="4" s="1"/>
  <c r="N20" i="1"/>
  <c r="O20" i="1" s="1"/>
  <c r="AQ23" i="27"/>
  <c r="AR32" i="27"/>
  <c r="AU67" i="26" l="1"/>
  <c r="AT82" i="26"/>
  <c r="AT79" i="26"/>
  <c r="AT25" i="26" s="1"/>
  <c r="AT11" i="27" s="1"/>
  <c r="BG18" i="4" s="1"/>
  <c r="AR41" i="27"/>
  <c r="BE39" i="4"/>
  <c r="BE48" i="4" s="1"/>
  <c r="AR23" i="27"/>
  <c r="AQ24" i="27"/>
  <c r="AQ49" i="27" s="1"/>
  <c r="AQ51" i="27" s="1"/>
  <c r="BD30" i="4"/>
  <c r="BD31" i="4" s="1"/>
  <c r="AS30" i="26"/>
  <c r="AS14" i="27" s="1"/>
  <c r="AS18" i="27" l="1"/>
  <c r="BF21" i="4"/>
  <c r="BF25" i="4" s="1"/>
  <c r="AR24" i="27"/>
  <c r="AR49" i="27" s="1"/>
  <c r="AR51" i="27" s="1"/>
  <c r="BE30" i="4"/>
  <c r="BE31" i="4" s="1"/>
  <c r="BE55" i="4" s="1"/>
  <c r="BE57" i="4" s="1"/>
  <c r="BE86" i="4" s="1"/>
  <c r="BD55" i="4"/>
  <c r="BD57" i="4" s="1"/>
  <c r="BD86" i="4" s="1"/>
  <c r="AT85" i="26"/>
  <c r="AT28" i="26" s="1"/>
  <c r="AT26" i="26"/>
  <c r="AU76" i="26"/>
  <c r="AU78" i="26" s="1"/>
  <c r="AT86" i="26" l="1"/>
  <c r="AT30" i="26"/>
  <c r="AT14" i="27" s="1"/>
  <c r="AV67" i="26"/>
  <c r="AU82" i="26"/>
  <c r="AU79" i="26"/>
  <c r="AU25" i="26" s="1"/>
  <c r="AU11" i="27" s="1"/>
  <c r="BH18" i="4" s="1"/>
  <c r="BG21" i="4"/>
  <c r="BG25" i="4" s="1"/>
  <c r="AT18" i="27"/>
  <c r="AS32" i="27"/>
  <c r="AS23" i="27" s="1"/>
  <c r="AS24" i="27" l="1"/>
  <c r="BF30" i="4"/>
  <c r="BF31" i="4" s="1"/>
  <c r="AS41" i="27"/>
  <c r="BF39" i="4"/>
  <c r="BF48" i="4" s="1"/>
  <c r="AT32" i="27"/>
  <c r="AU26" i="26"/>
  <c r="AU85" i="26"/>
  <c r="AU28" i="26" s="1"/>
  <c r="AV76" i="26"/>
  <c r="AV78" i="26"/>
  <c r="AV79" i="26" l="1"/>
  <c r="AV25" i="26" s="1"/>
  <c r="AV11" i="27" s="1"/>
  <c r="BI18" i="4" s="1"/>
  <c r="AW67" i="26"/>
  <c r="AV82" i="26"/>
  <c r="AU30" i="26"/>
  <c r="AU14" i="27" s="1"/>
  <c r="AT41" i="27"/>
  <c r="BG39" i="4"/>
  <c r="BG48" i="4" s="1"/>
  <c r="AT23" i="27"/>
  <c r="BF55" i="4"/>
  <c r="BF57" i="4" s="1"/>
  <c r="BF86" i="4" s="1"/>
  <c r="AU86" i="26"/>
  <c r="AS49" i="27"/>
  <c r="AS51" i="27" s="1"/>
  <c r="BG30" i="4" l="1"/>
  <c r="BG31" i="4" s="1"/>
  <c r="AT24" i="27"/>
  <c r="AT49" i="27" s="1"/>
  <c r="AT51" i="27" s="1"/>
  <c r="AU18" i="27"/>
  <c r="BH21" i="4"/>
  <c r="BH25" i="4" s="1"/>
  <c r="AV26" i="26"/>
  <c r="AV85" i="26"/>
  <c r="AV28" i="26" s="1"/>
  <c r="AW76" i="26"/>
  <c r="AW78" i="26" s="1"/>
  <c r="AW79" i="26" l="1"/>
  <c r="AW25" i="26" s="1"/>
  <c r="AW11" i="27" s="1"/>
  <c r="BJ18" i="4" s="1"/>
  <c r="AX67" i="26"/>
  <c r="AW82" i="26"/>
  <c r="AV30" i="26"/>
  <c r="AV14" i="27" s="1"/>
  <c r="AV86" i="26"/>
  <c r="AU32" i="27"/>
  <c r="AU23" i="27" s="1"/>
  <c r="BG55" i="4"/>
  <c r="BG57" i="4" s="1"/>
  <c r="BG86" i="4" s="1"/>
  <c r="AU41" i="27" l="1"/>
  <c r="BH39" i="4"/>
  <c r="BH48" i="4" s="1"/>
  <c r="AU24" i="27"/>
  <c r="BH30" i="4"/>
  <c r="BH31" i="4" s="1"/>
  <c r="AV18" i="27"/>
  <c r="BI21" i="4"/>
  <c r="BI25" i="4" s="1"/>
  <c r="AW26" i="26"/>
  <c r="AW85" i="26"/>
  <c r="AW28" i="26" s="1"/>
  <c r="AX76" i="26"/>
  <c r="AX78" i="26" s="1"/>
  <c r="AX79" i="26" l="1"/>
  <c r="AX25" i="26" s="1"/>
  <c r="AX11" i="27" s="1"/>
  <c r="AY67" i="26"/>
  <c r="AX82" i="26"/>
  <c r="AW86" i="26"/>
  <c r="AV32" i="27"/>
  <c r="AU49" i="27"/>
  <c r="AU51" i="27" s="1"/>
  <c r="AW30" i="26"/>
  <c r="AW14" i="27" s="1"/>
  <c r="BH55" i="4"/>
  <c r="BH57" i="4" s="1"/>
  <c r="BH86" i="4" s="1"/>
  <c r="F10" i="29" l="1"/>
  <c r="BK18" i="4"/>
  <c r="AW18" i="27"/>
  <c r="BJ21" i="4"/>
  <c r="BJ25" i="4" s="1"/>
  <c r="AV41" i="27"/>
  <c r="BI39" i="4"/>
  <c r="BI48" i="4" s="1"/>
  <c r="AV23" i="27"/>
  <c r="AX26" i="26"/>
  <c r="AX85" i="26"/>
  <c r="AX28" i="26" s="1"/>
  <c r="AY76" i="26"/>
  <c r="AY78" i="26" s="1"/>
  <c r="AZ67" i="26" l="1"/>
  <c r="AY79" i="26"/>
  <c r="AY25" i="26" s="1"/>
  <c r="AY11" i="27" s="1"/>
  <c r="BL18" i="4" s="1"/>
  <c r="AY82" i="26"/>
  <c r="AX30" i="26"/>
  <c r="AX14" i="27" s="1"/>
  <c r="AX86" i="26"/>
  <c r="BI30" i="4"/>
  <c r="BI31" i="4" s="1"/>
  <c r="AV24" i="27"/>
  <c r="AV49" i="27" s="1"/>
  <c r="AV51" i="27" s="1"/>
  <c r="AW32" i="27"/>
  <c r="AW23" i="27" s="1"/>
  <c r="AW24" i="27" l="1"/>
  <c r="BJ30" i="4"/>
  <c r="BJ31" i="4" s="1"/>
  <c r="BJ39" i="4"/>
  <c r="BJ48" i="4" s="1"/>
  <c r="AW41" i="27"/>
  <c r="BI55" i="4"/>
  <c r="BI57" i="4" s="1"/>
  <c r="BI86" i="4" s="1"/>
  <c r="BK21" i="4"/>
  <c r="BK25" i="4" s="1"/>
  <c r="AX18" i="27"/>
  <c r="AY26" i="26"/>
  <c r="AY85" i="26"/>
  <c r="AY28" i="26" s="1"/>
  <c r="AZ76" i="26"/>
  <c r="AZ78" i="26" s="1"/>
  <c r="AY30" i="26" l="1"/>
  <c r="AY14" i="27" s="1"/>
  <c r="AY18" i="27"/>
  <c r="BL21" i="4"/>
  <c r="BL25" i="4" s="1"/>
  <c r="AX32" i="27"/>
  <c r="AX23" i="27" s="1"/>
  <c r="AZ79" i="26"/>
  <c r="AZ25" i="26" s="1"/>
  <c r="AZ11" i="27" s="1"/>
  <c r="BM18" i="4" s="1"/>
  <c r="BA67" i="26"/>
  <c r="AZ82" i="26"/>
  <c r="AY86" i="26"/>
  <c r="BJ55" i="4"/>
  <c r="BJ57" i="4" s="1"/>
  <c r="BJ86" i="4" s="1"/>
  <c r="AW49" i="27"/>
  <c r="AW51" i="27" s="1"/>
  <c r="AZ85" i="26" l="1"/>
  <c r="AZ28" i="26" s="1"/>
  <c r="AZ86" i="26"/>
  <c r="AZ26" i="26"/>
  <c r="AZ30" i="26" s="1"/>
  <c r="AZ14" i="27" s="1"/>
  <c r="AX24" i="27"/>
  <c r="BK30" i="4"/>
  <c r="BK31" i="4" s="1"/>
  <c r="BA76" i="26"/>
  <c r="BA78" i="26" s="1"/>
  <c r="AX41" i="27"/>
  <c r="BK39" i="4"/>
  <c r="BK48" i="4" s="1"/>
  <c r="AY32" i="27"/>
  <c r="BB67" i="26" l="1"/>
  <c r="BA79" i="26"/>
  <c r="BA25" i="26" s="1"/>
  <c r="BA11" i="27" s="1"/>
  <c r="BN18" i="4" s="1"/>
  <c r="BA82" i="26"/>
  <c r="AY41" i="27"/>
  <c r="BL39" i="4"/>
  <c r="BL48" i="4" s="1"/>
  <c r="BK55" i="4"/>
  <c r="BK57" i="4" s="1"/>
  <c r="BK86" i="4" s="1"/>
  <c r="AX49" i="27"/>
  <c r="AX51" i="27" s="1"/>
  <c r="AZ18" i="27"/>
  <c r="BM21" i="4"/>
  <c r="BM25" i="4" s="1"/>
  <c r="AY23" i="27"/>
  <c r="AY24" i="27" l="1"/>
  <c r="AY49" i="27" s="1"/>
  <c r="AY51" i="27" s="1"/>
  <c r="BL30" i="4"/>
  <c r="BL31" i="4" s="1"/>
  <c r="BL55" i="4" s="1"/>
  <c r="BL57" i="4" s="1"/>
  <c r="BL86" i="4" s="1"/>
  <c r="AZ32" i="27"/>
  <c r="BA85" i="26"/>
  <c r="BA28" i="26" s="1"/>
  <c r="BA26" i="26"/>
  <c r="BA30" i="26" s="1"/>
  <c r="BA14" i="27" s="1"/>
  <c r="BB76" i="26"/>
  <c r="BB78" i="26"/>
  <c r="BA86" i="26" l="1"/>
  <c r="BC67" i="26"/>
  <c r="BB82" i="26"/>
  <c r="BB79" i="26"/>
  <c r="BB25" i="26" s="1"/>
  <c r="BB11" i="27" s="1"/>
  <c r="BO18" i="4" s="1"/>
  <c r="BM39" i="4"/>
  <c r="BM48" i="4" s="1"/>
  <c r="AZ41" i="27"/>
  <c r="BN21" i="4"/>
  <c r="BN25" i="4" s="1"/>
  <c r="BA18" i="27"/>
  <c r="AZ23" i="27"/>
  <c r="AZ24" i="27" l="1"/>
  <c r="AZ49" i="27" s="1"/>
  <c r="AZ51" i="27" s="1"/>
  <c r="BM30" i="4"/>
  <c r="BM31" i="4" s="1"/>
  <c r="BM55" i="4" s="1"/>
  <c r="BM57" i="4" s="1"/>
  <c r="BM86" i="4" s="1"/>
  <c r="BA32" i="27"/>
  <c r="BB26" i="26"/>
  <c r="BB85" i="26"/>
  <c r="BB28" i="26" s="1"/>
  <c r="BC76" i="26"/>
  <c r="BC78" i="26"/>
  <c r="BC79" i="26" l="1"/>
  <c r="BC25" i="26" s="1"/>
  <c r="BC11" i="27" s="1"/>
  <c r="BP18" i="4" s="1"/>
  <c r="BC82" i="26"/>
  <c r="BD67" i="26"/>
  <c r="BB86" i="26"/>
  <c r="BB30" i="26"/>
  <c r="BB14" i="27" s="1"/>
  <c r="BA41" i="27"/>
  <c r="BN39" i="4"/>
  <c r="BN48" i="4" s="1"/>
  <c r="BA23" i="27"/>
  <c r="BA24" i="27" l="1"/>
  <c r="BA49" i="27" s="1"/>
  <c r="BA51" i="27" s="1"/>
  <c r="BN30" i="4"/>
  <c r="BN31" i="4" s="1"/>
  <c r="BN55" i="4" s="1"/>
  <c r="BN57" i="4" s="1"/>
  <c r="BN86" i="4" s="1"/>
  <c r="BB18" i="27"/>
  <c r="BO21" i="4"/>
  <c r="BO25" i="4" s="1"/>
  <c r="BC26" i="26"/>
  <c r="BC85" i="26"/>
  <c r="BC28" i="26" s="1"/>
  <c r="BC86" i="26"/>
  <c r="BD76" i="26"/>
  <c r="BD78" i="26" s="1"/>
  <c r="BE67" i="26" l="1"/>
  <c r="BD79" i="26"/>
  <c r="BD25" i="26" s="1"/>
  <c r="BD11" i="27" s="1"/>
  <c r="BQ18" i="4" s="1"/>
  <c r="BD82" i="26"/>
  <c r="BB32" i="27"/>
  <c r="BB23" i="27"/>
  <c r="BC30" i="26"/>
  <c r="BC14" i="27" s="1"/>
  <c r="BD85" i="26" l="1"/>
  <c r="BD28" i="26" s="1"/>
  <c r="BD26" i="26"/>
  <c r="BD30" i="26" s="1"/>
  <c r="BD14" i="27" s="1"/>
  <c r="BE76" i="26"/>
  <c r="BE78" i="26" s="1"/>
  <c r="BC18" i="27"/>
  <c r="BP21" i="4"/>
  <c r="BP25" i="4" s="1"/>
  <c r="BO30" i="4"/>
  <c r="BO31" i="4" s="1"/>
  <c r="BB24" i="27"/>
  <c r="BB41" i="27"/>
  <c r="BO39" i="4"/>
  <c r="BO48" i="4" s="1"/>
  <c r="BE79" i="26" l="1"/>
  <c r="BE25" i="26" s="1"/>
  <c r="BE11" i="27" s="1"/>
  <c r="BR18" i="4" s="1"/>
  <c r="BF67" i="26"/>
  <c r="BE82" i="26"/>
  <c r="BD18" i="27"/>
  <c r="BQ21" i="4"/>
  <c r="BQ25" i="4" s="1"/>
  <c r="BB49" i="27"/>
  <c r="BB51" i="27" s="1"/>
  <c r="BO55" i="4"/>
  <c r="BO57" i="4" s="1"/>
  <c r="BO86" i="4" s="1"/>
  <c r="BC32" i="27"/>
  <c r="BD86" i="26"/>
  <c r="BC41" i="27" l="1"/>
  <c r="BP39" i="4"/>
  <c r="BP48" i="4" s="1"/>
  <c r="BC23" i="27"/>
  <c r="BD32" i="27"/>
  <c r="BE26" i="26"/>
  <c r="BE85" i="26"/>
  <c r="BE28" i="26" s="1"/>
  <c r="BE86" i="26"/>
  <c r="BF76" i="26"/>
  <c r="BF78" i="26" s="1"/>
  <c r="BG67" i="26" l="1"/>
  <c r="BF82" i="26"/>
  <c r="BF79" i="26"/>
  <c r="BF25" i="26" s="1"/>
  <c r="BF11" i="27" s="1"/>
  <c r="BS18" i="4" s="1"/>
  <c r="BE30" i="26"/>
  <c r="BE14" i="27" s="1"/>
  <c r="BD41" i="27"/>
  <c r="BQ39" i="4"/>
  <c r="BQ48" i="4" s="1"/>
  <c r="BD23" i="27"/>
  <c r="BC24" i="27"/>
  <c r="BC49" i="27" s="1"/>
  <c r="BC51" i="27" s="1"/>
  <c r="BP30" i="4"/>
  <c r="BP31" i="4" l="1"/>
  <c r="BP55" i="4" s="1"/>
  <c r="BP57" i="4" s="1"/>
  <c r="BP86" i="4" s="1"/>
  <c r="BD24" i="27"/>
  <c r="BD49" i="27" s="1"/>
  <c r="BD51" i="27" s="1"/>
  <c r="BQ30" i="4"/>
  <c r="BQ31" i="4" s="1"/>
  <c r="BQ55" i="4" s="1"/>
  <c r="BQ57" i="4" s="1"/>
  <c r="BQ86" i="4" s="1"/>
  <c r="BE18" i="27"/>
  <c r="BR21" i="4"/>
  <c r="BR25" i="4" s="1"/>
  <c r="BF26" i="26"/>
  <c r="BF85" i="26"/>
  <c r="BF28" i="26" s="1"/>
  <c r="BG76" i="26"/>
  <c r="BG78" i="26" s="1"/>
  <c r="BH67" i="26" l="1"/>
  <c r="BG82" i="26"/>
  <c r="BG79" i="26"/>
  <c r="BG25" i="26" s="1"/>
  <c r="BG11" i="27" s="1"/>
  <c r="BT18" i="4" s="1"/>
  <c r="BF86" i="26"/>
  <c r="BF30" i="26"/>
  <c r="BF14" i="27" s="1"/>
  <c r="BE32" i="27"/>
  <c r="BE23" i="27" s="1"/>
  <c r="BE24" i="27" l="1"/>
  <c r="BR30" i="4"/>
  <c r="BC97" i="4" s="1"/>
  <c r="BF18" i="27"/>
  <c r="BS21" i="4"/>
  <c r="BS25" i="4" s="1"/>
  <c r="BE41" i="27"/>
  <c r="BR39" i="4"/>
  <c r="BR48" i="4" s="1"/>
  <c r="BG85" i="26"/>
  <c r="BG28" i="26" s="1"/>
  <c r="BG26" i="26"/>
  <c r="BH76" i="26"/>
  <c r="BH78" i="26"/>
  <c r="BG86" i="26" l="1"/>
  <c r="BG30" i="26"/>
  <c r="BG14" i="27" s="1"/>
  <c r="BI67" i="26"/>
  <c r="BH82" i="26"/>
  <c r="BH79" i="26"/>
  <c r="BH25" i="26" s="1"/>
  <c r="BH11" i="27" s="1"/>
  <c r="BU18" i="4" s="1"/>
  <c r="BG18" i="27"/>
  <c r="BT21" i="4"/>
  <c r="BT25" i="4" s="1"/>
  <c r="BF32" i="27"/>
  <c r="BR31" i="4"/>
  <c r="BR55" i="4" s="1"/>
  <c r="BR57" i="4" s="1"/>
  <c r="BR86" i="4" s="1"/>
  <c r="BE49" i="27"/>
  <c r="BE51" i="27" s="1"/>
  <c r="H43" i="9" l="1"/>
  <c r="BC98" i="4"/>
  <c r="H44" i="9" s="1"/>
  <c r="C44" i="9" s="1"/>
  <c r="BS39" i="4"/>
  <c r="BS48" i="4" s="1"/>
  <c r="BF41" i="27"/>
  <c r="BF23" i="27"/>
  <c r="BG32" i="27"/>
  <c r="BH85" i="26"/>
  <c r="BH28" i="26" s="1"/>
  <c r="BH26" i="26"/>
  <c r="BI76" i="26"/>
  <c r="BI78" i="26" s="1"/>
  <c r="BH86" i="26" l="1"/>
  <c r="BJ67" i="26"/>
  <c r="BI82" i="26"/>
  <c r="BI79" i="26"/>
  <c r="BI25" i="26" s="1"/>
  <c r="BI11" i="27" s="1"/>
  <c r="BV18" i="4" s="1"/>
  <c r="H45" i="9"/>
  <c r="BG41" i="27"/>
  <c r="BT39" i="4"/>
  <c r="BT48" i="4" s="1"/>
  <c r="BF24" i="27"/>
  <c r="BF49" i="27" s="1"/>
  <c r="BF51" i="27" s="1"/>
  <c r="BS30" i="4"/>
  <c r="BS31" i="4" s="1"/>
  <c r="BS55" i="4" s="1"/>
  <c r="BS57" i="4" s="1"/>
  <c r="BS86" i="4" s="1"/>
  <c r="BH30" i="26"/>
  <c r="BH14" i="27" s="1"/>
  <c r="BG23" i="27"/>
  <c r="BC100" i="4"/>
  <c r="BC102" i="4" s="1"/>
  <c r="C100" i="4" l="1"/>
  <c r="BD126" i="4"/>
  <c r="BD128" i="4" s="1"/>
  <c r="BD189" i="4" s="1"/>
  <c r="BP126" i="4"/>
  <c r="BP128" i="4" s="1"/>
  <c r="BP189" i="4" s="1"/>
  <c r="BE132" i="4"/>
  <c r="BQ132" i="4"/>
  <c r="BG126" i="4"/>
  <c r="BG128" i="4" s="1"/>
  <c r="BG189" i="4" s="1"/>
  <c r="BS126" i="4"/>
  <c r="BS128" i="4" s="1"/>
  <c r="BS189" i="4" s="1"/>
  <c r="BH132" i="4"/>
  <c r="BT132" i="4"/>
  <c r="BH126" i="4"/>
  <c r="BH128" i="4" s="1"/>
  <c r="BH189" i="4" s="1"/>
  <c r="BV126" i="4"/>
  <c r="BV128" i="4" s="1"/>
  <c r="BV189" i="4" s="1"/>
  <c r="BI132" i="4"/>
  <c r="BW132" i="4"/>
  <c r="BI126" i="4"/>
  <c r="BI128" i="4" s="1"/>
  <c r="BI189" i="4" s="1"/>
  <c r="BJ132" i="4"/>
  <c r="BX132" i="4"/>
  <c r="BC135" i="4"/>
  <c r="BW126" i="4"/>
  <c r="BW128" i="4" s="1"/>
  <c r="BW189" i="4" s="1"/>
  <c r="BK126" i="4"/>
  <c r="BK128" i="4" s="1"/>
  <c r="BK189" i="4" s="1"/>
  <c r="BY126" i="4"/>
  <c r="BY128" i="4" s="1"/>
  <c r="BY189" i="4" s="1"/>
  <c r="BL132" i="4"/>
  <c r="BZ132" i="4"/>
  <c r="BM126" i="4"/>
  <c r="BM128" i="4" s="1"/>
  <c r="BM189" i="4" s="1"/>
  <c r="BG132" i="4"/>
  <c r="BN126" i="4"/>
  <c r="BN128" i="4" s="1"/>
  <c r="BN189" i="4" s="1"/>
  <c r="BK132" i="4"/>
  <c r="BO126" i="4"/>
  <c r="BO128" i="4" s="1"/>
  <c r="BO189" i="4" s="1"/>
  <c r="BM132" i="4"/>
  <c r="BQ126" i="4"/>
  <c r="BQ128" i="4" s="1"/>
  <c r="BQ189" i="4" s="1"/>
  <c r="BN132" i="4"/>
  <c r="BR126" i="4"/>
  <c r="BR128" i="4" s="1"/>
  <c r="BR189" i="4" s="1"/>
  <c r="BO132" i="4"/>
  <c r="BL126" i="4"/>
  <c r="BL128" i="4" s="1"/>
  <c r="BL189" i="4" s="1"/>
  <c r="CA132" i="4"/>
  <c r="BT126" i="4"/>
  <c r="BT128" i="4" s="1"/>
  <c r="BT189" i="4" s="1"/>
  <c r="BU126" i="4"/>
  <c r="BU128" i="4" s="1"/>
  <c r="BU189" i="4" s="1"/>
  <c r="BP132" i="4"/>
  <c r="BR132" i="4"/>
  <c r="BU132" i="4"/>
  <c r="BX126" i="4"/>
  <c r="BX128" i="4" s="1"/>
  <c r="BX189" i="4" s="1"/>
  <c r="BZ126" i="4"/>
  <c r="BZ128" i="4" s="1"/>
  <c r="BZ189" i="4" s="1"/>
  <c r="BD132" i="4"/>
  <c r="CA126" i="4"/>
  <c r="CA128" i="4" s="1"/>
  <c r="BF132" i="4"/>
  <c r="BS132" i="4"/>
  <c r="BE126" i="4"/>
  <c r="BE128" i="4" s="1"/>
  <c r="BE189" i="4" s="1"/>
  <c r="BF126" i="4"/>
  <c r="BF128" i="4" s="1"/>
  <c r="BF189" i="4" s="1"/>
  <c r="BV132" i="4"/>
  <c r="BJ126" i="4"/>
  <c r="BJ128" i="4" s="1"/>
  <c r="BJ189" i="4" s="1"/>
  <c r="BY132" i="4"/>
  <c r="BG24" i="27"/>
  <c r="BG49" i="27" s="1"/>
  <c r="BG51" i="27" s="1"/>
  <c r="BT30" i="4"/>
  <c r="BT31" i="4" s="1"/>
  <c r="BT55" i="4" s="1"/>
  <c r="BT57" i="4" s="1"/>
  <c r="BT86" i="4" s="1"/>
  <c r="BU21" i="4"/>
  <c r="BU25" i="4" s="1"/>
  <c r="BH18" i="27"/>
  <c r="BI85" i="26"/>
  <c r="BI28" i="26" s="1"/>
  <c r="BI26" i="26"/>
  <c r="BI86" i="26"/>
  <c r="BJ76" i="26"/>
  <c r="BJ78" i="26" s="1"/>
  <c r="BI30" i="26" l="1"/>
  <c r="BI14" i="27" s="1"/>
  <c r="BJ82" i="26"/>
  <c r="BJ79" i="26"/>
  <c r="BJ25" i="26" s="1"/>
  <c r="BJ11" i="27" s="1"/>
  <c r="BC103" i="4"/>
  <c r="BC134" i="4" s="1"/>
  <c r="CA189" i="4"/>
  <c r="E135" i="4"/>
  <c r="BC146" i="4"/>
  <c r="BV21" i="4"/>
  <c r="BV25" i="4" s="1"/>
  <c r="BI18" i="27"/>
  <c r="BH32" i="27"/>
  <c r="BH23" i="27" s="1"/>
  <c r="BC128" i="4" l="1"/>
  <c r="BC189" i="4" s="1"/>
  <c r="BC145" i="4"/>
  <c r="BW18" i="4"/>
  <c r="G10" i="29"/>
  <c r="BH24" i="27"/>
  <c r="BU30" i="4"/>
  <c r="BU31" i="4" s="1"/>
  <c r="E146" i="4"/>
  <c r="BI32" i="27"/>
  <c r="BI23" i="27"/>
  <c r="BC120" i="4"/>
  <c r="BU39" i="4"/>
  <c r="BU48" i="4" s="1"/>
  <c r="BH41" i="27"/>
  <c r="BJ26" i="26"/>
  <c r="BJ85" i="26"/>
  <c r="BJ28" i="26" s="1"/>
  <c r="BJ86" i="26" l="1"/>
  <c r="BU55" i="4"/>
  <c r="BU57" i="4" s="1"/>
  <c r="BU86" i="4" s="1"/>
  <c r="BV39" i="4"/>
  <c r="BV48" i="4" s="1"/>
  <c r="BI41" i="27"/>
  <c r="BV30" i="4"/>
  <c r="BV31" i="4" s="1"/>
  <c r="BI24" i="27"/>
  <c r="BJ30" i="26"/>
  <c r="BJ14" i="27" s="1"/>
  <c r="BH49" i="27"/>
  <c r="BH51" i="27" s="1"/>
  <c r="BW21" i="4" l="1"/>
  <c r="BJ18" i="27"/>
  <c r="C13" i="29"/>
  <c r="C17" i="29" s="1"/>
  <c r="D13" i="29"/>
  <c r="D17" i="29" s="1"/>
  <c r="E13" i="29"/>
  <c r="E17" i="29" s="1"/>
  <c r="F13" i="29"/>
  <c r="F17" i="29" s="1"/>
  <c r="G13" i="29"/>
  <c r="G17" i="29" s="1"/>
  <c r="BI49" i="27"/>
  <c r="BI51" i="27" s="1"/>
  <c r="BV55" i="4"/>
  <c r="BV57" i="4" s="1"/>
  <c r="BV86" i="4" s="1"/>
  <c r="BJ32" i="27" l="1"/>
  <c r="BJ23" i="27"/>
  <c r="BW25" i="4"/>
  <c r="BX21" i="4"/>
  <c r="BX25" i="4" l="1"/>
  <c r="BX18" i="4"/>
  <c r="BY18" i="4" s="1"/>
  <c r="BZ18" i="4" s="1"/>
  <c r="CA18" i="4" s="1"/>
  <c r="BY21" i="4"/>
  <c r="BJ24" i="27"/>
  <c r="BW30" i="4"/>
  <c r="C22" i="29"/>
  <c r="C23" i="29" s="1"/>
  <c r="D22" i="29"/>
  <c r="D23" i="29" s="1"/>
  <c r="E22" i="29"/>
  <c r="E23" i="29" s="1"/>
  <c r="F22" i="29"/>
  <c r="F23" i="29" s="1"/>
  <c r="G22" i="29"/>
  <c r="G23" i="29" s="1"/>
  <c r="BW39" i="4"/>
  <c r="BJ41" i="27"/>
  <c r="C31" i="29"/>
  <c r="C40" i="29" s="1"/>
  <c r="C41" i="29" s="1"/>
  <c r="D31" i="29"/>
  <c r="D40" i="29" s="1"/>
  <c r="D41" i="29" s="1"/>
  <c r="E31" i="29"/>
  <c r="E40" i="29" s="1"/>
  <c r="E41" i="29" s="1"/>
  <c r="F31" i="29"/>
  <c r="F40" i="29" s="1"/>
  <c r="F41" i="29" s="1"/>
  <c r="G31" i="29"/>
  <c r="G40" i="29" s="1"/>
  <c r="G41" i="29" s="1"/>
  <c r="E15" i="9" l="1"/>
  <c r="E16" i="9" s="1"/>
  <c r="F15" i="9"/>
  <c r="F16" i="9" s="1"/>
  <c r="G15" i="9"/>
  <c r="G16" i="9" s="1"/>
  <c r="H15" i="9"/>
  <c r="H16" i="9" s="1"/>
  <c r="I15" i="9"/>
  <c r="I16" i="9" s="1"/>
  <c r="BJ49" i="27"/>
  <c r="BJ51" i="27" s="1"/>
  <c r="BW48" i="4"/>
  <c r="BX39" i="4"/>
  <c r="F47" i="29"/>
  <c r="F49" i="29" s="1"/>
  <c r="F51" i="29" s="1"/>
  <c r="F24" i="29"/>
  <c r="D47" i="29"/>
  <c r="D49" i="29" s="1"/>
  <c r="D51" i="29" s="1"/>
  <c r="D24" i="29"/>
  <c r="C47" i="29"/>
  <c r="C49" i="29" s="1"/>
  <c r="C51" i="29" s="1"/>
  <c r="C24" i="29"/>
  <c r="BZ21" i="4"/>
  <c r="BY25" i="4"/>
  <c r="G24" i="29"/>
  <c r="G47" i="29"/>
  <c r="G49" i="29" s="1"/>
  <c r="G51" i="29" s="1"/>
  <c r="E24" i="29"/>
  <c r="E47" i="29"/>
  <c r="E49" i="29" s="1"/>
  <c r="E51" i="29" s="1"/>
  <c r="BW31" i="4"/>
  <c r="BX30" i="4"/>
  <c r="BW55" i="4" l="1"/>
  <c r="BW57" i="4" s="1"/>
  <c r="BW86" i="4" s="1"/>
  <c r="BX48" i="4"/>
  <c r="BY39" i="4"/>
  <c r="BZ25" i="4"/>
  <c r="CA21" i="4"/>
  <c r="CA25" i="4" s="1"/>
  <c r="BX31" i="4"/>
  <c r="BY30" i="4"/>
  <c r="BY48" i="4" l="1"/>
  <c r="BZ39" i="4"/>
  <c r="BY31" i="4"/>
  <c r="BY55" i="4" s="1"/>
  <c r="BY57" i="4" s="1"/>
  <c r="BY86" i="4" s="1"/>
  <c r="BZ30" i="4"/>
  <c r="BX55" i="4"/>
  <c r="BX57" i="4" s="1"/>
  <c r="BX86" i="4" s="1"/>
  <c r="F20" i="9"/>
  <c r="F21" i="9" s="1"/>
  <c r="G20" i="9"/>
  <c r="G21" i="9" s="1"/>
  <c r="H20" i="9"/>
  <c r="H21" i="9" s="1"/>
  <c r="I20" i="9"/>
  <c r="I21" i="9" s="1"/>
  <c r="I27" i="9" l="1"/>
  <c r="F27" i="9"/>
  <c r="G27" i="9"/>
  <c r="CA30" i="4"/>
  <c r="CA31" i="4" s="1"/>
  <c r="BZ31" i="4"/>
  <c r="H27" i="9"/>
  <c r="BZ48" i="4"/>
  <c r="CA39" i="4"/>
  <c r="CA48" i="4" s="1"/>
  <c r="CA55" i="4" l="1"/>
  <c r="CA57" i="4" s="1"/>
  <c r="CA86" i="4" s="1"/>
  <c r="F31" i="9"/>
  <c r="G31" i="9"/>
  <c r="H31" i="9"/>
  <c r="I31" i="9"/>
  <c r="E32" i="9"/>
  <c r="E34" i="9" s="1"/>
  <c r="F32" i="9"/>
  <c r="G32" i="9"/>
  <c r="H32" i="9"/>
  <c r="I32" i="9"/>
  <c r="BZ55" i="4"/>
  <c r="BZ57" i="4" s="1"/>
  <c r="BZ86" i="4" s="1"/>
  <c r="G34" i="9" l="1"/>
  <c r="G38" i="9" s="1"/>
  <c r="F34" i="9"/>
  <c r="F41" i="9" s="1"/>
  <c r="I34" i="9"/>
  <c r="E37" i="9"/>
  <c r="E40" i="9" s="1"/>
  <c r="E38" i="9"/>
  <c r="E41" i="9"/>
  <c r="H34" i="9"/>
  <c r="F38" i="9"/>
  <c r="F37" i="9"/>
  <c r="F40" i="9" s="1"/>
  <c r="G41" i="9" l="1"/>
  <c r="G37" i="9"/>
  <c r="G40" i="9" s="1"/>
  <c r="G47" i="9" s="1"/>
  <c r="F47" i="9"/>
  <c r="H37" i="9"/>
  <c r="H40" i="9" s="1"/>
  <c r="H38" i="9"/>
  <c r="H41" i="9"/>
  <c r="E47" i="9"/>
  <c r="I38" i="9"/>
  <c r="I37" i="9"/>
  <c r="I40" i="9" s="1"/>
  <c r="I41" i="9"/>
  <c r="C43" i="9" l="1"/>
  <c r="C40" i="9"/>
  <c r="H47" i="9"/>
  <c r="C47" i="9" s="1"/>
  <c r="R121" i="23"/>
  <c r="B77" i="23" l="1"/>
  <c r="O9" i="1" l="1"/>
  <c r="J11" i="1"/>
  <c r="D41" i="5" s="1"/>
  <c r="E41" i="5" s="1"/>
  <c r="J13" i="1"/>
  <c r="D40" i="5" s="1"/>
  <c r="J16" i="1"/>
  <c r="D39" i="5" s="1"/>
  <c r="N18" i="1"/>
  <c r="O18" i="1"/>
  <c r="N19" i="1"/>
  <c r="O19" i="1" s="1"/>
  <c r="N21" i="1"/>
  <c r="O24" i="1"/>
  <c r="O27" i="1"/>
  <c r="D8" i="5"/>
  <c r="E8" i="5" s="1"/>
  <c r="D106" i="16"/>
  <c r="D109" i="16"/>
  <c r="E106" i="16" l="1"/>
  <c r="E109" i="16" s="1"/>
  <c r="D113" i="16"/>
  <c r="M38" i="5"/>
  <c r="C117" i="4"/>
  <c r="M22" i="5"/>
  <c r="G39" i="5"/>
  <c r="G8" i="5"/>
  <c r="E39" i="5"/>
  <c r="H117" i="4"/>
  <c r="E117" i="4" s="1"/>
  <c r="N22" i="5" s="1"/>
  <c r="P22" i="5" s="1"/>
  <c r="Q22" i="5" s="1"/>
  <c r="D112" i="16"/>
  <c r="D110" i="16"/>
  <c r="G41" i="5"/>
  <c r="M18" i="5"/>
  <c r="D115" i="16"/>
  <c r="D65" i="5"/>
  <c r="D9" i="5"/>
  <c r="E110" i="16"/>
  <c r="E112" i="16"/>
  <c r="E111" i="16"/>
  <c r="E40" i="5"/>
  <c r="G40" i="5"/>
  <c r="C112" i="4"/>
  <c r="G112" i="4"/>
  <c r="D111" i="16"/>
  <c r="O28" i="1"/>
  <c r="J29" i="1"/>
  <c r="O30" i="1"/>
  <c r="O29" i="1"/>
  <c r="O31" i="1"/>
  <c r="E65" i="5" l="1"/>
  <c r="E112" i="4"/>
  <c r="G123" i="4"/>
  <c r="E9" i="5"/>
  <c r="G9" i="5"/>
  <c r="N18" i="5" l="1"/>
  <c r="G133" i="4"/>
  <c r="G127" i="4"/>
  <c r="G132" i="4"/>
  <c r="G126" i="4"/>
  <c r="G188" i="4" l="1"/>
  <c r="G136" i="4"/>
  <c r="P18" i="5"/>
  <c r="Q18" i="5" s="1"/>
  <c r="G190" i="4" l="1"/>
  <c r="AC129" i="23" l="1"/>
  <c r="AC101" i="23"/>
  <c r="K126" i="23"/>
  <c r="K90" i="23"/>
  <c r="BK129" i="23"/>
  <c r="BK101" i="23"/>
  <c r="AL127" i="30"/>
  <c r="AL113" i="30"/>
  <c r="AL43" i="30"/>
  <c r="BK97" i="30"/>
  <c r="BK59" i="30"/>
  <c r="M108" i="23"/>
  <c r="M89" i="23"/>
  <c r="AG116" i="30"/>
  <c r="AG80" i="30"/>
  <c r="BD124" i="23"/>
  <c r="BD70" i="23"/>
  <c r="BC138" i="23"/>
  <c r="BC136" i="23"/>
  <c r="S146" i="23"/>
  <c r="S106" i="23"/>
  <c r="S41" i="23"/>
  <c r="AZ107" i="23"/>
  <c r="AZ69" i="23"/>
  <c r="AH107" i="23"/>
  <c r="AH69" i="23"/>
  <c r="V97" i="30"/>
  <c r="V59" i="30"/>
  <c r="M128" i="30"/>
  <c r="M126" i="30"/>
  <c r="BL84" i="30"/>
  <c r="BL72" i="30"/>
  <c r="AZ127" i="30"/>
  <c r="AZ113" i="30"/>
  <c r="AZ43" i="30"/>
  <c r="AZ128" i="30"/>
  <c r="AZ126" i="30"/>
  <c r="BJ125" i="23"/>
  <c r="BJ72" i="23"/>
  <c r="AZ126" i="23"/>
  <c r="AZ90" i="23"/>
  <c r="BI74" i="30"/>
  <c r="BI55" i="30"/>
  <c r="W173" i="4"/>
  <c r="W168" i="4"/>
  <c r="W143" i="4"/>
  <c r="W136" i="4"/>
  <c r="AS119" i="30"/>
  <c r="AS91" i="30"/>
  <c r="K173" i="4"/>
  <c r="K168" i="4"/>
  <c r="K143" i="4"/>
  <c r="K136" i="4"/>
  <c r="AT120" i="4"/>
  <c r="AT103" i="4"/>
  <c r="AL137" i="23"/>
  <c r="AL123" i="23"/>
  <c r="AL53" i="23"/>
  <c r="AL50" i="23"/>
  <c r="AR74" i="30"/>
  <c r="AR55" i="30"/>
  <c r="AL137" i="30"/>
  <c r="AL135" i="30"/>
  <c r="K74" i="30"/>
  <c r="K55" i="30"/>
  <c r="AD119" i="30"/>
  <c r="AD91" i="30"/>
  <c r="J75" i="30"/>
  <c r="J56" i="30"/>
  <c r="J39" i="30"/>
  <c r="W115" i="30"/>
  <c r="W62" i="30"/>
  <c r="V127" i="30"/>
  <c r="V113" i="30"/>
  <c r="V43" i="30"/>
  <c r="T124" i="23"/>
  <c r="T70" i="23"/>
  <c r="BC114" i="30"/>
  <c r="BC60" i="30"/>
  <c r="AF127" i="30"/>
  <c r="AF113" i="30"/>
  <c r="AF43" i="30"/>
  <c r="J115" i="30"/>
  <c r="J62" i="30"/>
  <c r="BK94" i="23"/>
  <c r="BK82" i="23"/>
  <c r="S94" i="23"/>
  <c r="S82" i="23"/>
  <c r="AR75" i="30"/>
  <c r="AR56" i="30"/>
  <c r="AR39" i="30"/>
  <c r="AB126" i="23"/>
  <c r="AB90" i="23"/>
  <c r="I39" i="17"/>
  <c r="I38" i="17"/>
  <c r="BG126" i="23"/>
  <c r="BG90" i="23"/>
  <c r="AA97" i="30"/>
  <c r="AA59" i="30"/>
  <c r="V138" i="23"/>
  <c r="V136" i="23"/>
  <c r="AW109" i="23"/>
  <c r="AW99" i="23"/>
  <c r="B97" i="30"/>
  <c r="E97" i="30"/>
  <c r="E59" i="30"/>
  <c r="Z189" i="4"/>
  <c r="Z128" i="4"/>
  <c r="BK138" i="23"/>
  <c r="BK136" i="23"/>
  <c r="BD128" i="23"/>
  <c r="BD100" i="23"/>
  <c r="AJ120" i="4"/>
  <c r="AJ103" i="4"/>
  <c r="I97" i="30"/>
  <c r="I59" i="30"/>
  <c r="AG99" i="30"/>
  <c r="AG89" i="30"/>
  <c r="X128" i="23"/>
  <c r="X100" i="23"/>
  <c r="N116" i="30"/>
  <c r="N80" i="30"/>
  <c r="U146" i="23"/>
  <c r="U106" i="23"/>
  <c r="U41" i="23"/>
  <c r="E136" i="30"/>
  <c r="E96" i="30"/>
  <c r="BF126" i="23"/>
  <c r="BF90" i="23"/>
  <c r="S147" i="23"/>
  <c r="S145" i="23"/>
  <c r="R137" i="23"/>
  <c r="R123" i="23"/>
  <c r="R53" i="23"/>
  <c r="R50" i="23"/>
  <c r="BF138" i="23"/>
  <c r="BF136" i="23"/>
  <c r="AW118" i="30"/>
  <c r="AW90" i="30"/>
  <c r="BH117" i="30"/>
  <c r="BH82" i="30"/>
  <c r="AA119" i="30"/>
  <c r="AA91" i="30"/>
  <c r="BL124" i="23"/>
  <c r="BL70" i="23"/>
  <c r="BY178" i="4"/>
  <c r="BY177" i="4"/>
  <c r="BY170" i="4"/>
  <c r="BA84" i="30"/>
  <c r="BA72" i="30"/>
  <c r="AO128" i="30"/>
  <c r="AO126" i="30"/>
  <c r="AK137" i="23"/>
  <c r="AK123" i="23"/>
  <c r="AK53" i="23"/>
  <c r="AK50" i="23"/>
  <c r="BB129" i="23"/>
  <c r="BB101" i="23"/>
  <c r="K155" i="4"/>
  <c r="K118" i="4"/>
  <c r="K126" i="4"/>
  <c r="P117" i="30"/>
  <c r="P82" i="30"/>
  <c r="AA137" i="23"/>
  <c r="AA123" i="23"/>
  <c r="AA53" i="23"/>
  <c r="AA50" i="23"/>
  <c r="AO127" i="30"/>
  <c r="AO113" i="30"/>
  <c r="AO43" i="30"/>
  <c r="AF128" i="23"/>
  <c r="AF100" i="23"/>
  <c r="Z98" i="30"/>
  <c r="Z79" i="30"/>
  <c r="B107" i="23"/>
  <c r="E107" i="23"/>
  <c r="E69" i="23"/>
  <c r="J99" i="30"/>
  <c r="J89" i="30"/>
  <c r="G84" i="23"/>
  <c r="G65" i="23"/>
  <c r="P126" i="23"/>
  <c r="P90" i="23"/>
  <c r="AV74" i="30"/>
  <c r="AV55" i="30"/>
  <c r="BF116" i="30"/>
  <c r="BF80" i="30"/>
  <c r="AJ84" i="30"/>
  <c r="AJ72" i="30"/>
  <c r="AB84" i="30"/>
  <c r="AB72" i="30"/>
  <c r="F43" i="30"/>
  <c r="F113" i="30"/>
  <c r="F127" i="30"/>
  <c r="AC124" i="23"/>
  <c r="AC70" i="23"/>
  <c r="X120" i="4"/>
  <c r="X103" i="4"/>
  <c r="BD163" i="4"/>
  <c r="BD161" i="4"/>
  <c r="AL138" i="23"/>
  <c r="AL136" i="23"/>
  <c r="AM137" i="30"/>
  <c r="AM135" i="30"/>
  <c r="BV163" i="4"/>
  <c r="BV161" i="4"/>
  <c r="J85" i="23"/>
  <c r="J66" i="23"/>
  <c r="J39" i="23"/>
  <c r="C166" i="4"/>
  <c r="G163" i="4"/>
  <c r="E163" i="4"/>
  <c r="AN137" i="23"/>
  <c r="AN123" i="23"/>
  <c r="AN53" i="23"/>
  <c r="AN50" i="23"/>
  <c r="R94" i="23"/>
  <c r="R82" i="23"/>
  <c r="R128" i="23"/>
  <c r="R100" i="23"/>
  <c r="AE137" i="30"/>
  <c r="AE135" i="30"/>
  <c r="X129" i="23"/>
  <c r="X101" i="23"/>
  <c r="AA74" i="30"/>
  <c r="AA55" i="30"/>
  <c r="AA84" i="23"/>
  <c r="AA65" i="23"/>
  <c r="AO129" i="23"/>
  <c r="AO101" i="23"/>
  <c r="AG74" i="30"/>
  <c r="AG55" i="30"/>
  <c r="AK119" i="30"/>
  <c r="AK91" i="30"/>
  <c r="AL98" i="30"/>
  <c r="AL79" i="30"/>
  <c r="X158" i="4"/>
  <c r="AM74" i="30"/>
  <c r="AM55" i="30"/>
  <c r="BD75" i="30"/>
  <c r="BD56" i="30"/>
  <c r="BD39" i="30"/>
  <c r="AS109" i="23"/>
  <c r="AS99" i="23"/>
  <c r="W108" i="23"/>
  <c r="W89" i="23"/>
  <c r="E128" i="23"/>
  <c r="E100" i="23"/>
  <c r="AR98" i="30"/>
  <c r="AR79" i="30"/>
  <c r="T114" i="30"/>
  <c r="T60" i="30"/>
  <c r="BB119" i="30"/>
  <c r="BB91" i="30"/>
  <c r="I128" i="23"/>
  <c r="I100" i="23"/>
  <c r="AS84" i="30"/>
  <c r="AS72" i="30"/>
  <c r="AL55" i="23"/>
  <c r="AB108" i="23"/>
  <c r="AB89" i="23"/>
  <c r="P155" i="4"/>
  <c r="P118" i="4"/>
  <c r="P126" i="4"/>
  <c r="BU178" i="4"/>
  <c r="BU177" i="4"/>
  <c r="BU170" i="4"/>
  <c r="BE109" i="23"/>
  <c r="BE99" i="23"/>
  <c r="E75" i="30"/>
  <c r="E56" i="30"/>
  <c r="W127" i="4"/>
  <c r="W188" i="4"/>
  <c r="W190" i="4"/>
  <c r="AF117" i="30"/>
  <c r="AF82" i="30"/>
  <c r="AV117" i="30"/>
  <c r="AV82" i="30"/>
  <c r="BA128" i="30"/>
  <c r="BA126" i="30"/>
  <c r="U83" i="23"/>
  <c r="AL84" i="23"/>
  <c r="AL65" i="23"/>
  <c r="AU189" i="4"/>
  <c r="AU128" i="4"/>
  <c r="AN109" i="23"/>
  <c r="AN99" i="23"/>
  <c r="BE129" i="23"/>
  <c r="BE101" i="23"/>
  <c r="AQ54" i="30"/>
  <c r="I128" i="30"/>
  <c r="I126" i="30"/>
  <c r="AF98" i="30"/>
  <c r="AF79" i="30"/>
  <c r="BJ119" i="30"/>
  <c r="BJ91" i="30"/>
  <c r="Q117" i="30"/>
  <c r="Q82" i="30"/>
  <c r="L54" i="30"/>
  <c r="Q119" i="30"/>
  <c r="Q91" i="30"/>
  <c r="AE189" i="4"/>
  <c r="AE128" i="4"/>
  <c r="AL107" i="23"/>
  <c r="AL69" i="23"/>
  <c r="AC39" i="23"/>
  <c r="AC66" i="23"/>
  <c r="AC85" i="23"/>
  <c r="Z73" i="30"/>
  <c r="AP74" i="23"/>
  <c r="AT84" i="23"/>
  <c r="AT65" i="23"/>
  <c r="AJ35" i="23"/>
  <c r="AN127" i="23"/>
  <c r="AN92" i="23"/>
  <c r="W97" i="30"/>
  <c r="W59" i="30"/>
  <c r="H173" i="4"/>
  <c r="H168" i="4"/>
  <c r="H143" i="4"/>
  <c r="AT128" i="30"/>
  <c r="AT126" i="30"/>
  <c r="AE147" i="23"/>
  <c r="AE145" i="23"/>
  <c r="AY189" i="4"/>
  <c r="AY128" i="4"/>
  <c r="L109" i="23"/>
  <c r="L99" i="23"/>
  <c r="U109" i="23"/>
  <c r="U99" i="23"/>
  <c r="AN107" i="23"/>
  <c r="AN69" i="23"/>
  <c r="AO138" i="23"/>
  <c r="AO136" i="23"/>
  <c r="AM84" i="23"/>
  <c r="AM65" i="23"/>
  <c r="BB120" i="4"/>
  <c r="BB103" i="4"/>
  <c r="L173" i="4"/>
  <c r="L168" i="4"/>
  <c r="L143" i="4"/>
  <c r="L136" i="4"/>
  <c r="BE128" i="23"/>
  <c r="BE97" i="23"/>
  <c r="BE98" i="23"/>
  <c r="BE100" i="23"/>
  <c r="BE127" i="23"/>
  <c r="BE92" i="23"/>
  <c r="BH96" i="30"/>
  <c r="BH136" i="30"/>
  <c r="BF137" i="30"/>
  <c r="BF135" i="30"/>
  <c r="AO173" i="4"/>
  <c r="AO168" i="4"/>
  <c r="AO143" i="4"/>
  <c r="AO136" i="4"/>
  <c r="BD74" i="30"/>
  <c r="BD55" i="30"/>
  <c r="BS163" i="4"/>
  <c r="BS161" i="4"/>
  <c r="X124" i="23"/>
  <c r="X70" i="23"/>
  <c r="H163" i="4"/>
  <c r="H161" i="4"/>
  <c r="H185" i="4"/>
  <c r="N128" i="23"/>
  <c r="N100" i="23"/>
  <c r="F116" i="30"/>
  <c r="F80" i="30"/>
  <c r="AT84" i="30"/>
  <c r="AT72" i="30"/>
  <c r="BG97" i="30"/>
  <c r="BG59" i="30"/>
  <c r="BC107" i="23"/>
  <c r="BC69" i="23"/>
  <c r="K9" i="30"/>
  <c r="A102" i="30"/>
  <c r="S127" i="30"/>
  <c r="S113" i="30"/>
  <c r="S43" i="30"/>
  <c r="AN94" i="23"/>
  <c r="AN82" i="23"/>
  <c r="V115" i="30"/>
  <c r="V62" i="30"/>
  <c r="AD127" i="30"/>
  <c r="AD113" i="30"/>
  <c r="AD43" i="30"/>
  <c r="E125" i="23"/>
  <c r="E72" i="23"/>
  <c r="O117" i="30"/>
  <c r="O82" i="30"/>
  <c r="AM138" i="23"/>
  <c r="AM136" i="23"/>
  <c r="AV107" i="23"/>
  <c r="AV69" i="23"/>
  <c r="P54" i="30"/>
  <c r="Z128" i="23"/>
  <c r="Z100" i="23"/>
  <c r="BJ97" i="30"/>
  <c r="BJ59" i="30"/>
  <c r="AM98" i="30"/>
  <c r="AM79" i="30"/>
  <c r="AD118" i="30"/>
  <c r="AD90" i="30"/>
  <c r="AY136" i="30"/>
  <c r="AY96" i="30"/>
  <c r="H94" i="23"/>
  <c r="H82" i="23"/>
  <c r="AP132" i="4"/>
  <c r="AH120" i="4"/>
  <c r="AH103" i="4"/>
  <c r="X97" i="30"/>
  <c r="X59" i="30"/>
  <c r="N43" i="30"/>
  <c r="N113" i="30"/>
  <c r="N127" i="30"/>
  <c r="BO168" i="4"/>
  <c r="BO143" i="4"/>
  <c r="BO136" i="4"/>
  <c r="AX75" i="30"/>
  <c r="AX56" i="30"/>
  <c r="AX39" i="30"/>
  <c r="AS116" i="30"/>
  <c r="AS80" i="30"/>
  <c r="AU124" i="23"/>
  <c r="AU70" i="23"/>
  <c r="Y94" i="23"/>
  <c r="Y82" i="23"/>
  <c r="BK108" i="23"/>
  <c r="BK89" i="23"/>
  <c r="H97" i="30"/>
  <c r="H59" i="30"/>
  <c r="AI128" i="23"/>
  <c r="AI100" i="23"/>
  <c r="L108" i="23"/>
  <c r="L89" i="23"/>
  <c r="AK64" i="23"/>
  <c r="AB119" i="30"/>
  <c r="AB91" i="30"/>
  <c r="B51" i="23"/>
  <c r="E51" i="23"/>
  <c r="W84" i="30"/>
  <c r="W72" i="30"/>
  <c r="BW168" i="4"/>
  <c r="BW143" i="4"/>
  <c r="BW136" i="4"/>
  <c r="AY119" i="30"/>
  <c r="AY91" i="30"/>
  <c r="I116" i="30"/>
  <c r="I80" i="30"/>
  <c r="AQ114" i="30"/>
  <c r="AQ60" i="30"/>
  <c r="Y74" i="30"/>
  <c r="Y55" i="30"/>
  <c r="BB146" i="23"/>
  <c r="BB106" i="23"/>
  <c r="BB41" i="23"/>
  <c r="BF117" i="30"/>
  <c r="BF82" i="30"/>
  <c r="AY107" i="23"/>
  <c r="AY69" i="23"/>
  <c r="AP84" i="30"/>
  <c r="AP72" i="30"/>
  <c r="F117" i="30"/>
  <c r="F82" i="30"/>
  <c r="BG102" i="23"/>
  <c r="V84" i="30"/>
  <c r="V72" i="30"/>
  <c r="BW163" i="4"/>
  <c r="BW161" i="4"/>
  <c r="H108" i="23"/>
  <c r="H89" i="23"/>
  <c r="AU39" i="30"/>
  <c r="AU56" i="30"/>
  <c r="AU75" i="30"/>
  <c r="AH75" i="30"/>
  <c r="AH56" i="30"/>
  <c r="AH39" i="30"/>
  <c r="BA97" i="30"/>
  <c r="BA59" i="30"/>
  <c r="AG137" i="23"/>
  <c r="AG50" i="23"/>
  <c r="AG53" i="23"/>
  <c r="AG123" i="23"/>
  <c r="BA120" i="4"/>
  <c r="BA103" i="4"/>
  <c r="AC119" i="30"/>
  <c r="AC91" i="30"/>
  <c r="AR128" i="23"/>
  <c r="AR100" i="23"/>
  <c r="AC114" i="30"/>
  <c r="AC60" i="30"/>
  <c r="BL118" i="30"/>
  <c r="BL90" i="30"/>
  <c r="BG74" i="30"/>
  <c r="BG55" i="30"/>
  <c r="AT128" i="23"/>
  <c r="AT100" i="23"/>
  <c r="BH125" i="23"/>
  <c r="BH72" i="23"/>
  <c r="W117" i="30"/>
  <c r="W82" i="30"/>
  <c r="J97" i="30"/>
  <c r="J59" i="30"/>
  <c r="AB99" i="30"/>
  <c r="AB89" i="30"/>
  <c r="AY74" i="30"/>
  <c r="AY55" i="30"/>
  <c r="H84" i="30"/>
  <c r="H72" i="30"/>
  <c r="AN138" i="23"/>
  <c r="AN136" i="23"/>
  <c r="BJ128" i="30"/>
  <c r="BJ126" i="30"/>
  <c r="W98" i="30"/>
  <c r="W79" i="30"/>
  <c r="AU109" i="23"/>
  <c r="AU99" i="23"/>
  <c r="AE119" i="30"/>
  <c r="AE91" i="30"/>
  <c r="AE136" i="30"/>
  <c r="AE96" i="30"/>
  <c r="BB127" i="30"/>
  <c r="BB113" i="30"/>
  <c r="BB43" i="30"/>
  <c r="M127" i="23"/>
  <c r="M92" i="23"/>
  <c r="AT173" i="4"/>
  <c r="AT168" i="4"/>
  <c r="AT143" i="4"/>
  <c r="AT136" i="4"/>
  <c r="F125" i="23"/>
  <c r="F72" i="23"/>
  <c r="AH169" i="4"/>
  <c r="B35" i="23"/>
  <c r="E35" i="23"/>
  <c r="E128" i="30"/>
  <c r="E126" i="30"/>
  <c r="H64" i="23"/>
  <c r="S50" i="23"/>
  <c r="S53" i="23"/>
  <c r="S123" i="23"/>
  <c r="S137" i="23"/>
  <c r="AL118" i="30"/>
  <c r="AL90" i="30"/>
  <c r="U137" i="30"/>
  <c r="U135" i="30"/>
  <c r="P107" i="23"/>
  <c r="P69" i="23"/>
  <c r="AC64" i="23"/>
  <c r="BF115" i="30"/>
  <c r="BF62" i="30"/>
  <c r="AN115" i="30"/>
  <c r="AN62" i="30"/>
  <c r="AJ94" i="23"/>
  <c r="AJ82" i="23"/>
  <c r="X108" i="23"/>
  <c r="X89" i="23"/>
  <c r="AX125" i="23"/>
  <c r="AX72" i="23"/>
  <c r="AF41" i="23"/>
  <c r="AF106" i="23"/>
  <c r="AF146" i="23"/>
  <c r="O74" i="23"/>
  <c r="H136" i="30"/>
  <c r="H96" i="30"/>
  <c r="Y115" i="30"/>
  <c r="Y62" i="30"/>
  <c r="AX97" i="30"/>
  <c r="AX59" i="30"/>
  <c r="BG127" i="30"/>
  <c r="BG113" i="30"/>
  <c r="BG43" i="30"/>
  <c r="BX163" i="4"/>
  <c r="BX161" i="4"/>
  <c r="Y137" i="30"/>
  <c r="Y135" i="30"/>
  <c r="AM137" i="23"/>
  <c r="AM123" i="23"/>
  <c r="AM53" i="23"/>
  <c r="AM50" i="23"/>
  <c r="AI120" i="4"/>
  <c r="AI103" i="4"/>
  <c r="AF114" i="30"/>
  <c r="AF60" i="30"/>
  <c r="U136" i="30"/>
  <c r="U96" i="30"/>
  <c r="V108" i="23"/>
  <c r="V89" i="23"/>
  <c r="BL114" i="30"/>
  <c r="BL60" i="30"/>
  <c r="AP103" i="4"/>
  <c r="AP120" i="4"/>
  <c r="AQ84" i="23"/>
  <c r="AQ65" i="23"/>
  <c r="M75" i="30"/>
  <c r="M56" i="30"/>
  <c r="M39" i="30"/>
  <c r="BE83" i="23"/>
  <c r="T128" i="23"/>
  <c r="T100" i="23"/>
  <c r="U92" i="30"/>
  <c r="AW169" i="4"/>
  <c r="AZ54" i="30"/>
  <c r="Q92" i="30"/>
  <c r="BC126" i="4"/>
  <c r="AQ137" i="30"/>
  <c r="AQ135" i="30"/>
  <c r="AC127" i="23"/>
  <c r="AC92" i="23"/>
  <c r="BV136" i="4"/>
  <c r="BV143" i="4"/>
  <c r="BV168" i="4"/>
  <c r="AK125" i="23"/>
  <c r="AK72" i="23"/>
  <c r="AU136" i="30"/>
  <c r="AU96" i="30"/>
  <c r="AV35" i="23"/>
  <c r="AV94" i="23"/>
  <c r="AV82" i="23"/>
  <c r="Q30" i="5"/>
  <c r="P30" i="5"/>
  <c r="V50" i="23"/>
  <c r="V53" i="23"/>
  <c r="V123" i="23"/>
  <c r="V137" i="23"/>
  <c r="L97" i="30"/>
  <c r="L59" i="30"/>
  <c r="BA53" i="30"/>
  <c r="BA64" i="30"/>
  <c r="AD97" i="30"/>
  <c r="AD59" i="30"/>
  <c r="BG128" i="23"/>
  <c r="BG100" i="23"/>
  <c r="F39" i="30"/>
  <c r="F56" i="30"/>
  <c r="F75" i="30"/>
  <c r="AA96" i="30"/>
  <c r="AA136" i="30"/>
  <c r="BC127" i="30"/>
  <c r="BC113" i="30"/>
  <c r="BC43" i="30"/>
  <c r="AH138" i="23"/>
  <c r="AH136" i="23"/>
  <c r="AQ120" i="4"/>
  <c r="AQ103" i="4"/>
  <c r="BG84" i="30"/>
  <c r="BG72" i="30"/>
  <c r="AE35" i="30"/>
  <c r="B100" i="23"/>
  <c r="B99" i="23"/>
  <c r="AE127" i="30"/>
  <c r="AE113" i="30"/>
  <c r="AE41" i="30"/>
  <c r="AE42" i="30"/>
  <c r="AE43" i="30"/>
  <c r="AP102" i="4"/>
  <c r="AP128" i="4"/>
  <c r="AP189" i="4"/>
  <c r="L124" i="23"/>
  <c r="L70" i="23"/>
  <c r="BB107" i="23"/>
  <c r="BB69" i="23"/>
  <c r="AT117" i="30"/>
  <c r="AT82" i="30"/>
  <c r="M115" i="30"/>
  <c r="M62" i="30"/>
  <c r="AP125" i="23"/>
  <c r="AP72" i="23"/>
  <c r="BB74" i="30"/>
  <c r="BB55" i="30"/>
  <c r="AI115" i="30"/>
  <c r="AI62" i="30"/>
  <c r="G125" i="23"/>
  <c r="G72" i="23"/>
  <c r="T43" i="30"/>
  <c r="T113" i="30"/>
  <c r="T127" i="30"/>
  <c r="BK63" i="23"/>
  <c r="BK74" i="23"/>
  <c r="J109" i="23"/>
  <c r="J99" i="23"/>
  <c r="BD84" i="23"/>
  <c r="BD65" i="23"/>
  <c r="D102" i="23"/>
  <c r="AP74" i="30"/>
  <c r="AP55" i="30"/>
  <c r="AG84" i="23"/>
  <c r="AG65" i="23"/>
  <c r="BN163" i="4"/>
  <c r="BN161" i="4"/>
  <c r="Y84" i="23"/>
  <c r="Y65" i="23"/>
  <c r="R108" i="23"/>
  <c r="R89" i="23"/>
  <c r="R115" i="30"/>
  <c r="R62" i="30"/>
  <c r="L98" i="30"/>
  <c r="L79" i="30"/>
  <c r="AB39" i="23"/>
  <c r="AB66" i="23"/>
  <c r="AB85" i="23"/>
  <c r="AK120" i="4"/>
  <c r="AK103" i="4"/>
  <c r="Z82" i="30"/>
  <c r="Z117" i="30"/>
  <c r="BG54" i="30"/>
  <c r="AA138" i="23"/>
  <c r="AA136" i="23"/>
  <c r="AG109" i="23"/>
  <c r="AG99" i="23"/>
  <c r="AH127" i="23"/>
  <c r="AH92" i="23"/>
  <c r="BE137" i="30"/>
  <c r="BE135" i="30"/>
  <c r="AC50" i="23"/>
  <c r="AC53" i="23"/>
  <c r="AC123" i="23"/>
  <c r="AC137" i="23"/>
  <c r="AU74" i="30"/>
  <c r="AU55" i="30"/>
  <c r="V129" i="23"/>
  <c r="V101" i="23"/>
  <c r="AL74" i="30"/>
  <c r="AL55" i="30"/>
  <c r="BA98" i="30"/>
  <c r="BA79" i="30"/>
  <c r="J102" i="23"/>
  <c r="BH94" i="23"/>
  <c r="BH82" i="23"/>
  <c r="G39" i="23"/>
  <c r="G66" i="23"/>
  <c r="G85" i="23"/>
  <c r="AE107" i="23"/>
  <c r="AE69" i="23"/>
  <c r="Y73" i="30"/>
  <c r="H128" i="23"/>
  <c r="H100" i="23"/>
  <c r="AT110" i="23"/>
  <c r="Z136" i="30"/>
  <c r="Z96" i="30"/>
  <c r="AP64" i="23"/>
  <c r="F98" i="30"/>
  <c r="F78" i="30"/>
  <c r="F79" i="30"/>
  <c r="AT18" i="30"/>
  <c r="AW178" i="4"/>
  <c r="AT18" i="23"/>
  <c r="BA114" i="30"/>
  <c r="BA60" i="30"/>
  <c r="AS41" i="23"/>
  <c r="AS106" i="23"/>
  <c r="AS146" i="23"/>
  <c r="AP54" i="30"/>
  <c r="E138" i="23"/>
  <c r="E136" i="23"/>
  <c r="I98" i="30"/>
  <c r="I79" i="30"/>
  <c r="K99" i="30"/>
  <c r="K89" i="30"/>
  <c r="B90" i="30"/>
  <c r="B89" i="30"/>
  <c r="AY147" i="23"/>
  <c r="AY145" i="23"/>
  <c r="AV116" i="30"/>
  <c r="AV80" i="30"/>
  <c r="X138" i="23"/>
  <c r="X136" i="23"/>
  <c r="BH50" i="23"/>
  <c r="BH53" i="23"/>
  <c r="BH123" i="23"/>
  <c r="BH137" i="23"/>
  <c r="AU120" i="30"/>
  <c r="AH97" i="30"/>
  <c r="AH59" i="30"/>
  <c r="AL110" i="23"/>
  <c r="BF125" i="23"/>
  <c r="BF72" i="23"/>
  <c r="T129" i="23"/>
  <c r="T101" i="23"/>
  <c r="S105" i="23"/>
  <c r="S110" i="23"/>
  <c r="BA83" i="23"/>
  <c r="AS137" i="23"/>
  <c r="AS123" i="23"/>
  <c r="AS53" i="23"/>
  <c r="AS50" i="23"/>
  <c r="AS173" i="4"/>
  <c r="AS168" i="4"/>
  <c r="AS143" i="4"/>
  <c r="AS136" i="4"/>
  <c r="AL38" i="30"/>
  <c r="AG119" i="30"/>
  <c r="AG91" i="30"/>
  <c r="BB115" i="30"/>
  <c r="BB62" i="30"/>
  <c r="BV170" i="4"/>
  <c r="BV177" i="4"/>
  <c r="BV178" i="4"/>
  <c r="AV126" i="23"/>
  <c r="AV90" i="23"/>
  <c r="V119" i="30"/>
  <c r="V91" i="30"/>
  <c r="M98" i="30"/>
  <c r="M79" i="30"/>
  <c r="AF118" i="30"/>
  <c r="AF90" i="30"/>
  <c r="AP108" i="23"/>
  <c r="AP89" i="23"/>
  <c r="BK115" i="30"/>
  <c r="BK62" i="30"/>
  <c r="AM99" i="30"/>
  <c r="AM89" i="30"/>
  <c r="AB94" i="23"/>
  <c r="AB82" i="23"/>
  <c r="AV115" i="30"/>
  <c r="AV62" i="30"/>
  <c r="BK41" i="23"/>
  <c r="BK106" i="23"/>
  <c r="BK146" i="23"/>
  <c r="BY136" i="4"/>
  <c r="BY143" i="4"/>
  <c r="BY168" i="4"/>
  <c r="BP136" i="4"/>
  <c r="BP143" i="4"/>
  <c r="BP168" i="4"/>
  <c r="X55" i="23"/>
  <c r="BL163" i="4"/>
  <c r="BL161" i="4"/>
  <c r="BH74" i="30"/>
  <c r="BH55" i="30"/>
  <c r="AY115" i="30"/>
  <c r="AY62" i="30"/>
  <c r="AF173" i="4"/>
  <c r="AF168" i="4"/>
  <c r="AF143" i="4"/>
  <c r="AF136" i="4"/>
  <c r="Z108" i="23"/>
  <c r="Z89" i="23"/>
  <c r="AX74" i="30"/>
  <c r="AX55" i="30"/>
  <c r="F8" i="30"/>
  <c r="E8" i="30"/>
  <c r="AT118" i="30"/>
  <c r="AT90" i="30"/>
  <c r="AU117" i="30"/>
  <c r="AU82" i="30"/>
  <c r="BD108" i="23"/>
  <c r="BD89" i="23"/>
  <c r="AJ98" i="30"/>
  <c r="AJ79" i="30"/>
  <c r="AL127" i="23"/>
  <c r="AL92" i="23"/>
  <c r="BJ128" i="23"/>
  <c r="BJ100" i="23"/>
  <c r="BH127" i="30"/>
  <c r="BH41" i="30"/>
  <c r="BH42" i="30"/>
  <c r="BH43" i="30"/>
  <c r="BH113" i="30"/>
  <c r="AB92" i="30"/>
  <c r="U97" i="30"/>
  <c r="U59" i="30"/>
  <c r="BI116" i="30"/>
  <c r="BI80" i="30"/>
  <c r="AL109" i="23"/>
  <c r="AL99" i="23"/>
  <c r="BE138" i="23"/>
  <c r="BE136" i="23"/>
  <c r="AX124" i="23"/>
  <c r="AX70" i="23"/>
  <c r="M173" i="4"/>
  <c r="M168" i="4"/>
  <c r="M143" i="4"/>
  <c r="M136" i="4"/>
  <c r="BL151" i="4"/>
  <c r="BL165" i="4"/>
  <c r="U126" i="4"/>
  <c r="U118" i="4"/>
  <c r="U155" i="4"/>
  <c r="U153" i="4"/>
  <c r="X127" i="30"/>
  <c r="X113" i="30"/>
  <c r="X43" i="30"/>
  <c r="AA98" i="30"/>
  <c r="AA79" i="30"/>
  <c r="BG117" i="30"/>
  <c r="BG82" i="30"/>
  <c r="V102" i="23"/>
  <c r="AV165" i="4"/>
  <c r="AA190" i="4"/>
  <c r="AA188" i="4"/>
  <c r="AA127" i="4"/>
  <c r="AC128" i="30"/>
  <c r="AC126" i="30"/>
  <c r="BJ75" i="30"/>
  <c r="BJ56" i="30"/>
  <c r="BJ39" i="30"/>
  <c r="AA102" i="23"/>
  <c r="G138" i="23"/>
  <c r="G136" i="23"/>
  <c r="P27" i="5"/>
  <c r="Q27" i="5"/>
  <c r="BD119" i="30"/>
  <c r="BD91" i="30"/>
  <c r="W84" i="23"/>
  <c r="W65" i="23"/>
  <c r="AY128" i="23"/>
  <c r="AY100" i="23"/>
  <c r="B110" i="23"/>
  <c r="AL64" i="23"/>
  <c r="J137" i="30"/>
  <c r="J135" i="30"/>
  <c r="AQ99" i="30"/>
  <c r="AQ89" i="30"/>
  <c r="BO190" i="4"/>
  <c r="BO188" i="4"/>
  <c r="BO127" i="4"/>
  <c r="AE73" i="30"/>
  <c r="BI128" i="23"/>
  <c r="BI100" i="23"/>
  <c r="AU107" i="23"/>
  <c r="AU69" i="23"/>
  <c r="AS126" i="23"/>
  <c r="AS90" i="23"/>
  <c r="AC138" i="23"/>
  <c r="AC136" i="23"/>
  <c r="AZ116" i="30"/>
  <c r="AZ80" i="30"/>
  <c r="T115" i="30"/>
  <c r="T62" i="30"/>
  <c r="AV63" i="23"/>
  <c r="AV74" i="23"/>
  <c r="AP117" i="30"/>
  <c r="AP82" i="30"/>
  <c r="T116" i="30"/>
  <c r="T80" i="30"/>
  <c r="L118" i="30"/>
  <c r="L90" i="30"/>
  <c r="W120" i="4"/>
  <c r="W103" i="4"/>
  <c r="X73" i="30"/>
  <c r="BI114" i="30"/>
  <c r="BI60" i="30"/>
  <c r="K84" i="30"/>
  <c r="K72" i="30"/>
  <c r="Z84" i="23"/>
  <c r="Z65" i="23"/>
  <c r="BF85" i="23"/>
  <c r="BF66" i="23"/>
  <c r="BF39" i="23"/>
  <c r="M84" i="30"/>
  <c r="M72" i="30"/>
  <c r="AB138" i="23"/>
  <c r="AB136" i="23"/>
  <c r="K169" i="4"/>
  <c r="BS168" i="4"/>
  <c r="BS143" i="4"/>
  <c r="BS136" i="4"/>
  <c r="AP53" i="30"/>
  <c r="AP64" i="30"/>
  <c r="BL61" i="30"/>
  <c r="BL128" i="30"/>
  <c r="BL126" i="30"/>
  <c r="BB120" i="30"/>
  <c r="V45" i="30"/>
  <c r="AQ129" i="23"/>
  <c r="AQ101" i="23"/>
  <c r="AZ173" i="4"/>
  <c r="AZ168" i="4"/>
  <c r="AZ143" i="4"/>
  <c r="AZ136" i="4"/>
  <c r="X84" i="23"/>
  <c r="X65" i="23"/>
  <c r="AI108" i="23"/>
  <c r="AI89" i="23"/>
  <c r="AQ118" i="30"/>
  <c r="AQ90" i="30"/>
  <c r="Y102" i="23"/>
  <c r="BJ84" i="23"/>
  <c r="BJ65" i="23"/>
  <c r="BF98" i="30"/>
  <c r="BF78" i="30"/>
  <c r="BF79" i="30"/>
  <c r="S116" i="30"/>
  <c r="S80" i="30"/>
  <c r="L92" i="30"/>
  <c r="AS74" i="30"/>
  <c r="AS55" i="30"/>
  <c r="AR125" i="23"/>
  <c r="AR72" i="23"/>
  <c r="AA45" i="30"/>
  <c r="H54" i="30"/>
  <c r="T108" i="23"/>
  <c r="T89" i="23"/>
  <c r="BE168" i="4"/>
  <c r="BE143" i="4"/>
  <c r="BE136" i="4"/>
  <c r="BE75" i="30"/>
  <c r="BE56" i="30"/>
  <c r="BE39" i="30"/>
  <c r="BK85" i="23"/>
  <c r="BK66" i="23"/>
  <c r="BK39" i="23"/>
  <c r="AC92" i="30"/>
  <c r="AI173" i="4"/>
  <c r="AI168" i="4"/>
  <c r="AI143" i="4"/>
  <c r="AI136" i="4"/>
  <c r="BA125" i="23"/>
  <c r="BA72" i="23"/>
  <c r="V126" i="23"/>
  <c r="V90" i="23"/>
  <c r="AW64" i="23"/>
  <c r="B118" i="30"/>
  <c r="D118" i="30"/>
  <c r="D90" i="30"/>
  <c r="R54" i="30"/>
  <c r="AO64" i="23"/>
  <c r="BW178" i="4"/>
  <c r="BW177" i="4"/>
  <c r="BW170" i="4"/>
  <c r="U127" i="23"/>
  <c r="U92" i="23"/>
  <c r="AE126" i="4"/>
  <c r="AB121" i="23"/>
  <c r="AB111" i="30"/>
  <c r="AH117" i="30"/>
  <c r="AH82" i="30"/>
  <c r="CA141" i="4"/>
  <c r="CA139" i="4"/>
  <c r="BZ141" i="4"/>
  <c r="BZ139" i="4"/>
  <c r="BY141" i="4"/>
  <c r="BY139" i="4"/>
  <c r="BX141" i="4"/>
  <c r="BX139" i="4"/>
  <c r="BW141" i="4"/>
  <c r="BW139" i="4"/>
  <c r="BV141" i="4"/>
  <c r="BV139" i="4"/>
  <c r="BU141" i="4"/>
  <c r="BU139" i="4"/>
  <c r="BT141" i="4"/>
  <c r="BT139" i="4"/>
  <c r="BS141" i="4"/>
  <c r="BS139" i="4"/>
  <c r="BR141" i="4"/>
  <c r="G141" i="4"/>
  <c r="H139" i="4"/>
  <c r="H141" i="4"/>
  <c r="I139" i="4"/>
  <c r="I141" i="4"/>
  <c r="J139" i="4"/>
  <c r="J141" i="4"/>
  <c r="K139" i="4"/>
  <c r="K141" i="4"/>
  <c r="L139" i="4"/>
  <c r="L141" i="4"/>
  <c r="M139" i="4"/>
  <c r="M141" i="4"/>
  <c r="N139" i="4"/>
  <c r="N141" i="4"/>
  <c r="O139" i="4"/>
  <c r="O141" i="4"/>
  <c r="P139" i="4"/>
  <c r="P141" i="4"/>
  <c r="Q139" i="4"/>
  <c r="Q141" i="4"/>
  <c r="R139" i="4"/>
  <c r="R141" i="4"/>
  <c r="S139" i="4"/>
  <c r="S141" i="4"/>
  <c r="T139" i="4"/>
  <c r="T141" i="4"/>
  <c r="U139" i="4"/>
  <c r="U141" i="4"/>
  <c r="V139" i="4"/>
  <c r="V141" i="4"/>
  <c r="W139" i="4"/>
  <c r="W141" i="4"/>
  <c r="X139" i="4"/>
  <c r="X141" i="4"/>
  <c r="Y139" i="4"/>
  <c r="Y141" i="4"/>
  <c r="Z139" i="4"/>
  <c r="Z141" i="4"/>
  <c r="AA139" i="4"/>
  <c r="AA141" i="4"/>
  <c r="AB139" i="4"/>
  <c r="AB141" i="4"/>
  <c r="AC139" i="4"/>
  <c r="AC141" i="4"/>
  <c r="AD139" i="4"/>
  <c r="AD141" i="4"/>
  <c r="AE139" i="4"/>
  <c r="AE141" i="4"/>
  <c r="AF139" i="4"/>
  <c r="AF141" i="4"/>
  <c r="AG139" i="4"/>
  <c r="AG141" i="4"/>
  <c r="AH139" i="4"/>
  <c r="AH141" i="4"/>
  <c r="AI139" i="4"/>
  <c r="AI141" i="4"/>
  <c r="AJ139" i="4"/>
  <c r="AJ141" i="4"/>
  <c r="AK139" i="4"/>
  <c r="AK141" i="4"/>
  <c r="AL139" i="4"/>
  <c r="AL141" i="4"/>
  <c r="AM139" i="4"/>
  <c r="AM141" i="4"/>
  <c r="AN139" i="4"/>
  <c r="AN141" i="4"/>
  <c r="AO139" i="4"/>
  <c r="AO141" i="4"/>
  <c r="AP139" i="4"/>
  <c r="AP141" i="4"/>
  <c r="AQ139" i="4"/>
  <c r="AQ141" i="4"/>
  <c r="AR139" i="4"/>
  <c r="AR141" i="4"/>
  <c r="AS139" i="4"/>
  <c r="AS141" i="4"/>
  <c r="AT139" i="4"/>
  <c r="AT141" i="4"/>
  <c r="AU139" i="4"/>
  <c r="AU141" i="4"/>
  <c r="AV139" i="4"/>
  <c r="AV141" i="4"/>
  <c r="AW139" i="4"/>
  <c r="AW141" i="4"/>
  <c r="AX139" i="4"/>
  <c r="AX141" i="4"/>
  <c r="AY139" i="4"/>
  <c r="AY141" i="4"/>
  <c r="AZ139" i="4"/>
  <c r="AZ141" i="4"/>
  <c r="BA139" i="4"/>
  <c r="BA141" i="4"/>
  <c r="BB139" i="4"/>
  <c r="BB141" i="4"/>
  <c r="BC139" i="4"/>
  <c r="BC141" i="4"/>
  <c r="BD139" i="4"/>
  <c r="BD141" i="4"/>
  <c r="BE139" i="4"/>
  <c r="BE141" i="4"/>
  <c r="BF139" i="4"/>
  <c r="BF141" i="4"/>
  <c r="BG139" i="4"/>
  <c r="BG141" i="4"/>
  <c r="BH139" i="4"/>
  <c r="BH141" i="4"/>
  <c r="BI139" i="4"/>
  <c r="BI141" i="4"/>
  <c r="BJ139" i="4"/>
  <c r="BJ141" i="4"/>
  <c r="BK139" i="4"/>
  <c r="BK141" i="4"/>
  <c r="BL139" i="4"/>
  <c r="BL141" i="4"/>
  <c r="BM139" i="4"/>
  <c r="BM141" i="4"/>
  <c r="BN139" i="4"/>
  <c r="BN141" i="4"/>
  <c r="BO139" i="4"/>
  <c r="BO141" i="4"/>
  <c r="BP139" i="4"/>
  <c r="BP141" i="4"/>
  <c r="BQ139" i="4"/>
  <c r="BQ141" i="4"/>
  <c r="BR139" i="4"/>
  <c r="AY109" i="23"/>
  <c r="AY99" i="23"/>
  <c r="I48" i="23"/>
  <c r="B45" i="30"/>
  <c r="D45" i="30"/>
  <c r="AE120" i="4"/>
  <c r="AE103" i="4"/>
  <c r="M40" i="5"/>
  <c r="M39" i="5"/>
  <c r="AY98" i="30"/>
  <c r="AY79" i="30"/>
  <c r="O99" i="30"/>
  <c r="O89" i="30"/>
  <c r="AJ158" i="4"/>
  <c r="BD35" i="23"/>
  <c r="AD116" i="30"/>
  <c r="AD80" i="30"/>
  <c r="V107" i="23"/>
  <c r="V69" i="23"/>
  <c r="AM109" i="23"/>
  <c r="AM99" i="23"/>
  <c r="AQ107" i="23"/>
  <c r="AQ69" i="23"/>
  <c r="Y118" i="30"/>
  <c r="Y90" i="30"/>
  <c r="G92" i="30"/>
  <c r="Y169" i="4"/>
  <c r="G137" i="23"/>
  <c r="G123" i="23"/>
  <c r="G53" i="23"/>
  <c r="G50" i="23"/>
  <c r="BH102" i="23"/>
  <c r="I39" i="30"/>
  <c r="I56" i="30"/>
  <c r="I75" i="30"/>
  <c r="BA35" i="23"/>
  <c r="BI92" i="30"/>
  <c r="AP127" i="30"/>
  <c r="AP113" i="30"/>
  <c r="AP43" i="30"/>
  <c r="G55" i="23"/>
  <c r="AF75" i="30"/>
  <c r="AF56" i="30"/>
  <c r="AF39" i="30"/>
  <c r="AW74" i="30"/>
  <c r="AW55" i="30"/>
  <c r="BJ190" i="4"/>
  <c r="BJ188" i="4"/>
  <c r="BJ127" i="4"/>
  <c r="AW128" i="23"/>
  <c r="AW100" i="23"/>
  <c r="BE98" i="30"/>
  <c r="BE79" i="30"/>
  <c r="F129" i="23"/>
  <c r="F101" i="23"/>
  <c r="BK107" i="23"/>
  <c r="BK69" i="23"/>
  <c r="BL128" i="23"/>
  <c r="BL100" i="23"/>
  <c r="N114" i="30"/>
  <c r="N60" i="30"/>
  <c r="F118" i="30"/>
  <c r="F90" i="30"/>
  <c r="BI84" i="30"/>
  <c r="BI72" i="30"/>
  <c r="AW99" i="30"/>
  <c r="AW89" i="30"/>
  <c r="W54" i="30"/>
  <c r="AX83" i="23"/>
  <c r="BH130" i="23"/>
  <c r="K109" i="23"/>
  <c r="K99" i="23"/>
  <c r="U116" i="30"/>
  <c r="U80" i="30"/>
  <c r="AR115" i="30"/>
  <c r="AR62" i="30"/>
  <c r="X125" i="23"/>
  <c r="X72" i="23"/>
  <c r="BI102" i="23"/>
  <c r="AG115" i="30"/>
  <c r="AG62" i="30"/>
  <c r="S126" i="23"/>
  <c r="S90" i="23"/>
  <c r="BE55" i="23"/>
  <c r="BB126" i="23"/>
  <c r="BB90" i="23"/>
  <c r="BD109" i="23"/>
  <c r="BD99" i="23"/>
  <c r="Z165" i="4"/>
  <c r="AI107" i="23"/>
  <c r="AI69" i="23"/>
  <c r="V117" i="30"/>
  <c r="V82" i="30"/>
  <c r="AV190" i="4"/>
  <c r="AV188" i="4"/>
  <c r="AV127" i="4"/>
  <c r="AV102" i="23"/>
  <c r="BF184" i="4"/>
  <c r="BF162" i="4"/>
  <c r="BB99" i="30"/>
  <c r="BB89" i="30"/>
  <c r="BC124" i="23"/>
  <c r="BC70" i="23"/>
  <c r="F64" i="23"/>
  <c r="AL85" i="23"/>
  <c r="AL66" i="23"/>
  <c r="AL39" i="23"/>
  <c r="AP126" i="23"/>
  <c r="AP90" i="23"/>
  <c r="AF74" i="30"/>
  <c r="AF55" i="30"/>
  <c r="BD168" i="4"/>
  <c r="BD143" i="4"/>
  <c r="BD136" i="4"/>
  <c r="U126" i="23"/>
  <c r="U90" i="23"/>
  <c r="BL39" i="23"/>
  <c r="BL66" i="23"/>
  <c r="BL85" i="23"/>
  <c r="N51" i="23"/>
  <c r="X119" i="30"/>
  <c r="X91" i="30"/>
  <c r="AD136" i="30"/>
  <c r="AD41" i="30"/>
  <c r="AD42" i="30"/>
  <c r="AD96" i="30"/>
  <c r="L136" i="30"/>
  <c r="L96" i="30"/>
  <c r="BK125" i="23"/>
  <c r="BK72" i="23"/>
  <c r="J92" i="30"/>
  <c r="BI119" i="30"/>
  <c r="BI91" i="30"/>
  <c r="AM27" i="30"/>
  <c r="AM95" i="30"/>
  <c r="AM100" i="30"/>
  <c r="AV189" i="4"/>
  <c r="AV128" i="4"/>
  <c r="K97" i="30"/>
  <c r="K59" i="30"/>
  <c r="G116" i="30"/>
  <c r="G80" i="30"/>
  <c r="K55" i="23"/>
  <c r="BG35" i="30"/>
  <c r="N84" i="30"/>
  <c r="N72" i="30"/>
  <c r="AL92" i="30"/>
  <c r="BL129" i="23"/>
  <c r="BL101" i="23"/>
  <c r="BL136" i="4"/>
  <c r="BL143" i="4"/>
  <c r="BL168" i="4"/>
  <c r="AY97" i="30"/>
  <c r="AY59" i="30"/>
  <c r="BL102" i="23"/>
  <c r="AD85" i="23"/>
  <c r="AD66" i="23"/>
  <c r="AD39" i="23"/>
  <c r="AU92" i="30"/>
  <c r="AD146" i="23"/>
  <c r="AD106" i="23"/>
  <c r="AD41" i="23"/>
  <c r="N118" i="30"/>
  <c r="N90" i="30"/>
  <c r="H126" i="23"/>
  <c r="H90" i="23"/>
  <c r="AU190" i="4"/>
  <c r="AU188" i="4"/>
  <c r="AU127" i="4"/>
  <c r="BJ126" i="23"/>
  <c r="BJ90" i="23"/>
  <c r="AE138" i="23"/>
  <c r="AE136" i="23"/>
  <c r="E64" i="23"/>
  <c r="J169" i="4"/>
  <c r="AC74" i="30"/>
  <c r="AC55" i="30"/>
  <c r="AC137" i="30"/>
  <c r="AC135" i="30"/>
  <c r="AJ136" i="30"/>
  <c r="AJ96" i="30"/>
  <c r="N173" i="4"/>
  <c r="N168" i="4"/>
  <c r="N143" i="4"/>
  <c r="N136" i="4"/>
  <c r="U75" i="30"/>
  <c r="U56" i="30"/>
  <c r="U39" i="30"/>
  <c r="BZ184" i="4"/>
  <c r="BZ162" i="4"/>
  <c r="AG39" i="23"/>
  <c r="AG66" i="23"/>
  <c r="AG85" i="23"/>
  <c r="AA128" i="23"/>
  <c r="AA100" i="23"/>
  <c r="AC126" i="23"/>
  <c r="AC90" i="23"/>
  <c r="BG138" i="23"/>
  <c r="BG136" i="23"/>
  <c r="BV190" i="4"/>
  <c r="BV188" i="4"/>
  <c r="BV127" i="4"/>
  <c r="AE126" i="23"/>
  <c r="AE90" i="23"/>
  <c r="AX102" i="23"/>
  <c r="AG97" i="30"/>
  <c r="AG59" i="30"/>
  <c r="AJ63" i="23"/>
  <c r="AJ74" i="23"/>
  <c r="AV98" i="30"/>
  <c r="AV78" i="30"/>
  <c r="AV79" i="30"/>
  <c r="Z85" i="23"/>
  <c r="Z66" i="23"/>
  <c r="Z39" i="23"/>
  <c r="M125" i="23"/>
  <c r="M72" i="23"/>
  <c r="BL43" i="30"/>
  <c r="BL113" i="30"/>
  <c r="BL127" i="30"/>
  <c r="M64" i="23"/>
  <c r="G47" i="23"/>
  <c r="G117" i="23"/>
  <c r="G130" i="23"/>
  <c r="S184" i="4"/>
  <c r="S162" i="4"/>
  <c r="H75" i="30"/>
  <c r="H56" i="30"/>
  <c r="H39" i="30"/>
  <c r="AB136" i="30"/>
  <c r="AB96" i="30"/>
  <c r="AQ127" i="30"/>
  <c r="AQ113" i="30"/>
  <c r="AQ43" i="30"/>
  <c r="AU108" i="23"/>
  <c r="AU89" i="23"/>
  <c r="R84" i="23"/>
  <c r="R65" i="23"/>
  <c r="AR110" i="23"/>
  <c r="X115" i="30"/>
  <c r="X62" i="30"/>
  <c r="J54" i="30"/>
  <c r="AY137" i="30"/>
  <c r="AY135" i="30"/>
  <c r="Q77" i="13"/>
  <c r="Q71" i="13"/>
  <c r="AS97" i="30"/>
  <c r="AS59" i="30"/>
  <c r="BK84" i="23"/>
  <c r="BK65" i="23"/>
  <c r="AH127" i="4"/>
  <c r="AH188" i="4"/>
  <c r="AH190" i="4"/>
  <c r="S73" i="30"/>
  <c r="AE115" i="30"/>
  <c r="AE62" i="30"/>
  <c r="AW39" i="30"/>
  <c r="AW56" i="30"/>
  <c r="AW75" i="30"/>
  <c r="T146" i="23"/>
  <c r="T106" i="23"/>
  <c r="T41" i="23"/>
  <c r="AO137" i="23"/>
  <c r="AO123" i="23"/>
  <c r="AO53" i="23"/>
  <c r="AO50" i="23"/>
  <c r="AV136" i="30"/>
  <c r="AV96" i="30"/>
  <c r="AL38" i="23"/>
  <c r="R130" i="23"/>
  <c r="BJ138" i="23"/>
  <c r="BJ136" i="23"/>
  <c r="AY129" i="23"/>
  <c r="AY97" i="23"/>
  <c r="AY98" i="23"/>
  <c r="AY101" i="23"/>
  <c r="K117" i="30"/>
  <c r="K82" i="30"/>
  <c r="AU114" i="30"/>
  <c r="AU60" i="30"/>
  <c r="BI127" i="23"/>
  <c r="BI92" i="23"/>
  <c r="AN125" i="23"/>
  <c r="AN72" i="23"/>
  <c r="BL73" i="30"/>
  <c r="P35" i="30"/>
  <c r="J48" i="23"/>
  <c r="BJ117" i="23"/>
  <c r="BJ130" i="23"/>
  <c r="AA128" i="30"/>
  <c r="AA126" i="30"/>
  <c r="X189" i="4"/>
  <c r="X128" i="4"/>
  <c r="M127" i="4"/>
  <c r="M188" i="4"/>
  <c r="M190" i="4"/>
  <c r="BC39" i="30"/>
  <c r="BC56" i="30"/>
  <c r="BC75" i="30"/>
  <c r="T75" i="30"/>
  <c r="T56" i="30"/>
  <c r="T39" i="30"/>
  <c r="AP38" i="30"/>
  <c r="BE115" i="30"/>
  <c r="BE62" i="30"/>
  <c r="X94" i="23"/>
  <c r="X82" i="23"/>
  <c r="AM75" i="30"/>
  <c r="AM56" i="30"/>
  <c r="AM39" i="30"/>
  <c r="H35" i="23"/>
  <c r="K115" i="30"/>
  <c r="K62" i="30"/>
  <c r="BB35" i="30"/>
  <c r="Z74" i="30"/>
  <c r="Z55" i="30"/>
  <c r="AX117" i="30"/>
  <c r="AX82" i="30"/>
  <c r="Z185" i="4"/>
  <c r="Z151" i="4"/>
  <c r="Z161" i="4"/>
  <c r="Z163" i="4"/>
  <c r="AE85" i="23"/>
  <c r="AE66" i="23"/>
  <c r="AE39" i="23"/>
  <c r="AF35" i="30"/>
  <c r="R117" i="23"/>
  <c r="R136" i="23"/>
  <c r="R138" i="23"/>
  <c r="AN39" i="23"/>
  <c r="AN66" i="23"/>
  <c r="AN85" i="23"/>
  <c r="E155" i="4"/>
  <c r="BF114" i="30"/>
  <c r="BF60" i="30"/>
  <c r="AB83" i="23"/>
  <c r="AF127" i="23"/>
  <c r="AF92" i="23"/>
  <c r="AA189" i="4"/>
  <c r="AA128" i="4"/>
  <c r="AI127" i="23"/>
  <c r="AI92" i="23"/>
  <c r="AJ137" i="23"/>
  <c r="AJ123" i="23"/>
  <c r="AJ53" i="23"/>
  <c r="AJ50" i="23"/>
  <c r="AZ189" i="4"/>
  <c r="AZ128" i="4"/>
  <c r="F137" i="23"/>
  <c r="F123" i="23"/>
  <c r="F53" i="23"/>
  <c r="F50" i="23"/>
  <c r="Y85" i="23"/>
  <c r="Y66" i="23"/>
  <c r="Y39" i="23"/>
  <c r="BH117" i="23"/>
  <c r="BH136" i="23"/>
  <c r="BH138" i="23"/>
  <c r="S138" i="23"/>
  <c r="S136" i="23"/>
  <c r="BD184" i="4"/>
  <c r="BD162" i="4"/>
  <c r="AH117" i="23"/>
  <c r="AH130" i="23"/>
  <c r="BJ64" i="23"/>
  <c r="BK116" i="30"/>
  <c r="BK80" i="30"/>
  <c r="K116" i="30"/>
  <c r="K80" i="30"/>
  <c r="AG190" i="4"/>
  <c r="AG188" i="4"/>
  <c r="AG127" i="4"/>
  <c r="H85" i="23"/>
  <c r="H66" i="23"/>
  <c r="H39" i="23"/>
  <c r="BA75" i="30"/>
  <c r="BA56" i="30"/>
  <c r="BA39" i="30"/>
  <c r="AZ102" i="23"/>
  <c r="O118" i="30"/>
  <c r="O90" i="30"/>
  <c r="Q97" i="30"/>
  <c r="Q59" i="30"/>
  <c r="BJ64" i="30"/>
  <c r="BD136" i="30"/>
  <c r="BD96" i="30"/>
  <c r="BG107" i="23"/>
  <c r="BG69" i="23"/>
  <c r="AL75" i="30"/>
  <c r="AL56" i="30"/>
  <c r="AL39" i="30"/>
  <c r="L110" i="23"/>
  <c r="O146" i="23"/>
  <c r="O106" i="23"/>
  <c r="O41" i="23"/>
  <c r="I119" i="30"/>
  <c r="I91" i="30"/>
  <c r="L117" i="30"/>
  <c r="L82" i="30"/>
  <c r="AR43" i="23"/>
  <c r="AZ136" i="30"/>
  <c r="AZ41" i="30"/>
  <c r="AZ42" i="30"/>
  <c r="AZ96" i="30"/>
  <c r="BG39" i="23"/>
  <c r="BG66" i="23"/>
  <c r="BG85" i="23"/>
  <c r="Y124" i="23"/>
  <c r="Y70" i="23"/>
  <c r="AM115" i="30"/>
  <c r="AM62" i="30"/>
  <c r="AH126" i="23"/>
  <c r="AH90" i="23"/>
  <c r="AL173" i="4"/>
  <c r="AL168" i="4"/>
  <c r="AL143" i="4"/>
  <c r="AL136" i="4"/>
  <c r="N53" i="30"/>
  <c r="N64" i="30"/>
  <c r="AJ115" i="30"/>
  <c r="AJ62" i="30"/>
  <c r="BL35" i="23"/>
  <c r="AD128" i="30"/>
  <c r="AD126" i="30"/>
  <c r="N5" i="1"/>
  <c r="C183" i="4"/>
  <c r="T24" i="1"/>
  <c r="BE84" i="23"/>
  <c r="BE65" i="23"/>
  <c r="BJ94" i="23"/>
  <c r="BJ82" i="23"/>
  <c r="L122" i="23"/>
  <c r="L112" i="30"/>
  <c r="Y126" i="23"/>
  <c r="Y90" i="23"/>
  <c r="AJ165" i="4"/>
  <c r="N28" i="5"/>
  <c r="E122" i="4"/>
  <c r="H122" i="4"/>
  <c r="O185" i="4"/>
  <c r="O161" i="4"/>
  <c r="O163" i="4"/>
  <c r="U125" i="23"/>
  <c r="U72" i="23"/>
  <c r="G129" i="23"/>
  <c r="G101" i="23"/>
  <c r="J117" i="30"/>
  <c r="J82" i="30"/>
  <c r="AA75" i="30"/>
  <c r="AA56" i="30"/>
  <c r="AA39" i="30"/>
  <c r="M9" i="30"/>
  <c r="A130" i="30"/>
  <c r="M26" i="5"/>
  <c r="P26" i="5"/>
  <c r="Q26" i="5"/>
  <c r="Z99" i="30"/>
  <c r="Z89" i="30"/>
  <c r="BB116" i="30"/>
  <c r="BB80" i="30"/>
  <c r="BL125" i="23"/>
  <c r="BL72" i="23"/>
  <c r="AC127" i="4"/>
  <c r="AC188" i="4"/>
  <c r="AC190" i="4"/>
  <c r="G83" i="23"/>
  <c r="BH37" i="30"/>
  <c r="BH38" i="30"/>
  <c r="BH47" i="23"/>
  <c r="BH55" i="23"/>
  <c r="AK39" i="30"/>
  <c r="AK56" i="30"/>
  <c r="AK75" i="30"/>
  <c r="AA39" i="23"/>
  <c r="AA66" i="23"/>
  <c r="AA85" i="23"/>
  <c r="S109" i="23"/>
  <c r="S99" i="23"/>
  <c r="AE125" i="23"/>
  <c r="AE72" i="23"/>
  <c r="AW127" i="23"/>
  <c r="AW92" i="23"/>
  <c r="AX98" i="30"/>
  <c r="AX79" i="30"/>
  <c r="AT125" i="23"/>
  <c r="AT72" i="23"/>
  <c r="W129" i="23"/>
  <c r="W101" i="23"/>
  <c r="X89" i="30"/>
  <c r="X99" i="30"/>
  <c r="S190" i="4"/>
  <c r="S188" i="4"/>
  <c r="S127" i="4"/>
  <c r="AJ83" i="23"/>
  <c r="AO128" i="23"/>
  <c r="AO100" i="23"/>
  <c r="BI85" i="23"/>
  <c r="BI66" i="23"/>
  <c r="BI39" i="23"/>
  <c r="I99" i="30"/>
  <c r="I89" i="30"/>
  <c r="BH64" i="23"/>
  <c r="AO124" i="23"/>
  <c r="AO70" i="23"/>
  <c r="F35" i="30"/>
  <c r="BC118" i="30"/>
  <c r="BC90" i="30"/>
  <c r="AF85" i="23"/>
  <c r="AF66" i="23"/>
  <c r="AF39" i="23"/>
  <c r="O115" i="30"/>
  <c r="O62" i="30"/>
  <c r="S43" i="23"/>
  <c r="BD38" i="30"/>
  <c r="AN126" i="23"/>
  <c r="AN90" i="23"/>
  <c r="AD45" i="30"/>
  <c r="AM136" i="30"/>
  <c r="AM96" i="30"/>
  <c r="AA107" i="30"/>
  <c r="AA120" i="30"/>
  <c r="L128" i="30"/>
  <c r="L126" i="30"/>
  <c r="AM102" i="23"/>
  <c r="AV169" i="4"/>
  <c r="AD87" i="30"/>
  <c r="AD88" i="30"/>
  <c r="AD89" i="30"/>
  <c r="AD99" i="30"/>
  <c r="AI64" i="23"/>
  <c r="T22" i="1"/>
  <c r="C180" i="4"/>
  <c r="AI116" i="30"/>
  <c r="AI80" i="30"/>
  <c r="E33" i="17"/>
  <c r="T117" i="30"/>
  <c r="T82" i="30"/>
  <c r="E137" i="30"/>
  <c r="E135" i="30"/>
  <c r="BG165" i="4"/>
  <c r="AH137" i="30"/>
  <c r="AH135" i="30"/>
  <c r="AU147" i="23"/>
  <c r="AU145" i="23"/>
  <c r="AF136" i="30"/>
  <c r="AF41" i="30"/>
  <c r="AF42" i="30"/>
  <c r="AF96" i="30"/>
  <c r="O84" i="23"/>
  <c r="O65" i="23"/>
  <c r="I85" i="23"/>
  <c r="I66" i="23"/>
  <c r="I39" i="23"/>
  <c r="BK109" i="23"/>
  <c r="BK99" i="23"/>
  <c r="AC147" i="23"/>
  <c r="AC145" i="23"/>
  <c r="P108" i="23"/>
  <c r="P89" i="23"/>
  <c r="F83" i="23"/>
  <c r="AP35" i="30"/>
  <c r="Y163" i="4"/>
  <c r="Y161" i="4"/>
  <c r="Y185" i="4"/>
  <c r="AW120" i="30"/>
  <c r="H12" i="23"/>
  <c r="BP169" i="4"/>
  <c r="Q39" i="30"/>
  <c r="Q56" i="30"/>
  <c r="Q75" i="30"/>
  <c r="BG151" i="4"/>
  <c r="BG161" i="4"/>
  <c r="BG163" i="4"/>
  <c r="AC158" i="4"/>
  <c r="AB35" i="23"/>
  <c r="AS125" i="23"/>
  <c r="AS72" i="23"/>
  <c r="BJ136" i="4"/>
  <c r="BJ143" i="4"/>
  <c r="BJ168" i="4"/>
  <c r="G94" i="23"/>
  <c r="G82" i="23"/>
  <c r="AJ75" i="30"/>
  <c r="AJ56" i="30"/>
  <c r="AJ39" i="30"/>
  <c r="AJ146" i="23"/>
  <c r="AJ106" i="23"/>
  <c r="AJ41" i="23"/>
  <c r="BK136" i="30"/>
  <c r="BK96" i="30"/>
  <c r="AW158" i="4"/>
  <c r="AH129" i="23"/>
  <c r="AH101" i="23"/>
  <c r="J108" i="23"/>
  <c r="J89" i="23"/>
  <c r="I110" i="23"/>
  <c r="A113" i="23"/>
  <c r="K10" i="23"/>
  <c r="AP127" i="23"/>
  <c r="AP88" i="23"/>
  <c r="AP92" i="23"/>
  <c r="AJ137" i="30"/>
  <c r="AJ135" i="30"/>
  <c r="AM73" i="30"/>
  <c r="N136" i="30"/>
  <c r="N41" i="30"/>
  <c r="N42" i="30"/>
  <c r="N96" i="30"/>
  <c r="AI54" i="30"/>
  <c r="AP109" i="23"/>
  <c r="AP99" i="23"/>
  <c r="E107" i="30"/>
  <c r="E120" i="30"/>
  <c r="BY169" i="4"/>
  <c r="AN117" i="23"/>
  <c r="AN130" i="23"/>
  <c r="BL109" i="23"/>
  <c r="BL54" i="23"/>
  <c r="BL59" i="23"/>
  <c r="BL73" i="23"/>
  <c r="BL78" i="23"/>
  <c r="BL93" i="23"/>
  <c r="BL97" i="23"/>
  <c r="BL98" i="23"/>
  <c r="BL99" i="23"/>
  <c r="BE84" i="30"/>
  <c r="BE72" i="30"/>
  <c r="J76" i="30"/>
  <c r="Y128" i="30"/>
  <c r="Y126" i="30"/>
  <c r="AS73" i="30"/>
  <c r="AW85" i="23"/>
  <c r="AW66" i="23"/>
  <c r="AW39" i="23"/>
  <c r="AE120" i="30"/>
  <c r="R119" i="30"/>
  <c r="R91" i="30"/>
  <c r="L126" i="4"/>
  <c r="L118" i="4"/>
  <c r="L155" i="4"/>
  <c r="V127" i="23"/>
  <c r="V88" i="23"/>
  <c r="V92" i="23"/>
  <c r="P114" i="30"/>
  <c r="P60" i="30"/>
  <c r="AJ127" i="4"/>
  <c r="AJ188" i="4"/>
  <c r="AJ190" i="4"/>
  <c r="AG124" i="23"/>
  <c r="AG70" i="23"/>
  <c r="V125" i="23"/>
  <c r="V72" i="23"/>
  <c r="O83" i="23"/>
  <c r="BB165" i="4"/>
  <c r="AG158" i="4"/>
  <c r="BF168" i="4"/>
  <c r="BF143" i="4"/>
  <c r="BF136" i="4"/>
  <c r="AZ109" i="23"/>
  <c r="AZ99" i="23"/>
  <c r="I127" i="30"/>
  <c r="I113" i="30"/>
  <c r="I43" i="30"/>
  <c r="AO136" i="30"/>
  <c r="AO41" i="30"/>
  <c r="AO42" i="30"/>
  <c r="AO96" i="30"/>
  <c r="AB163" i="4"/>
  <c r="AB161" i="4"/>
  <c r="AB185" i="4"/>
  <c r="BA137" i="23"/>
  <c r="BA123" i="23"/>
  <c r="BA53" i="23"/>
  <c r="BA50" i="23"/>
  <c r="BF99" i="30"/>
  <c r="BF89" i="30"/>
  <c r="K118" i="30"/>
  <c r="K90" i="30"/>
  <c r="I137" i="23"/>
  <c r="I50" i="23"/>
  <c r="I53" i="23"/>
  <c r="I123" i="23"/>
  <c r="BB84" i="30"/>
  <c r="BB72" i="30"/>
  <c r="BI125" i="23"/>
  <c r="BI72" i="23"/>
  <c r="AN127" i="30"/>
  <c r="AN113" i="30"/>
  <c r="AN43" i="30"/>
  <c r="BK36" i="23"/>
  <c r="BK40" i="23"/>
  <c r="BL33" i="23"/>
  <c r="BL36" i="23"/>
  <c r="BL40" i="23"/>
  <c r="AD107" i="30"/>
  <c r="AD120" i="30"/>
  <c r="C182" i="4"/>
  <c r="T23" i="1"/>
  <c r="U50" i="23"/>
  <c r="U53" i="23"/>
  <c r="U123" i="23"/>
  <c r="U137" i="23"/>
  <c r="N163" i="4"/>
  <c r="N161" i="4"/>
  <c r="N185" i="4"/>
  <c r="S75" i="30"/>
  <c r="S56" i="30"/>
  <c r="S39" i="30"/>
  <c r="AK165" i="4"/>
  <c r="S98" i="30"/>
  <c r="S79" i="30"/>
  <c r="AL127" i="4"/>
  <c r="AL188" i="4"/>
  <c r="AL190" i="4"/>
  <c r="AI98" i="30"/>
  <c r="AI79" i="30"/>
  <c r="BG127" i="4"/>
  <c r="BG188" i="4"/>
  <c r="BG190" i="4"/>
  <c r="E103" i="4"/>
  <c r="G97" i="30"/>
  <c r="G59" i="30"/>
  <c r="E170" i="4"/>
  <c r="O73" i="30"/>
  <c r="BE47" i="23"/>
  <c r="BE117" i="23"/>
  <c r="BE130" i="23"/>
  <c r="Q136" i="30"/>
  <c r="Q96" i="30"/>
  <c r="J128" i="23"/>
  <c r="J100" i="23"/>
  <c r="AB55" i="23"/>
  <c r="BX168" i="4"/>
  <c r="BX143" i="4"/>
  <c r="BX136" i="4"/>
  <c r="BK102" i="23"/>
  <c r="Q84" i="30"/>
  <c r="Q72" i="30"/>
  <c r="B74" i="23"/>
  <c r="D74" i="23"/>
  <c r="L74" i="30"/>
  <c r="L55" i="30"/>
  <c r="T35" i="30"/>
  <c r="Z119" i="30"/>
  <c r="Z91" i="30"/>
  <c r="R38" i="23"/>
  <c r="AC128" i="23"/>
  <c r="AC100" i="23"/>
  <c r="R63" i="23"/>
  <c r="R74" i="23"/>
  <c r="M116" i="30"/>
  <c r="M80" i="30"/>
  <c r="AV64" i="23"/>
  <c r="AG138" i="23"/>
  <c r="AG136" i="23"/>
  <c r="Y130" i="23"/>
  <c r="BK84" i="30"/>
  <c r="BK72" i="30"/>
  <c r="L39" i="23"/>
  <c r="L66" i="23"/>
  <c r="L85" i="23"/>
  <c r="AD107" i="23"/>
  <c r="AD69" i="23"/>
  <c r="R185" i="4"/>
  <c r="R161" i="4"/>
  <c r="R163" i="4"/>
  <c r="AQ125" i="23"/>
  <c r="AQ72" i="23"/>
  <c r="R124" i="23"/>
  <c r="R70" i="23"/>
  <c r="AH50" i="23"/>
  <c r="AH53" i="23"/>
  <c r="AH123" i="23"/>
  <c r="AH137" i="23"/>
  <c r="AG147" i="23"/>
  <c r="AG145" i="23"/>
  <c r="AW127" i="4"/>
  <c r="AW188" i="4"/>
  <c r="AW190" i="4"/>
  <c r="AP127" i="4"/>
  <c r="AP188" i="4"/>
  <c r="AP190" i="4"/>
  <c r="AU116" i="30"/>
  <c r="AU80" i="30"/>
  <c r="BI178" i="4"/>
  <c r="BF18" i="30"/>
  <c r="BF18" i="23"/>
  <c r="W136" i="30"/>
  <c r="W96" i="30"/>
  <c r="AQ116" i="30"/>
  <c r="AQ80" i="30"/>
  <c r="E73" i="30"/>
  <c r="F35" i="23"/>
  <c r="BL133" i="4"/>
  <c r="BL144" i="4"/>
  <c r="BL169" i="4"/>
  <c r="BR163" i="4"/>
  <c r="BR161" i="4"/>
  <c r="AN114" i="30"/>
  <c r="AN60" i="30"/>
  <c r="AI51" i="23"/>
  <c r="BB127" i="4"/>
  <c r="BB188" i="4"/>
  <c r="BB190" i="4"/>
  <c r="Y117" i="23"/>
  <c r="Y136" i="23"/>
  <c r="Y138" i="23"/>
  <c r="B129" i="23"/>
  <c r="D129" i="23"/>
  <c r="D101" i="23"/>
  <c r="H138" i="23"/>
  <c r="H136" i="23"/>
  <c r="N109" i="23"/>
  <c r="N99" i="23"/>
  <c r="AH136" i="4"/>
  <c r="AH143" i="4"/>
  <c r="AH168" i="4"/>
  <c r="AH173" i="4"/>
  <c r="AG105" i="23"/>
  <c r="AG110" i="23"/>
  <c r="N125" i="23"/>
  <c r="N72" i="23"/>
  <c r="AO107" i="23"/>
  <c r="AO69" i="23"/>
  <c r="U99" i="30"/>
  <c r="U89" i="30"/>
  <c r="W116" i="30"/>
  <c r="W78" i="30"/>
  <c r="W80" i="30"/>
  <c r="AQ120" i="30"/>
  <c r="J83" i="23"/>
  <c r="AJ74" i="30"/>
  <c r="AJ55" i="30"/>
  <c r="AN54" i="30"/>
  <c r="Z127" i="23"/>
  <c r="Z92" i="23"/>
  <c r="BF41" i="23"/>
  <c r="BF106" i="23"/>
  <c r="BF146" i="23"/>
  <c r="BK178" i="4"/>
  <c r="BH18" i="23"/>
  <c r="BH18" i="30"/>
  <c r="S28" i="23"/>
  <c r="S34" i="23"/>
  <c r="S63" i="23"/>
  <c r="S74" i="23"/>
  <c r="Q109" i="23"/>
  <c r="Q99" i="23"/>
  <c r="I165" i="4"/>
  <c r="AK138" i="23"/>
  <c r="AK136" i="23"/>
  <c r="BL115" i="30"/>
  <c r="BL62" i="30"/>
  <c r="AW43" i="30"/>
  <c r="AW113" i="30"/>
  <c r="AW127" i="30"/>
  <c r="K73" i="30"/>
  <c r="S117" i="23"/>
  <c r="S130" i="23"/>
  <c r="H127" i="30"/>
  <c r="H41" i="30"/>
  <c r="H42" i="30"/>
  <c r="H43" i="30"/>
  <c r="H113" i="30"/>
  <c r="BG184" i="4"/>
  <c r="BG162" i="4"/>
  <c r="AX120" i="4"/>
  <c r="AX103" i="4"/>
  <c r="AO54" i="30"/>
  <c r="Y144" i="4"/>
  <c r="Y151" i="4"/>
  <c r="Y165" i="4"/>
  <c r="AJ84" i="23"/>
  <c r="AJ65" i="23"/>
  <c r="BA128" i="23"/>
  <c r="BA100" i="23"/>
  <c r="W102" i="23"/>
  <c r="M94" i="23"/>
  <c r="M82" i="23"/>
  <c r="J126" i="23"/>
  <c r="J90" i="23"/>
  <c r="AY83" i="23"/>
  <c r="AV137" i="30"/>
  <c r="AV135" i="30"/>
  <c r="S137" i="30"/>
  <c r="S135" i="30"/>
  <c r="D33" i="17"/>
  <c r="F33" i="17"/>
  <c r="G34" i="17"/>
  <c r="CA170" i="4"/>
  <c r="CA177" i="4"/>
  <c r="CA178" i="4"/>
  <c r="E83" i="23"/>
  <c r="BF108" i="23"/>
  <c r="BF89" i="23"/>
  <c r="BA39" i="23"/>
  <c r="BA66" i="23"/>
  <c r="BA85" i="23"/>
  <c r="BE162" i="4"/>
  <c r="BE184" i="4"/>
  <c r="BH98" i="30"/>
  <c r="BH79" i="30"/>
  <c r="P127" i="23"/>
  <c r="P88" i="23"/>
  <c r="P92" i="23"/>
  <c r="T12" i="1"/>
  <c r="BI129" i="23"/>
  <c r="BI101" i="23"/>
  <c r="AS84" i="23"/>
  <c r="AS65" i="23"/>
  <c r="M74" i="30"/>
  <c r="M55" i="30"/>
  <c r="AH27" i="30"/>
  <c r="AH95" i="30"/>
  <c r="AH100" i="30"/>
  <c r="AR105" i="23"/>
  <c r="AR145" i="23"/>
  <c r="AR147" i="23"/>
  <c r="BG94" i="23"/>
  <c r="BG82" i="23"/>
  <c r="B80" i="30"/>
  <c r="B79" i="30"/>
  <c r="I94" i="23"/>
  <c r="I82" i="23"/>
  <c r="O50" i="23"/>
  <c r="O53" i="23"/>
  <c r="O123" i="23"/>
  <c r="O137" i="23"/>
  <c r="BA118" i="30"/>
  <c r="BA90" i="30"/>
  <c r="V189" i="4"/>
  <c r="V128" i="4"/>
  <c r="K45" i="30"/>
  <c r="L51" i="23"/>
  <c r="R84" i="30"/>
  <c r="R72" i="30"/>
  <c r="AP28" i="30"/>
  <c r="AP34" i="30"/>
  <c r="AP45" i="30"/>
  <c r="BC54" i="30"/>
  <c r="X107" i="23"/>
  <c r="X69" i="23"/>
  <c r="AE102" i="4"/>
  <c r="AE132" i="4"/>
  <c r="AW73" i="30"/>
  <c r="AF54" i="30"/>
  <c r="AW83" i="23"/>
  <c r="Z83" i="23"/>
  <c r="U119" i="30"/>
  <c r="U91" i="30"/>
  <c r="AB107" i="23"/>
  <c r="AB69" i="23"/>
  <c r="AZ118" i="30"/>
  <c r="AZ90" i="30"/>
  <c r="AP63" i="23"/>
  <c r="AP82" i="23"/>
  <c r="AP94" i="23"/>
  <c r="BL40" i="30"/>
  <c r="BL36" i="30"/>
  <c r="AA107" i="23"/>
  <c r="AA69" i="23"/>
  <c r="AO35" i="23"/>
  <c r="X97" i="23"/>
  <c r="X98" i="23"/>
  <c r="X99" i="23"/>
  <c r="X109" i="23"/>
  <c r="S84" i="30"/>
  <c r="S72" i="30"/>
  <c r="Y119" i="30"/>
  <c r="Y91" i="30"/>
  <c r="M169" i="4"/>
  <c r="V84" i="23"/>
  <c r="V65" i="23"/>
  <c r="BA110" i="23"/>
  <c r="F79" i="5"/>
  <c r="E79" i="5"/>
  <c r="G79" i="5"/>
  <c r="C79" i="5"/>
  <c r="AU107" i="30"/>
  <c r="AU126" i="30"/>
  <c r="AU128" i="30"/>
  <c r="AL105" i="23"/>
  <c r="AL145" i="23"/>
  <c r="AL147" i="23"/>
  <c r="V28" i="30"/>
  <c r="V34" i="30"/>
  <c r="V53" i="30"/>
  <c r="V64" i="30"/>
  <c r="BF27" i="30"/>
  <c r="BF95" i="30"/>
  <c r="BF100" i="30"/>
  <c r="AL47" i="23"/>
  <c r="AL117" i="23"/>
  <c r="AL130" i="23"/>
  <c r="BA76" i="30"/>
  <c r="AP51" i="23"/>
  <c r="AW41" i="23"/>
  <c r="AW106" i="23"/>
  <c r="AW146" i="23"/>
  <c r="U27" i="30"/>
  <c r="U95" i="30"/>
  <c r="U100" i="30"/>
  <c r="M27" i="5"/>
  <c r="M30" i="5"/>
  <c r="M35" i="5"/>
  <c r="AS108" i="23"/>
  <c r="AS89" i="23"/>
  <c r="R92" i="30"/>
  <c r="BQ163" i="4"/>
  <c r="BQ161" i="4"/>
  <c r="BG115" i="30"/>
  <c r="BG62" i="30"/>
  <c r="BW151" i="4"/>
  <c r="BW165" i="4"/>
  <c r="Z97" i="30"/>
  <c r="Z59" i="30"/>
  <c r="AC96" i="30"/>
  <c r="AC136" i="30"/>
  <c r="J165" i="4"/>
  <c r="V128" i="30"/>
  <c r="V126" i="30"/>
  <c r="P118" i="30"/>
  <c r="P90" i="30"/>
  <c r="BK53" i="30"/>
  <c r="BK64" i="30"/>
  <c r="BB169" i="4"/>
  <c r="AJ127" i="23"/>
  <c r="AJ92" i="23"/>
  <c r="BB136" i="4"/>
  <c r="BB143" i="4"/>
  <c r="BB168" i="4"/>
  <c r="BB173" i="4"/>
  <c r="I122" i="23"/>
  <c r="I112" i="30"/>
  <c r="K127" i="30"/>
  <c r="K113" i="30"/>
  <c r="K43" i="30"/>
  <c r="M29" i="5"/>
  <c r="P29" i="5"/>
  <c r="Q29" i="5"/>
  <c r="BF64" i="30"/>
  <c r="BI97" i="30"/>
  <c r="BI59" i="30"/>
  <c r="AS48" i="23"/>
  <c r="BF45" i="30"/>
  <c r="K127" i="23"/>
  <c r="K92" i="23"/>
  <c r="BD129" i="23"/>
  <c r="BD97" i="23"/>
  <c r="BD98" i="23"/>
  <c r="BD101" i="23"/>
  <c r="AZ120" i="4"/>
  <c r="AZ103" i="4"/>
  <c r="AK108" i="23"/>
  <c r="AK89" i="23"/>
  <c r="BA58" i="30"/>
  <c r="BA62" i="30"/>
  <c r="BA115" i="30"/>
  <c r="AR39" i="23"/>
  <c r="AR66" i="23"/>
  <c r="AR85" i="23"/>
  <c r="P115" i="30"/>
  <c r="P62" i="30"/>
  <c r="AV125" i="23"/>
  <c r="AV72" i="23"/>
  <c r="AK41" i="23"/>
  <c r="AK106" i="23"/>
  <c r="AK146" i="23"/>
  <c r="AE54" i="30"/>
  <c r="J128" i="30"/>
  <c r="J126" i="30"/>
  <c r="AL120" i="4"/>
  <c r="AL103" i="4"/>
  <c r="E129" i="23"/>
  <c r="E101" i="23"/>
  <c r="E128" i="4"/>
  <c r="E130" i="4"/>
  <c r="T20" i="1"/>
  <c r="AK184" i="4"/>
  <c r="AK154" i="4"/>
  <c r="AK162" i="4"/>
  <c r="AP97" i="30"/>
  <c r="AP59" i="30"/>
  <c r="AO119" i="30"/>
  <c r="AO91" i="30"/>
  <c r="AF97" i="30"/>
  <c r="AF59" i="30"/>
  <c r="AF147" i="23"/>
  <c r="AF145" i="23"/>
  <c r="AA94" i="23"/>
  <c r="AA82" i="23"/>
  <c r="AQ190" i="4"/>
  <c r="AQ188" i="4"/>
  <c r="AQ127" i="4"/>
  <c r="AO74" i="30"/>
  <c r="AO55" i="30"/>
  <c r="BL94" i="23"/>
  <c r="BL82" i="23"/>
  <c r="G146" i="23"/>
  <c r="G106" i="23"/>
  <c r="G41" i="23"/>
  <c r="AZ102" i="4"/>
  <c r="AZ132" i="4"/>
  <c r="N137" i="30"/>
  <c r="N135" i="30"/>
  <c r="BD85" i="23"/>
  <c r="BD66" i="23"/>
  <c r="BD39" i="23"/>
  <c r="AP98" i="30"/>
  <c r="AP79" i="30"/>
  <c r="AL116" i="30"/>
  <c r="AL80" i="30"/>
  <c r="O74" i="30"/>
  <c r="O55" i="30"/>
  <c r="V146" i="23"/>
  <c r="V106" i="23"/>
  <c r="V41" i="23"/>
  <c r="AH74" i="30"/>
  <c r="AH55" i="30"/>
  <c r="Z147" i="23"/>
  <c r="Z145" i="23"/>
  <c r="BB87" i="30"/>
  <c r="BB88" i="30"/>
  <c r="BB90" i="30"/>
  <c r="BB118" i="30"/>
  <c r="AE117" i="23"/>
  <c r="AE130" i="23"/>
  <c r="BE190" i="4"/>
  <c r="BE188" i="4"/>
  <c r="BE127" i="4"/>
  <c r="AE158" i="4"/>
  <c r="P109" i="23"/>
  <c r="P99" i="23"/>
  <c r="X47" i="23"/>
  <c r="X117" i="23"/>
  <c r="X130" i="23"/>
  <c r="AC75" i="30"/>
  <c r="AC56" i="30"/>
  <c r="AC39" i="30"/>
  <c r="AQ130" i="23"/>
  <c r="AQ117" i="23"/>
  <c r="AQ136" i="23"/>
  <c r="AQ138" i="23"/>
  <c r="AI126" i="23"/>
  <c r="AI88" i="23"/>
  <c r="AI90" i="23"/>
  <c r="T54" i="30"/>
  <c r="AB75" i="30"/>
  <c r="AB56" i="30"/>
  <c r="AB39" i="30"/>
  <c r="M107" i="30"/>
  <c r="M120" i="30"/>
  <c r="E169" i="4"/>
  <c r="G169" i="4"/>
  <c r="BF127" i="30"/>
  <c r="BF113" i="30"/>
  <c r="BF43" i="30"/>
  <c r="C87" i="5"/>
  <c r="C71" i="5"/>
  <c r="M137" i="30"/>
  <c r="M135" i="30"/>
  <c r="L163" i="4"/>
  <c r="L161" i="4"/>
  <c r="L185" i="4"/>
  <c r="U130" i="23"/>
  <c r="Q23" i="5"/>
  <c r="P23" i="5"/>
  <c r="AI85" i="23"/>
  <c r="AI66" i="23"/>
  <c r="AI39" i="23"/>
  <c r="AK169" i="4"/>
  <c r="AP55" i="23"/>
  <c r="BG119" i="30"/>
  <c r="BG91" i="30"/>
  <c r="AW126" i="23"/>
  <c r="AW90" i="23"/>
  <c r="B116" i="30"/>
  <c r="E116" i="30"/>
  <c r="E80" i="30"/>
  <c r="X64" i="30"/>
  <c r="AL128" i="23"/>
  <c r="AL100" i="23"/>
  <c r="V76" i="30"/>
  <c r="AV27" i="30"/>
  <c r="AV95" i="30"/>
  <c r="AV100" i="30"/>
  <c r="G108" i="23"/>
  <c r="G89" i="23"/>
  <c r="AE146" i="23"/>
  <c r="AE106" i="23"/>
  <c r="AE41" i="23"/>
  <c r="E11" i="30"/>
  <c r="F11" i="30"/>
  <c r="AC38" i="30"/>
  <c r="B98" i="30"/>
  <c r="E98" i="30"/>
  <c r="E79" i="30"/>
  <c r="AJ128" i="23"/>
  <c r="AJ100" i="23"/>
  <c r="X74" i="30"/>
  <c r="X55" i="30"/>
  <c r="AW185" i="4"/>
  <c r="AW161" i="4"/>
  <c r="AW163" i="4"/>
  <c r="M165" i="4"/>
  <c r="AC173" i="4"/>
  <c r="AC168" i="4"/>
  <c r="AC143" i="4"/>
  <c r="AC136" i="4"/>
  <c r="BI64" i="23"/>
  <c r="P99" i="30"/>
  <c r="P89" i="30"/>
  <c r="BJ47" i="23"/>
  <c r="BJ55" i="23"/>
  <c r="BC132" i="4"/>
  <c r="AE128" i="23"/>
  <c r="AE100" i="23"/>
  <c r="AJ99" i="30"/>
  <c r="AJ89" i="30"/>
  <c r="K94" i="23"/>
  <c r="K82" i="23"/>
  <c r="BF117" i="23"/>
  <c r="BF130" i="23"/>
  <c r="K35" i="30"/>
  <c r="AP128" i="30"/>
  <c r="AP126" i="30"/>
  <c r="AP78" i="30"/>
  <c r="AP80" i="30"/>
  <c r="AP116" i="30"/>
  <c r="AD130" i="23"/>
  <c r="AT115" i="30"/>
  <c r="AT62" i="30"/>
  <c r="BJ127" i="23"/>
  <c r="BJ92" i="23"/>
  <c r="AZ124" i="23"/>
  <c r="AZ70" i="23"/>
  <c r="BA43" i="23"/>
  <c r="A62" i="30"/>
  <c r="A58" i="30"/>
  <c r="BJ116" i="30"/>
  <c r="BJ80" i="30"/>
  <c r="L64" i="23"/>
  <c r="AA99" i="30"/>
  <c r="AA89" i="30"/>
  <c r="AA146" i="23"/>
  <c r="AA106" i="23"/>
  <c r="AA41" i="23"/>
  <c r="BH97" i="30"/>
  <c r="BH59" i="30"/>
  <c r="BK38" i="30"/>
  <c r="J125" i="23"/>
  <c r="J72" i="23"/>
  <c r="BB84" i="23"/>
  <c r="BB65" i="23"/>
  <c r="BA127" i="30"/>
  <c r="BA113" i="30"/>
  <c r="BA43" i="30"/>
  <c r="AY138" i="23"/>
  <c r="AY136" i="23"/>
  <c r="AW173" i="4"/>
  <c r="AW168" i="4"/>
  <c r="AW143" i="4"/>
  <c r="AW136" i="4"/>
  <c r="AP107" i="23"/>
  <c r="AP69" i="23"/>
  <c r="G127" i="30"/>
  <c r="G113" i="30"/>
  <c r="G43" i="30"/>
  <c r="AT85" i="23"/>
  <c r="AT66" i="23"/>
  <c r="AT39" i="23"/>
  <c r="M10" i="23"/>
  <c r="A141" i="23"/>
  <c r="D137" i="23"/>
  <c r="AU165" i="4"/>
  <c r="F137" i="30"/>
  <c r="F135" i="30"/>
  <c r="K137" i="23"/>
  <c r="K123" i="23"/>
  <c r="K53" i="23"/>
  <c r="K50" i="23"/>
  <c r="AC117" i="23"/>
  <c r="AC130" i="23"/>
  <c r="I84" i="30"/>
  <c r="I72" i="30"/>
  <c r="BC84" i="30"/>
  <c r="BC72" i="30"/>
  <c r="BG73" i="30"/>
  <c r="AJ73" i="30"/>
  <c r="AH54" i="30"/>
  <c r="AL54" i="30"/>
  <c r="BO184" i="4"/>
  <c r="BO162" i="4"/>
  <c r="AG74" i="23"/>
  <c r="BD116" i="30"/>
  <c r="BD80" i="30"/>
  <c r="AP26" i="30"/>
  <c r="AP107" i="30"/>
  <c r="AP120" i="30"/>
  <c r="AE165" i="4"/>
  <c r="AA115" i="30"/>
  <c r="AA62" i="30"/>
  <c r="BJ99" i="30"/>
  <c r="BJ89" i="30"/>
  <c r="Z138" i="23"/>
  <c r="Z136" i="23"/>
  <c r="BL64" i="23"/>
  <c r="AN178" i="4"/>
  <c r="AK18" i="30"/>
  <c r="AK18" i="23"/>
  <c r="P97" i="30"/>
  <c r="P59" i="30"/>
  <c r="BI84" i="23"/>
  <c r="BI65" i="23"/>
  <c r="I107" i="30"/>
  <c r="I120" i="30"/>
  <c r="E84" i="23"/>
  <c r="E65" i="23"/>
  <c r="G127" i="23"/>
  <c r="G92" i="23"/>
  <c r="B55" i="23"/>
  <c r="D55" i="23"/>
  <c r="AX84" i="30"/>
  <c r="AX72" i="30"/>
  <c r="BQ151" i="4"/>
  <c r="BQ165" i="4"/>
  <c r="BG100" i="30"/>
  <c r="AQ38" i="30"/>
  <c r="AD117" i="23"/>
  <c r="AD136" i="23"/>
  <c r="AD138" i="23"/>
  <c r="AD136" i="4"/>
  <c r="AD143" i="4"/>
  <c r="AD168" i="4"/>
  <c r="AD173" i="4"/>
  <c r="V55" i="23"/>
  <c r="AE51" i="23"/>
  <c r="BD38" i="23"/>
  <c r="BE74" i="30"/>
  <c r="BE55" i="30"/>
  <c r="M51" i="23"/>
  <c r="L55" i="23"/>
  <c r="E27" i="30"/>
  <c r="E95" i="30"/>
  <c r="E100" i="30"/>
  <c r="BB158" i="4"/>
  <c r="AV137" i="23"/>
  <c r="AV123" i="23"/>
  <c r="AV53" i="23"/>
  <c r="AV50" i="23"/>
  <c r="O124" i="23"/>
  <c r="O70" i="23"/>
  <c r="AR129" i="23"/>
  <c r="AR101" i="23"/>
  <c r="T119" i="30"/>
  <c r="T91" i="30"/>
  <c r="I173" i="4"/>
  <c r="I168" i="4"/>
  <c r="I143" i="4"/>
  <c r="I136" i="4"/>
  <c r="AR127" i="30"/>
  <c r="AR113" i="30"/>
  <c r="AR43" i="30"/>
  <c r="AU132" i="4"/>
  <c r="J27" i="30"/>
  <c r="J95" i="30"/>
  <c r="J100" i="30"/>
  <c r="P129" i="23"/>
  <c r="P101" i="23"/>
  <c r="BH75" i="30"/>
  <c r="BH56" i="30"/>
  <c r="BH39" i="30"/>
  <c r="AV120" i="4"/>
  <c r="AV103" i="4"/>
  <c r="AH127" i="30"/>
  <c r="AH113" i="30"/>
  <c r="AH43" i="30"/>
  <c r="AI117" i="30"/>
  <c r="AI78" i="30"/>
  <c r="AI82" i="30"/>
  <c r="BC85" i="23"/>
  <c r="BC66" i="23"/>
  <c r="BC39" i="23"/>
  <c r="R109" i="23"/>
  <c r="R99" i="23"/>
  <c r="I108" i="23"/>
  <c r="I89" i="23"/>
  <c r="BI115" i="30"/>
  <c r="BI62" i="30"/>
  <c r="BG137" i="23"/>
  <c r="BG123" i="23"/>
  <c r="BG53" i="23"/>
  <c r="BG50" i="23"/>
  <c r="Z137" i="30"/>
  <c r="Z135" i="30"/>
  <c r="E109" i="23"/>
  <c r="E97" i="23"/>
  <c r="E98" i="23"/>
  <c r="E99" i="23"/>
  <c r="BD117" i="30"/>
  <c r="BD82" i="30"/>
  <c r="AM128" i="23"/>
  <c r="AM100" i="23"/>
  <c r="BK55" i="30"/>
  <c r="BK74" i="30"/>
  <c r="O126" i="23"/>
  <c r="O90" i="23"/>
  <c r="AS117" i="30"/>
  <c r="AS82" i="30"/>
  <c r="AP73" i="30"/>
  <c r="U190" i="4"/>
  <c r="U188" i="4"/>
  <c r="U127" i="4"/>
  <c r="BF97" i="30"/>
  <c r="BF59" i="30"/>
  <c r="BC115" i="30"/>
  <c r="BC62" i="30"/>
  <c r="BH124" i="23"/>
  <c r="BH70" i="23"/>
  <c r="J30" i="1"/>
  <c r="J28" i="1"/>
  <c r="I35" i="23"/>
  <c r="W64" i="23"/>
  <c r="X114" i="30"/>
  <c r="X60" i="30"/>
  <c r="BF119" i="30"/>
  <c r="BF91" i="30"/>
  <c r="AO190" i="4"/>
  <c r="AO127" i="4"/>
  <c r="AO188" i="4"/>
  <c r="N64" i="23"/>
  <c r="O127" i="23"/>
  <c r="O92" i="23"/>
  <c r="W114" i="30"/>
  <c r="W60" i="30"/>
  <c r="BE146" i="23"/>
  <c r="BE106" i="23"/>
  <c r="BE41" i="23"/>
  <c r="AO35" i="30"/>
  <c r="AM189" i="4"/>
  <c r="AM128" i="4"/>
  <c r="BJ99" i="23"/>
  <c r="BJ109" i="23"/>
  <c r="AC84" i="30"/>
  <c r="AC72" i="30"/>
  <c r="AU185" i="4"/>
  <c r="AU151" i="4"/>
  <c r="AU161" i="4"/>
  <c r="AU163" i="4"/>
  <c r="X137" i="30"/>
  <c r="X135" i="30"/>
  <c r="V120" i="4"/>
  <c r="V103" i="4"/>
  <c r="AH45" i="30"/>
  <c r="AK115" i="30"/>
  <c r="AK62" i="30"/>
  <c r="BG124" i="23"/>
  <c r="BG70" i="23"/>
  <c r="Z102" i="23"/>
  <c r="AQ84" i="30"/>
  <c r="AQ72" i="30"/>
  <c r="AR109" i="23"/>
  <c r="AR97" i="23"/>
  <c r="AR98" i="23"/>
  <c r="AR99" i="23"/>
  <c r="AC107" i="30"/>
  <c r="AC120" i="30"/>
  <c r="AT127" i="23"/>
  <c r="AT92" i="23"/>
  <c r="AI132" i="4"/>
  <c r="AO43" i="23"/>
  <c r="BJ163" i="4"/>
  <c r="BJ161" i="4"/>
  <c r="A112" i="23"/>
  <c r="K9" i="23"/>
  <c r="U35" i="23"/>
  <c r="BH73" i="30"/>
  <c r="BF58" i="30"/>
  <c r="BF76" i="30"/>
  <c r="AN158" i="4"/>
  <c r="AO126" i="23"/>
  <c r="AO90" i="23"/>
  <c r="V58" i="30"/>
  <c r="V60" i="30"/>
  <c r="V114" i="30"/>
  <c r="AW136" i="30"/>
  <c r="AW41" i="30"/>
  <c r="AW42" i="30"/>
  <c r="AW96" i="30"/>
  <c r="M8" i="23"/>
  <c r="A139" i="23"/>
  <c r="AS120" i="30"/>
  <c r="AT35" i="23"/>
  <c r="AY165" i="4"/>
  <c r="AV84" i="30"/>
  <c r="AV72" i="30"/>
  <c r="BK35" i="30"/>
  <c r="AO84" i="30"/>
  <c r="AO72" i="30"/>
  <c r="AA64" i="30"/>
  <c r="BB73" i="30"/>
  <c r="BK75" i="30"/>
  <c r="BK56" i="30"/>
  <c r="BK39" i="30"/>
  <c r="BB138" i="23"/>
  <c r="BB136" i="23"/>
  <c r="M126" i="4"/>
  <c r="M118" i="4"/>
  <c r="M155" i="4"/>
  <c r="BB137" i="30"/>
  <c r="BB135" i="30"/>
  <c r="M130" i="23"/>
  <c r="BK127" i="23"/>
  <c r="BK92" i="23"/>
  <c r="N147" i="23"/>
  <c r="N145" i="23"/>
  <c r="BF107" i="23"/>
  <c r="BF69" i="23"/>
  <c r="AH162" i="4"/>
  <c r="AH154" i="4"/>
  <c r="AH184" i="4"/>
  <c r="BD127" i="30"/>
  <c r="BD37" i="30"/>
  <c r="BD41" i="30"/>
  <c r="BD42" i="30"/>
  <c r="BD43" i="30"/>
  <c r="BD113" i="30"/>
  <c r="AB129" i="23"/>
  <c r="AB101" i="23"/>
  <c r="O109" i="23"/>
  <c r="O99" i="23"/>
  <c r="AG64" i="23"/>
  <c r="S35" i="30"/>
  <c r="P138" i="23"/>
  <c r="P136" i="23"/>
  <c r="AK83" i="23"/>
  <c r="BG125" i="23"/>
  <c r="BG72" i="23"/>
  <c r="U102" i="23"/>
  <c r="AG92" i="30"/>
  <c r="BK83" i="23"/>
  <c r="N115" i="30"/>
  <c r="N62" i="30"/>
  <c r="CA190" i="4"/>
  <c r="CA188" i="4"/>
  <c r="CA127" i="4"/>
  <c r="U55" i="23"/>
  <c r="AM120" i="4"/>
  <c r="AM103" i="4"/>
  <c r="BL116" i="30"/>
  <c r="BL80" i="30"/>
  <c r="AR126" i="23"/>
  <c r="AR90" i="23"/>
  <c r="O38" i="30"/>
  <c r="AI146" i="23"/>
  <c r="AI106" i="23"/>
  <c r="AI41" i="23"/>
  <c r="N119" i="30"/>
  <c r="N91" i="30"/>
  <c r="X53" i="30"/>
  <c r="X72" i="30"/>
  <c r="X84" i="30"/>
  <c r="AE98" i="30"/>
  <c r="AE79" i="30"/>
  <c r="AW37" i="30"/>
  <c r="AW38" i="30"/>
  <c r="P117" i="23"/>
  <c r="P130" i="23"/>
  <c r="BC41" i="30"/>
  <c r="BC42" i="30"/>
  <c r="BC96" i="30"/>
  <c r="BC136" i="30"/>
  <c r="BW133" i="4"/>
  <c r="BW144" i="4"/>
  <c r="BW169" i="4"/>
  <c r="BE53" i="30"/>
  <c r="BE64" i="30"/>
  <c r="Z101" i="23"/>
  <c r="Z129" i="23"/>
  <c r="AT126" i="4"/>
  <c r="AQ111" i="30"/>
  <c r="AQ121" i="23"/>
  <c r="M185" i="4"/>
  <c r="M133" i="4"/>
  <c r="M144" i="4"/>
  <c r="M151" i="4"/>
  <c r="M161" i="4"/>
  <c r="M163" i="4"/>
  <c r="AO45" i="30"/>
  <c r="BI124" i="23"/>
  <c r="BI70" i="23"/>
  <c r="AG118" i="30"/>
  <c r="AG44" i="30"/>
  <c r="AG49" i="30"/>
  <c r="AG63" i="30"/>
  <c r="AG68" i="30"/>
  <c r="AG83" i="30"/>
  <c r="AG87" i="30"/>
  <c r="AG88" i="30"/>
  <c r="AG90" i="30"/>
  <c r="AJ118" i="30"/>
  <c r="AJ90" i="30"/>
  <c r="O35" i="23"/>
  <c r="BB55" i="23"/>
  <c r="BH100" i="30"/>
  <c r="J64" i="23"/>
  <c r="I53" i="30"/>
  <c r="I64" i="30"/>
  <c r="BC53" i="30"/>
  <c r="BC64" i="30"/>
  <c r="AL102" i="23"/>
  <c r="P83" i="23"/>
  <c r="AW189" i="4"/>
  <c r="AW128" i="4"/>
  <c r="AG43" i="23"/>
  <c r="AN162" i="4"/>
  <c r="AN154" i="4"/>
  <c r="AN184" i="4"/>
  <c r="BB37" i="23"/>
  <c r="BB38" i="23"/>
  <c r="G124" i="23"/>
  <c r="G70" i="23"/>
  <c r="AL35" i="23"/>
  <c r="AX128" i="23"/>
  <c r="AX100" i="23"/>
  <c r="BM168" i="4"/>
  <c r="BM143" i="4"/>
  <c r="BM136" i="4"/>
  <c r="AN108" i="23"/>
  <c r="AN88" i="23"/>
  <c r="AN89" i="23"/>
  <c r="M128" i="23"/>
  <c r="M100" i="23"/>
  <c r="AG120" i="4"/>
  <c r="AG103" i="4"/>
  <c r="AJ102" i="23"/>
  <c r="AP137" i="23"/>
  <c r="AP123" i="23"/>
  <c r="AP50" i="23"/>
  <c r="AP53" i="23"/>
  <c r="P58" i="30"/>
  <c r="P76" i="30"/>
  <c r="AK64" i="30"/>
  <c r="S115" i="30"/>
  <c r="S62" i="30"/>
  <c r="G117" i="30"/>
  <c r="G82" i="30"/>
  <c r="AA108" i="23"/>
  <c r="AA89" i="23"/>
  <c r="BC165" i="4"/>
  <c r="BH63" i="23"/>
  <c r="BH74" i="23"/>
  <c r="AM64" i="30"/>
  <c r="AZ98" i="30"/>
  <c r="AZ79" i="30"/>
  <c r="K129" i="23"/>
  <c r="K101" i="23"/>
  <c r="X127" i="23"/>
  <c r="X92" i="23"/>
  <c r="I136" i="30"/>
  <c r="I41" i="30"/>
  <c r="I42" i="30"/>
  <c r="I96" i="30"/>
  <c r="AT124" i="23"/>
  <c r="AT70" i="23"/>
  <c r="BG27" i="30"/>
  <c r="BG95" i="30"/>
  <c r="BG135" i="30"/>
  <c r="BG137" i="30"/>
  <c r="BG99" i="30"/>
  <c r="BG89" i="30"/>
  <c r="AQ55" i="30"/>
  <c r="AQ74" i="30"/>
  <c r="T83" i="23"/>
  <c r="AB125" i="23"/>
  <c r="AB72" i="23"/>
  <c r="R173" i="4"/>
  <c r="R168" i="4"/>
  <c r="R143" i="4"/>
  <c r="R136" i="4"/>
  <c r="G122" i="23"/>
  <c r="G112" i="30"/>
  <c r="N55" i="23"/>
  <c r="Q137" i="23"/>
  <c r="Q123" i="23"/>
  <c r="Q53" i="23"/>
  <c r="Q50" i="23"/>
  <c r="E91" i="4"/>
  <c r="M50" i="23"/>
  <c r="M53" i="23"/>
  <c r="M123" i="23"/>
  <c r="M137" i="23"/>
  <c r="BG48" i="23"/>
  <c r="BD73" i="30"/>
  <c r="AK53" i="30"/>
  <c r="AK72" i="30"/>
  <c r="AK84" i="30"/>
  <c r="BE94" i="23"/>
  <c r="BE82" i="23"/>
  <c r="AX127" i="30"/>
  <c r="AX113" i="30"/>
  <c r="AX43" i="30"/>
  <c r="BH109" i="23"/>
  <c r="BH99" i="23"/>
  <c r="AG120" i="30"/>
  <c r="M127" i="30"/>
  <c r="M113" i="30"/>
  <c r="M43" i="30"/>
  <c r="O128" i="23"/>
  <c r="O100" i="23"/>
  <c r="F28" i="23"/>
  <c r="AU102" i="4"/>
  <c r="AU103" i="4"/>
  <c r="AU120" i="4"/>
  <c r="AT38" i="23"/>
  <c r="BH120" i="30"/>
  <c r="W92" i="30"/>
  <c r="S39" i="23"/>
  <c r="S66" i="23"/>
  <c r="S85" i="23"/>
  <c r="V35" i="23"/>
  <c r="G119" i="30"/>
  <c r="G91" i="30"/>
  <c r="AW98" i="30"/>
  <c r="AW79" i="30"/>
  <c r="AG162" i="4"/>
  <c r="AG154" i="4"/>
  <c r="AG184" i="4"/>
  <c r="AA37" i="23"/>
  <c r="AA38" i="23"/>
  <c r="E133" i="4"/>
  <c r="AK107" i="23"/>
  <c r="AK69" i="23"/>
  <c r="W109" i="23"/>
  <c r="W99" i="23"/>
  <c r="BE125" i="23"/>
  <c r="BE72" i="23"/>
  <c r="B122" i="23"/>
  <c r="E122" i="23"/>
  <c r="AQ94" i="23"/>
  <c r="AQ82" i="23"/>
  <c r="AE127" i="23"/>
  <c r="AE92" i="23"/>
  <c r="BE54" i="23"/>
  <c r="BE59" i="23"/>
  <c r="BE73" i="23"/>
  <c r="BE78" i="23"/>
  <c r="BE93" i="23"/>
  <c r="BE102" i="23"/>
  <c r="F146" i="23"/>
  <c r="F106" i="23"/>
  <c r="F41" i="23"/>
  <c r="X38" i="23"/>
  <c r="AQ92" i="30"/>
  <c r="R118" i="30"/>
  <c r="R90" i="30"/>
  <c r="AL108" i="23"/>
  <c r="AL89" i="23"/>
  <c r="BK98" i="30"/>
  <c r="BK79" i="30"/>
  <c r="AV128" i="23"/>
  <c r="AV100" i="23"/>
  <c r="N48" i="23"/>
  <c r="AC45" i="30"/>
  <c r="AI110" i="23"/>
  <c r="I64" i="23"/>
  <c r="AZ107" i="30"/>
  <c r="AZ120" i="30"/>
  <c r="AI102" i="4"/>
  <c r="AI128" i="4"/>
  <c r="AI189" i="4"/>
  <c r="T127" i="4"/>
  <c r="T188" i="4"/>
  <c r="T190" i="4"/>
  <c r="AT99" i="30"/>
  <c r="AT89" i="30"/>
  <c r="AM90" i="30"/>
  <c r="AM118" i="30"/>
  <c r="X51" i="23"/>
  <c r="D125" i="23"/>
  <c r="B125" i="23"/>
  <c r="AK99" i="30"/>
  <c r="AK89" i="30"/>
  <c r="AE99" i="30"/>
  <c r="AE89" i="30"/>
  <c r="S127" i="23"/>
  <c r="S92" i="23"/>
  <c r="K98" i="30"/>
  <c r="K78" i="30"/>
  <c r="K79" i="30"/>
  <c r="O178" i="4"/>
  <c r="AF137" i="30"/>
  <c r="AF135" i="30"/>
  <c r="AS99" i="30"/>
  <c r="AS89" i="30"/>
  <c r="B43" i="23"/>
  <c r="D43" i="23"/>
  <c r="BG116" i="30"/>
  <c r="BG80" i="30"/>
  <c r="BK117" i="30"/>
  <c r="BK78" i="30"/>
  <c r="BK82" i="30"/>
  <c r="M27" i="30"/>
  <c r="M95" i="30"/>
  <c r="M100" i="30"/>
  <c r="AZ97" i="30"/>
  <c r="AZ59" i="30"/>
  <c r="G114" i="30"/>
  <c r="G60" i="30"/>
  <c r="AC94" i="23"/>
  <c r="AC82" i="23"/>
  <c r="AS137" i="30"/>
  <c r="AS135" i="30"/>
  <c r="H119" i="30"/>
  <c r="H91" i="30"/>
  <c r="E151" i="4"/>
  <c r="AK128" i="23"/>
  <c r="AK100" i="23"/>
  <c r="AY41" i="30"/>
  <c r="AY42" i="30"/>
  <c r="AY43" i="30"/>
  <c r="AY113" i="30"/>
  <c r="AY127" i="30"/>
  <c r="Q129" i="23"/>
  <c r="Q101" i="23"/>
  <c r="AA35" i="30"/>
  <c r="K102" i="23"/>
  <c r="AE169" i="4"/>
  <c r="BT170" i="4"/>
  <c r="BT177" i="4"/>
  <c r="BT178" i="4"/>
  <c r="K136" i="30"/>
  <c r="K41" i="30"/>
  <c r="K42" i="30"/>
  <c r="K96" i="30"/>
  <c r="BA138" i="23"/>
  <c r="BA136" i="23"/>
  <c r="BJ107" i="23"/>
  <c r="BJ69" i="23"/>
  <c r="AT109" i="23"/>
  <c r="AT99" i="23"/>
  <c r="AK173" i="4"/>
  <c r="AK168" i="4"/>
  <c r="AK143" i="4"/>
  <c r="AK136" i="4"/>
  <c r="N108" i="23"/>
  <c r="N89" i="23"/>
  <c r="N83" i="23"/>
  <c r="AV83" i="23"/>
  <c r="AS138" i="23"/>
  <c r="AS136" i="23"/>
  <c r="B48" i="23"/>
  <c r="E48" i="23"/>
  <c r="AO107" i="30"/>
  <c r="AO120" i="30"/>
  <c r="AS129" i="23"/>
  <c r="AS101" i="23"/>
  <c r="AR119" i="30"/>
  <c r="AR91" i="30"/>
  <c r="BJ124" i="23"/>
  <c r="BJ70" i="23"/>
  <c r="K64" i="23"/>
  <c r="O54" i="30"/>
  <c r="AR35" i="30"/>
  <c r="AS107" i="30"/>
  <c r="AS126" i="30"/>
  <c r="AS128" i="30"/>
  <c r="AK51" i="23"/>
  <c r="BA117" i="23"/>
  <c r="BA130" i="23"/>
  <c r="AI138" i="23"/>
  <c r="AI136" i="23"/>
  <c r="T100" i="30"/>
  <c r="AJ129" i="23"/>
  <c r="AJ101" i="23"/>
  <c r="AK43" i="30"/>
  <c r="AK113" i="30"/>
  <c r="AK127" i="30"/>
  <c r="BC55" i="23"/>
  <c r="Q127" i="30"/>
  <c r="Q113" i="30"/>
  <c r="Q41" i="30"/>
  <c r="Q42" i="30"/>
  <c r="Q43" i="30"/>
  <c r="W138" i="23"/>
  <c r="W136" i="23"/>
  <c r="U121" i="23"/>
  <c r="X126" i="4"/>
  <c r="U111" i="30"/>
  <c r="L126" i="23"/>
  <c r="L90" i="23"/>
  <c r="BA99" i="30"/>
  <c r="BA89" i="30"/>
  <c r="AO92" i="30"/>
  <c r="BH27" i="30"/>
  <c r="BH95" i="30"/>
  <c r="BH135" i="30"/>
  <c r="BH137" i="30"/>
  <c r="AD189" i="4"/>
  <c r="AD128" i="4"/>
  <c r="AB173" i="4"/>
  <c r="AB136" i="4"/>
  <c r="AB143" i="4"/>
  <c r="AB168" i="4"/>
  <c r="BB126" i="4"/>
  <c r="AY111" i="30"/>
  <c r="AY121" i="23"/>
  <c r="AX190" i="4"/>
  <c r="AX188" i="4"/>
  <c r="AX127" i="4"/>
  <c r="AL184" i="4"/>
  <c r="AL154" i="4"/>
  <c r="AL162" i="4"/>
  <c r="BC43" i="23"/>
  <c r="BC184" i="4"/>
  <c r="BC162" i="4"/>
  <c r="AS162" i="4"/>
  <c r="AS154" i="4"/>
  <c r="AS184" i="4"/>
  <c r="AO98" i="30"/>
  <c r="AO79" i="30"/>
  <c r="O155" i="4"/>
  <c r="O118" i="4"/>
  <c r="O126" i="4"/>
  <c r="BJ76" i="30"/>
  <c r="BG68" i="23"/>
  <c r="BG86" i="23"/>
  <c r="BO163" i="4"/>
  <c r="BO161" i="4"/>
  <c r="AI94" i="23"/>
  <c r="AI82" i="23"/>
  <c r="AW38" i="23"/>
  <c r="AZ74" i="23"/>
  <c r="BI58" i="30"/>
  <c r="BI76" i="30"/>
  <c r="AE94" i="23"/>
  <c r="AE82" i="23"/>
  <c r="AP84" i="23"/>
  <c r="AP65" i="23"/>
  <c r="G100" i="23"/>
  <c r="G128" i="23"/>
  <c r="AE114" i="30"/>
  <c r="AE60" i="30"/>
  <c r="BF129" i="23"/>
  <c r="BF101" i="23"/>
  <c r="W58" i="30"/>
  <c r="W76" i="30"/>
  <c r="W50" i="23"/>
  <c r="W53" i="23"/>
  <c r="W123" i="23"/>
  <c r="W137" i="23"/>
  <c r="AC47" i="23"/>
  <c r="AC55" i="23"/>
  <c r="Q64" i="23"/>
  <c r="I26" i="30"/>
  <c r="I28" i="30"/>
  <c r="I34" i="30"/>
  <c r="I45" i="30"/>
  <c r="BC28" i="30"/>
  <c r="BC34" i="30"/>
  <c r="BC45" i="30"/>
  <c r="T73" i="30"/>
  <c r="BB83" i="23"/>
  <c r="H83" i="23"/>
  <c r="U18" i="30"/>
  <c r="U18" i="23"/>
  <c r="X178" i="4"/>
  <c r="L99" i="30"/>
  <c r="L89" i="30"/>
  <c r="AH47" i="23"/>
  <c r="AH55" i="23"/>
  <c r="AH35" i="30"/>
  <c r="BC110" i="23"/>
  <c r="G88" i="23"/>
  <c r="G90" i="23"/>
  <c r="G126" i="23"/>
  <c r="AV84" i="23"/>
  <c r="AV65" i="23"/>
  <c r="Z55" i="23"/>
  <c r="AE109" i="23"/>
  <c r="AE99" i="23"/>
  <c r="AR64" i="23"/>
  <c r="AL51" i="23"/>
  <c r="AU127" i="30"/>
  <c r="AU113" i="30"/>
  <c r="AU41" i="30"/>
  <c r="AU42" i="30"/>
  <c r="AU43" i="30"/>
  <c r="AS37" i="23"/>
  <c r="AS38" i="23"/>
  <c r="AN84" i="23"/>
  <c r="AN65" i="23"/>
  <c r="Y107" i="30"/>
  <c r="Y120" i="30"/>
  <c r="AS54" i="30"/>
  <c r="AZ85" i="23"/>
  <c r="AZ39" i="23"/>
  <c r="AZ66" i="23"/>
  <c r="BH43" i="23"/>
  <c r="AR97" i="30"/>
  <c r="AR59" i="30"/>
  <c r="AM45" i="30"/>
  <c r="AV109" i="23"/>
  <c r="AV99" i="23"/>
  <c r="BD86" i="23"/>
  <c r="AJ127" i="30"/>
  <c r="AJ41" i="30"/>
  <c r="AJ42" i="30"/>
  <c r="AJ43" i="30"/>
  <c r="AJ113" i="30"/>
  <c r="AC163" i="4"/>
  <c r="AC161" i="4"/>
  <c r="AC185" i="4"/>
  <c r="BI136" i="4"/>
  <c r="BI143" i="4"/>
  <c r="BI168" i="4"/>
  <c r="AR120" i="30"/>
  <c r="AM97" i="30"/>
  <c r="AM59" i="30"/>
  <c r="G35" i="23"/>
  <c r="R151" i="4"/>
  <c r="R165" i="4"/>
  <c r="AC120" i="4"/>
  <c r="AC103" i="4"/>
  <c r="AK189" i="4"/>
  <c r="AK128" i="4"/>
  <c r="AT138" i="23"/>
  <c r="AT136" i="23"/>
  <c r="AH92" i="30"/>
  <c r="AQ82" i="30"/>
  <c r="AQ117" i="30"/>
  <c r="BG92" i="30"/>
  <c r="T126" i="23"/>
  <c r="T90" i="23"/>
  <c r="J98" i="30"/>
  <c r="J79" i="30"/>
  <c r="L129" i="23"/>
  <c r="L101" i="23"/>
  <c r="AT74" i="30"/>
  <c r="AT55" i="30"/>
  <c r="AN129" i="23"/>
  <c r="AN101" i="23"/>
  <c r="AP137" i="30"/>
  <c r="AP135" i="30"/>
  <c r="AC105" i="23"/>
  <c r="AC110" i="23"/>
  <c r="AO115" i="30"/>
  <c r="AO62" i="30"/>
  <c r="AS169" i="4"/>
  <c r="K92" i="30"/>
  <c r="AN74" i="30"/>
  <c r="AN55" i="30"/>
  <c r="AX118" i="30"/>
  <c r="AX90" i="30"/>
  <c r="V92" i="30"/>
  <c r="BE64" i="23"/>
  <c r="BZ178" i="4"/>
  <c r="BZ154" i="4"/>
  <c r="BZ170" i="4"/>
  <c r="BZ177" i="4"/>
  <c r="AW87" i="30"/>
  <c r="AW88" i="30"/>
  <c r="AW91" i="30"/>
  <c r="AW119" i="30"/>
  <c r="H28" i="23"/>
  <c r="BH107" i="30"/>
  <c r="BH126" i="30"/>
  <c r="BH128" i="30"/>
  <c r="BE35" i="23"/>
  <c r="BG118" i="30"/>
  <c r="BG44" i="30"/>
  <c r="BG49" i="30"/>
  <c r="BG63" i="30"/>
  <c r="BG68" i="30"/>
  <c r="BG83" i="30"/>
  <c r="BG87" i="30"/>
  <c r="BG88" i="30"/>
  <c r="BG90" i="30"/>
  <c r="E176" i="4"/>
  <c r="BE114" i="30"/>
  <c r="BE60" i="30"/>
  <c r="BA127" i="23"/>
  <c r="BA92" i="23"/>
  <c r="M107" i="23"/>
  <c r="M69" i="23"/>
  <c r="AX55" i="23"/>
  <c r="BI169" i="4"/>
  <c r="AU102" i="23"/>
  <c r="P137" i="23"/>
  <c r="P123" i="23"/>
  <c r="P53" i="23"/>
  <c r="P50" i="23"/>
  <c r="AZ84" i="30"/>
  <c r="AZ72" i="30"/>
  <c r="AI84" i="30"/>
  <c r="AI72" i="30"/>
  <c r="AL91" i="30"/>
  <c r="AL119" i="30"/>
  <c r="E93" i="4"/>
  <c r="T120" i="30"/>
  <c r="AO165" i="4"/>
  <c r="BL74" i="30"/>
  <c r="BL55" i="30"/>
  <c r="AB84" i="23"/>
  <c r="AB65" i="23"/>
  <c r="AA120" i="4"/>
  <c r="AA103" i="4"/>
  <c r="AR55" i="23"/>
  <c r="BL117" i="30"/>
  <c r="BL82" i="30"/>
  <c r="S169" i="4"/>
  <c r="E123" i="4"/>
  <c r="E113" i="4"/>
  <c r="N26" i="5"/>
  <c r="AT80" i="30"/>
  <c r="AT116" i="30"/>
  <c r="BD128" i="30"/>
  <c r="BD126" i="30"/>
  <c r="AI105" i="23"/>
  <c r="AI145" i="23"/>
  <c r="AI147" i="23"/>
  <c r="K114" i="30"/>
  <c r="K60" i="30"/>
  <c r="AG127" i="23"/>
  <c r="AG92" i="23"/>
  <c r="AK127" i="23"/>
  <c r="AK92" i="23"/>
  <c r="AS64" i="23"/>
  <c r="Z124" i="23"/>
  <c r="Z70" i="23"/>
  <c r="AC38" i="23"/>
  <c r="AJ108" i="23"/>
  <c r="AJ89" i="23"/>
  <c r="BB64" i="23"/>
  <c r="AD108" i="23"/>
  <c r="AD89" i="23"/>
  <c r="C193" i="4"/>
  <c r="C192" i="4"/>
  <c r="E186" i="4"/>
  <c r="K128" i="30"/>
  <c r="K126" i="30"/>
  <c r="Z114" i="30"/>
  <c r="Z60" i="30"/>
  <c r="P147" i="23"/>
  <c r="P145" i="23"/>
  <c r="J137" i="23"/>
  <c r="J123" i="23"/>
  <c r="J53" i="23"/>
  <c r="J50" i="23"/>
  <c r="AJ125" i="23"/>
  <c r="AJ72" i="23"/>
  <c r="AD94" i="23"/>
  <c r="AD82" i="23"/>
  <c r="AE27" i="30"/>
  <c r="AE95" i="30"/>
  <c r="AE100" i="30"/>
  <c r="AW35" i="23"/>
  <c r="AI120" i="30"/>
  <c r="N27" i="30"/>
  <c r="N95" i="30"/>
  <c r="N100" i="30"/>
  <c r="BC47" i="23"/>
  <c r="BC117" i="23"/>
  <c r="BC130" i="23"/>
  <c r="P124" i="23"/>
  <c r="P70" i="23"/>
  <c r="H55" i="23"/>
  <c r="T43" i="23"/>
  <c r="Y162" i="4"/>
  <c r="Y154" i="4"/>
  <c r="Y184" i="4"/>
  <c r="U47" i="23"/>
  <c r="U117" i="23"/>
  <c r="U136" i="23"/>
  <c r="U138" i="23"/>
  <c r="AK41" i="30"/>
  <c r="AK42" i="30"/>
  <c r="AK96" i="30"/>
  <c r="AK136" i="30"/>
  <c r="AS117" i="23"/>
  <c r="AS130" i="23"/>
  <c r="AU178" i="4"/>
  <c r="AR18" i="30"/>
  <c r="AR18" i="23"/>
  <c r="AF50" i="23"/>
  <c r="AF53" i="23"/>
  <c r="AF123" i="23"/>
  <c r="AF137" i="23"/>
  <c r="BG129" i="23"/>
  <c r="BG101" i="23"/>
  <c r="M117" i="23"/>
  <c r="M136" i="23"/>
  <c r="M138" i="23"/>
  <c r="J84" i="23"/>
  <c r="J65" i="23"/>
  <c r="L137" i="30"/>
  <c r="L135" i="30"/>
  <c r="L125" i="23"/>
  <c r="L72" i="23"/>
  <c r="G16" i="5"/>
  <c r="J33" i="1"/>
  <c r="E16" i="5"/>
  <c r="C16" i="5"/>
  <c r="F16" i="5"/>
  <c r="BJ73" i="30"/>
  <c r="W51" i="23"/>
  <c r="AJ128" i="30"/>
  <c r="AJ126" i="30"/>
  <c r="AE136" i="4"/>
  <c r="AE143" i="4"/>
  <c r="AE168" i="4"/>
  <c r="AE173" i="4"/>
  <c r="AY73" i="30"/>
  <c r="Z64" i="23"/>
  <c r="AM162" i="4"/>
  <c r="AM154" i="4"/>
  <c r="AM184" i="4"/>
  <c r="O8" i="30"/>
  <c r="A138" i="30"/>
  <c r="J184" i="4"/>
  <c r="J162" i="4"/>
  <c r="AY125" i="23"/>
  <c r="AY72" i="23"/>
  <c r="AJ45" i="30"/>
  <c r="AX119" i="30"/>
  <c r="AX91" i="30"/>
  <c r="M76" i="30"/>
  <c r="AJ109" i="23"/>
  <c r="AJ54" i="23"/>
  <c r="AJ59" i="23"/>
  <c r="AJ73" i="23"/>
  <c r="AJ78" i="23"/>
  <c r="AJ93" i="23"/>
  <c r="AJ97" i="23"/>
  <c r="AJ98" i="23"/>
  <c r="AJ99" i="23"/>
  <c r="T27" i="30"/>
  <c r="T95" i="30"/>
  <c r="T135" i="30"/>
  <c r="T137" i="30"/>
  <c r="AA63" i="23"/>
  <c r="AA74" i="23"/>
  <c r="Z173" i="4"/>
  <c r="Z136" i="4"/>
  <c r="Z143" i="4"/>
  <c r="Z168" i="4"/>
  <c r="AU138" i="23"/>
  <c r="AU136" i="23"/>
  <c r="AU64" i="23"/>
  <c r="BA94" i="23"/>
  <c r="BA82" i="23"/>
  <c r="BA107" i="23"/>
  <c r="BA69" i="23"/>
  <c r="AC37" i="30"/>
  <c r="AC41" i="30"/>
  <c r="AC42" i="30"/>
  <c r="AC43" i="30"/>
  <c r="AC113" i="30"/>
  <c r="AC127" i="30"/>
  <c r="AE38" i="23"/>
  <c r="Y107" i="23"/>
  <c r="Y69" i="23"/>
  <c r="AV43" i="23"/>
  <c r="E165" i="4"/>
  <c r="G165" i="4"/>
  <c r="B165" i="4"/>
  <c r="B130" i="23"/>
  <c r="A131" i="23"/>
  <c r="D130" i="23"/>
  <c r="A132" i="23"/>
  <c r="BJ50" i="23"/>
  <c r="BJ53" i="23"/>
  <c r="BJ123" i="23"/>
  <c r="BJ137" i="23"/>
  <c r="AZ73" i="30"/>
  <c r="AC73" i="30"/>
  <c r="BG63" i="23"/>
  <c r="BG74" i="23"/>
  <c r="AZ64" i="23"/>
  <c r="F126" i="23"/>
  <c r="F90" i="23"/>
  <c r="BJ102" i="23"/>
  <c r="I125" i="23"/>
  <c r="I72" i="23"/>
  <c r="M35" i="23"/>
  <c r="BE18" i="23"/>
  <c r="BH178" i="4"/>
  <c r="BE18" i="30"/>
  <c r="BH86" i="23"/>
  <c r="AA26" i="30"/>
  <c r="AA28" i="30"/>
  <c r="AA34" i="30"/>
  <c r="AA53" i="30"/>
  <c r="AA72" i="30"/>
  <c r="AA84" i="30"/>
  <c r="Y84" i="30"/>
  <c r="Y72" i="30"/>
  <c r="BD37" i="23"/>
  <c r="BD41" i="23"/>
  <c r="BD106" i="23"/>
  <c r="BD146" i="23"/>
  <c r="V48" i="23"/>
  <c r="BJ96" i="30"/>
  <c r="BJ136" i="30"/>
  <c r="M47" i="23"/>
  <c r="M55" i="23"/>
  <c r="AG96" i="30"/>
  <c r="AG136" i="30"/>
  <c r="T118" i="30"/>
  <c r="T90" i="30"/>
  <c r="M48" i="23"/>
  <c r="F107" i="23"/>
  <c r="F69" i="23"/>
  <c r="AS132" i="4"/>
  <c r="Z94" i="23"/>
  <c r="Z82" i="23"/>
  <c r="R64" i="23"/>
  <c r="J73" i="30"/>
  <c r="AN51" i="23"/>
  <c r="AR73" i="30"/>
  <c r="I83" i="23"/>
  <c r="BJ54" i="30"/>
  <c r="AI35" i="30"/>
  <c r="AE185" i="4"/>
  <c r="AE133" i="4"/>
  <c r="AE144" i="4"/>
  <c r="AE151" i="4"/>
  <c r="AE161" i="4"/>
  <c r="AE163" i="4"/>
  <c r="B34" i="23"/>
  <c r="J129" i="23"/>
  <c r="J54" i="23"/>
  <c r="J59" i="23"/>
  <c r="J73" i="23"/>
  <c r="J78" i="23"/>
  <c r="J93" i="23"/>
  <c r="J97" i="23"/>
  <c r="J98" i="23"/>
  <c r="J101" i="23"/>
  <c r="BE54" i="30"/>
  <c r="T76" i="30"/>
  <c r="BA117" i="30"/>
  <c r="BA82" i="30"/>
  <c r="AZ178" i="4"/>
  <c r="AW18" i="30"/>
  <c r="AW18" i="23"/>
  <c r="B47" i="23"/>
  <c r="AK87" i="30"/>
  <c r="AK88" i="30"/>
  <c r="AK90" i="30"/>
  <c r="AK118" i="30"/>
  <c r="AD47" i="23"/>
  <c r="AD55" i="23"/>
  <c r="O98" i="30"/>
  <c r="O79" i="30"/>
  <c r="B78" i="23"/>
  <c r="BE38" i="30"/>
  <c r="AI99" i="23"/>
  <c r="AI109" i="23"/>
  <c r="BU127" i="4"/>
  <c r="BU188" i="4"/>
  <c r="BU190" i="4"/>
  <c r="AU39" i="23"/>
  <c r="AU66" i="23"/>
  <c r="AU85" i="23"/>
  <c r="AT76" i="30"/>
  <c r="BG54" i="23"/>
  <c r="BG59" i="23"/>
  <c r="BG73" i="23"/>
  <c r="BG78" i="23"/>
  <c r="BG93" i="23"/>
  <c r="BG97" i="23"/>
  <c r="BG98" i="23"/>
  <c r="BG99" i="23"/>
  <c r="BG109" i="23"/>
  <c r="AK39" i="23"/>
  <c r="AK66" i="23"/>
  <c r="AK85" i="23"/>
  <c r="L114" i="30"/>
  <c r="L60" i="30"/>
  <c r="AF51" i="23"/>
  <c r="AB114" i="30"/>
  <c r="AB60" i="30"/>
  <c r="X88" i="23"/>
  <c r="X90" i="23"/>
  <c r="X126" i="23"/>
  <c r="AL125" i="23"/>
  <c r="AL72" i="23"/>
  <c r="X165" i="4"/>
  <c r="P41" i="23"/>
  <c r="P106" i="23"/>
  <c r="P146" i="23"/>
  <c r="AT64" i="23"/>
  <c r="X64" i="23"/>
  <c r="R43" i="30"/>
  <c r="R113" i="30"/>
  <c r="R127" i="30"/>
  <c r="U54" i="30"/>
  <c r="AG54" i="30"/>
  <c r="P43" i="23"/>
  <c r="AC125" i="23"/>
  <c r="AC72" i="23"/>
  <c r="AK54" i="30"/>
  <c r="AT83" i="23"/>
  <c r="W83" i="23"/>
  <c r="Y35" i="30"/>
  <c r="BB107" i="30"/>
  <c r="BB126" i="30"/>
  <c r="BB128" i="30"/>
  <c r="AU73" i="30"/>
  <c r="AY35" i="30"/>
  <c r="K107" i="23"/>
  <c r="K69" i="23"/>
  <c r="BC105" i="23"/>
  <c r="BC145" i="23"/>
  <c r="BC147" i="23"/>
  <c r="BJ117" i="30"/>
  <c r="BJ82" i="30"/>
  <c r="M84" i="23"/>
  <c r="M65" i="23"/>
  <c r="B121" i="23"/>
  <c r="S121" i="23"/>
  <c r="A133" i="23"/>
  <c r="T35" i="23"/>
  <c r="E129" i="4"/>
  <c r="T18" i="1"/>
  <c r="AL27" i="30"/>
  <c r="AL95" i="30"/>
  <c r="AL100" i="30"/>
  <c r="AD84" i="23"/>
  <c r="AD65" i="23"/>
  <c r="AI126" i="4"/>
  <c r="AF111" i="30"/>
  <c r="AF121" i="23"/>
  <c r="Q128" i="30"/>
  <c r="Q126" i="30"/>
  <c r="C19" i="23"/>
  <c r="AE107" i="30"/>
  <c r="AE126" i="30"/>
  <c r="AE128" i="30"/>
  <c r="P47" i="23"/>
  <c r="P55" i="23"/>
  <c r="BL63" i="23"/>
  <c r="BL74" i="23"/>
  <c r="BJ74" i="30"/>
  <c r="BJ55" i="30"/>
  <c r="AY54" i="23"/>
  <c r="AY59" i="23"/>
  <c r="AY73" i="23"/>
  <c r="AY78" i="23"/>
  <c r="AY93" i="23"/>
  <c r="AY102" i="23"/>
  <c r="AN64" i="23"/>
  <c r="AY158" i="4"/>
  <c r="BG41" i="30"/>
  <c r="BG42" i="30"/>
  <c r="BG96" i="30"/>
  <c r="BG136" i="30"/>
  <c r="BL71" i="23"/>
  <c r="B115" i="30"/>
  <c r="D115" i="30"/>
  <c r="N117" i="30"/>
  <c r="N82" i="30"/>
  <c r="Q98" i="30"/>
  <c r="Q79" i="30"/>
  <c r="E70" i="23"/>
  <c r="E124" i="23"/>
  <c r="B124" i="23"/>
  <c r="Z126" i="23"/>
  <c r="Z88" i="23"/>
  <c r="Z90" i="23"/>
  <c r="CA184" i="4"/>
  <c r="CA154" i="4"/>
  <c r="CA162" i="4"/>
  <c r="BD72" i="23"/>
  <c r="BD125" i="23"/>
  <c r="BJ147" i="23"/>
  <c r="BJ145" i="23"/>
  <c r="C123" i="4"/>
  <c r="C113" i="4"/>
  <c r="AR83" i="23"/>
  <c r="AR107" i="30"/>
  <c r="AR126" i="30"/>
  <c r="AR128" i="30"/>
  <c r="AN47" i="23"/>
  <c r="AN55" i="23"/>
  <c r="R133" i="4"/>
  <c r="R144" i="4"/>
  <c r="R169" i="4"/>
  <c r="AJ111" i="30"/>
  <c r="AJ121" i="23"/>
  <c r="AM126" i="4"/>
  <c r="AX138" i="23"/>
  <c r="AX136" i="23"/>
  <c r="AK48" i="23"/>
  <c r="I73" i="30"/>
  <c r="W126" i="23"/>
  <c r="W90" i="23"/>
  <c r="BA136" i="4"/>
  <c r="BA143" i="4"/>
  <c r="BA168" i="4"/>
  <c r="BA173" i="4"/>
  <c r="AV48" i="23"/>
  <c r="BH114" i="30"/>
  <c r="BH60" i="30"/>
  <c r="AG107" i="30"/>
  <c r="AG126" i="30"/>
  <c r="AG128" i="30"/>
  <c r="R74" i="30"/>
  <c r="R55" i="30"/>
  <c r="AR111" i="30"/>
  <c r="AR121" i="23"/>
  <c r="AU126" i="4"/>
  <c r="AR45" i="30"/>
  <c r="Y41" i="23"/>
  <c r="Y106" i="23"/>
  <c r="Y146" i="23"/>
  <c r="AZ18" i="30"/>
  <c r="AZ18" i="23"/>
  <c r="BC178" i="4"/>
  <c r="AH84" i="30"/>
  <c r="AH72" i="30"/>
  <c r="AI55" i="23"/>
  <c r="N107" i="23"/>
  <c r="N69" i="23"/>
  <c r="AM125" i="23"/>
  <c r="AM72" i="23"/>
  <c r="BB98" i="30"/>
  <c r="BB79" i="30"/>
  <c r="F147" i="23"/>
  <c r="F145" i="23"/>
  <c r="G161" i="4"/>
  <c r="E161" i="4"/>
  <c r="T107" i="30"/>
  <c r="T126" i="30"/>
  <c r="T128" i="30"/>
  <c r="AZ75" i="30"/>
  <c r="AZ56" i="30"/>
  <c r="AZ39" i="30"/>
  <c r="AW107" i="30"/>
  <c r="AW126" i="30"/>
  <c r="AW128" i="30"/>
  <c r="AY74" i="23"/>
  <c r="H126" i="4"/>
  <c r="E126" i="4"/>
  <c r="T19" i="1"/>
  <c r="BZ127" i="4"/>
  <c r="BZ188" i="4"/>
  <c r="BZ190" i="4"/>
  <c r="A92" i="23"/>
  <c r="AZ53" i="30"/>
  <c r="AZ64" i="30"/>
  <c r="AF129" i="23"/>
  <c r="AF101" i="23"/>
  <c r="AO73" i="30"/>
  <c r="BG42" i="23"/>
  <c r="BG51" i="23"/>
  <c r="F128" i="23"/>
  <c r="F100" i="23"/>
  <c r="BH163" i="4"/>
  <c r="BH161" i="4"/>
  <c r="Z87" i="30"/>
  <c r="Z88" i="30"/>
  <c r="Z90" i="30"/>
  <c r="Z118" i="30"/>
  <c r="I115" i="30"/>
  <c r="I62" i="30"/>
  <c r="AV39" i="30"/>
  <c r="AV56" i="30"/>
  <c r="AV75" i="30"/>
  <c r="F74" i="23"/>
  <c r="X83" i="23"/>
  <c r="AO185" i="4"/>
  <c r="AO151" i="4"/>
  <c r="AO161" i="4"/>
  <c r="AO163" i="4"/>
  <c r="AB127" i="4"/>
  <c r="AB188" i="4"/>
  <c r="AB190" i="4"/>
  <c r="AQ147" i="23"/>
  <c r="AQ145" i="23"/>
  <c r="BH78" i="30"/>
  <c r="BH80" i="30"/>
  <c r="BH116" i="30"/>
  <c r="M129" i="23"/>
  <c r="M101" i="23"/>
  <c r="X37" i="23"/>
  <c r="X41" i="23"/>
  <c r="X106" i="23"/>
  <c r="X146" i="23"/>
  <c r="M83" i="23"/>
  <c r="R122" i="23"/>
  <c r="R112" i="30"/>
  <c r="AT107" i="30"/>
  <c r="AT120" i="30"/>
  <c r="O43" i="23"/>
  <c r="AO117" i="30"/>
  <c r="AO82" i="30"/>
  <c r="AQ107" i="30"/>
  <c r="AQ126" i="30"/>
  <c r="AQ128" i="30"/>
  <c r="BA100" i="30"/>
  <c r="Z125" i="23"/>
  <c r="Z72" i="23"/>
  <c r="AV73" i="30"/>
  <c r="L38" i="30"/>
  <c r="Q169" i="4"/>
  <c r="R53" i="30"/>
  <c r="R64" i="30"/>
  <c r="AC65" i="23"/>
  <c r="AC84" i="23"/>
  <c r="AU136" i="4"/>
  <c r="AU143" i="4"/>
  <c r="AU168" i="4"/>
  <c r="AU173" i="4"/>
  <c r="AW114" i="30"/>
  <c r="AW60" i="30"/>
  <c r="AF94" i="23"/>
  <c r="AF82" i="23"/>
  <c r="H117" i="30"/>
  <c r="H82" i="30"/>
  <c r="AC83" i="23"/>
  <c r="BF84" i="23"/>
  <c r="BF65" i="23"/>
  <c r="AS103" i="4"/>
  <c r="AS120" i="4"/>
  <c r="W42" i="23"/>
  <c r="W54" i="23"/>
  <c r="W59" i="23"/>
  <c r="W73" i="23"/>
  <c r="W78" i="23"/>
  <c r="W93" i="23"/>
  <c r="W97" i="23"/>
  <c r="W98" i="23"/>
  <c r="W100" i="23"/>
  <c r="W128" i="23"/>
  <c r="H190" i="4"/>
  <c r="C191" i="4"/>
  <c r="AK73" i="30"/>
  <c r="AP119" i="30"/>
  <c r="AP91" i="30"/>
  <c r="U169" i="4"/>
  <c r="R97" i="30"/>
  <c r="R59" i="30"/>
  <c r="AY105" i="23"/>
  <c r="AY110" i="23"/>
  <c r="AM54" i="30"/>
  <c r="BD83" i="23"/>
  <c r="AH83" i="23"/>
  <c r="H35" i="30"/>
  <c r="BH54" i="30"/>
  <c r="AP43" i="23"/>
  <c r="BA119" i="30"/>
  <c r="BA87" i="30"/>
  <c r="BA88" i="30"/>
  <c r="BA91" i="30"/>
  <c r="O100" i="30"/>
  <c r="AN127" i="4"/>
  <c r="AN188" i="4"/>
  <c r="AN190" i="4"/>
  <c r="AK94" i="23"/>
  <c r="AK82" i="23"/>
  <c r="BJ36" i="30"/>
  <c r="BJ40" i="30"/>
  <c r="BK33" i="30"/>
  <c r="BK36" i="30"/>
  <c r="BK40" i="30"/>
  <c r="BL33" i="30"/>
  <c r="BL35" i="30"/>
  <c r="L127" i="23"/>
  <c r="L88" i="23"/>
  <c r="L92" i="23"/>
  <c r="Y35" i="23"/>
  <c r="AL124" i="23"/>
  <c r="AL70" i="23"/>
  <c r="AF127" i="4"/>
  <c r="AF188" i="4"/>
  <c r="AF190" i="4"/>
  <c r="BT162" i="4"/>
  <c r="BT154" i="4"/>
  <c r="BT184" i="4"/>
  <c r="AB98" i="30"/>
  <c r="AB79" i="30"/>
  <c r="R129" i="23"/>
  <c r="R97" i="23"/>
  <c r="R98" i="23"/>
  <c r="R101" i="23"/>
  <c r="AX115" i="30"/>
  <c r="AX62" i="30"/>
  <c r="AN110" i="23"/>
  <c r="BU163" i="4"/>
  <c r="BU161" i="4"/>
  <c r="I43" i="23"/>
  <c r="AZ92" i="30"/>
  <c r="W146" i="23"/>
  <c r="W106" i="23"/>
  <c r="W41" i="23"/>
  <c r="N178" i="4"/>
  <c r="X121" i="23"/>
  <c r="X111" i="30"/>
  <c r="AA126" i="4"/>
  <c r="J58" i="30"/>
  <c r="J60" i="30"/>
  <c r="J114" i="30"/>
  <c r="AU43" i="23"/>
  <c r="Z158" i="4"/>
  <c r="AJ55" i="23"/>
  <c r="AX84" i="23"/>
  <c r="AX65" i="23"/>
  <c r="BD99" i="30"/>
  <c r="BD89" i="30"/>
  <c r="AG107" i="23"/>
  <c r="AG69" i="23"/>
  <c r="AV138" i="23"/>
  <c r="AV136" i="23"/>
  <c r="AC48" i="23"/>
  <c r="T99" i="30"/>
  <c r="T87" i="30"/>
  <c r="T88" i="30"/>
  <c r="T89" i="30"/>
  <c r="AG173" i="4"/>
  <c r="AG168" i="4"/>
  <c r="AG143" i="4"/>
  <c r="AG136" i="4"/>
  <c r="BB102" i="23"/>
  <c r="AW129" i="23"/>
  <c r="AW97" i="23"/>
  <c r="AW98" i="23"/>
  <c r="AW101" i="23"/>
  <c r="AV38" i="30"/>
  <c r="J185" i="4"/>
  <c r="J144" i="4"/>
  <c r="J151" i="4"/>
  <c r="J161" i="4"/>
  <c r="J163" i="4"/>
  <c r="AX38" i="30"/>
  <c r="I63" i="23"/>
  <c r="I74" i="23"/>
  <c r="AX128" i="30"/>
  <c r="AX126" i="30"/>
  <c r="M10" i="30"/>
  <c r="A131" i="30"/>
  <c r="D127" i="30"/>
  <c r="AU48" i="23"/>
  <c r="I92" i="30"/>
  <c r="BC35" i="23"/>
  <c r="BL52" i="23"/>
  <c r="BL49" i="23"/>
  <c r="AA43" i="23"/>
  <c r="L105" i="23"/>
  <c r="L145" i="23"/>
  <c r="L147" i="23"/>
  <c r="V74" i="30"/>
  <c r="V55" i="30"/>
  <c r="AZ63" i="23"/>
  <c r="AZ82" i="23"/>
  <c r="AZ94" i="23"/>
  <c r="AO189" i="4"/>
  <c r="AO128" i="4"/>
  <c r="U128" i="23"/>
  <c r="U100" i="23"/>
  <c r="AI107" i="30"/>
  <c r="AI126" i="30"/>
  <c r="AI128" i="30"/>
  <c r="H114" i="30"/>
  <c r="H60" i="30"/>
  <c r="M59" i="30"/>
  <c r="M97" i="30"/>
  <c r="AS147" i="23"/>
  <c r="AS145" i="23"/>
  <c r="AL43" i="23"/>
  <c r="AI84" i="23"/>
  <c r="AI65" i="23"/>
  <c r="H26" i="23"/>
  <c r="H47" i="23"/>
  <c r="H117" i="23"/>
  <c r="H130" i="23"/>
  <c r="AT60" i="30"/>
  <c r="AT114" i="30"/>
  <c r="H18" i="23"/>
  <c r="H18" i="30"/>
  <c r="AY27" i="30"/>
  <c r="AY95" i="30"/>
  <c r="AY100" i="30"/>
  <c r="AD115" i="30"/>
  <c r="AD62" i="30"/>
  <c r="AS102" i="23"/>
  <c r="D61" i="16"/>
  <c r="D60" i="16"/>
  <c r="G9" i="30"/>
  <c r="H9" i="30"/>
  <c r="BI39" i="30"/>
  <c r="BI56" i="30"/>
  <c r="BI75" i="30"/>
  <c r="BW155" i="4"/>
  <c r="BW118" i="4"/>
  <c r="BW123" i="4"/>
  <c r="BW127" i="4"/>
  <c r="BW188" i="4"/>
  <c r="BW190" i="4"/>
  <c r="Z38" i="23"/>
  <c r="AN124" i="23"/>
  <c r="AN70" i="23"/>
  <c r="AC115" i="30"/>
  <c r="AC62" i="30"/>
  <c r="AM43" i="23"/>
  <c r="L78" i="30"/>
  <c r="L80" i="30"/>
  <c r="L116" i="30"/>
  <c r="S84" i="23"/>
  <c r="S65" i="23"/>
  <c r="M147" i="23"/>
  <c r="M145" i="23"/>
  <c r="AA64" i="23"/>
  <c r="O114" i="30"/>
  <c r="O60" i="30"/>
  <c r="BF147" i="23"/>
  <c r="BF145" i="23"/>
  <c r="BL137" i="30"/>
  <c r="BL135" i="30"/>
  <c r="J35" i="30"/>
  <c r="BE117" i="30"/>
  <c r="BE82" i="30"/>
  <c r="J138" i="23"/>
  <c r="J136" i="23"/>
  <c r="AT105" i="23"/>
  <c r="AT145" i="23"/>
  <c r="AT147" i="23"/>
  <c r="AI97" i="23"/>
  <c r="AI98" i="23"/>
  <c r="AI101" i="23"/>
  <c r="AI129" i="23"/>
  <c r="O55" i="23"/>
  <c r="F74" i="30"/>
  <c r="F55" i="30"/>
  <c r="BG75" i="30"/>
  <c r="BG56" i="30"/>
  <c r="BG39" i="30"/>
  <c r="AM128" i="30"/>
  <c r="AM126" i="30"/>
  <c r="BI35" i="23"/>
  <c r="K162" i="4"/>
  <c r="K184" i="4"/>
  <c r="BK137" i="23"/>
  <c r="BK123" i="23"/>
  <c r="BK53" i="23"/>
  <c r="BK50" i="23"/>
  <c r="V116" i="30"/>
  <c r="V80" i="30"/>
  <c r="C27" i="30"/>
  <c r="BC109" i="23"/>
  <c r="BC99" i="23"/>
  <c r="W125" i="23"/>
  <c r="W72" i="23"/>
  <c r="AH73" i="30"/>
  <c r="AS27" i="30"/>
  <c r="AS95" i="30"/>
  <c r="AS100" i="30"/>
  <c r="B153" i="23"/>
  <c r="A149" i="23"/>
  <c r="O9" i="23"/>
  <c r="P96" i="30"/>
  <c r="P136" i="30"/>
  <c r="AQ158" i="4"/>
  <c r="AF109" i="23"/>
  <c r="AF97" i="23"/>
  <c r="AF98" i="23"/>
  <c r="AF99" i="23"/>
  <c r="F84" i="23"/>
  <c r="F65" i="23"/>
  <c r="AG108" i="23"/>
  <c r="AG89" i="23"/>
  <c r="AI118" i="30"/>
  <c r="AI90" i="30"/>
  <c r="AN97" i="30"/>
  <c r="AN59" i="30"/>
  <c r="V64" i="23"/>
  <c r="G74" i="30"/>
  <c r="G55" i="30"/>
  <c r="AQ102" i="23"/>
  <c r="AL158" i="4"/>
  <c r="AP130" i="23"/>
  <c r="Y125" i="23"/>
  <c r="Y72" i="23"/>
  <c r="F27" i="30"/>
  <c r="F95" i="30"/>
  <c r="F100" i="30"/>
  <c r="W43" i="23"/>
  <c r="AY64" i="30"/>
  <c r="AQ100" i="23"/>
  <c r="AQ128" i="23"/>
  <c r="BC98" i="30"/>
  <c r="BC79" i="30"/>
  <c r="BI53" i="30"/>
  <c r="BI64" i="30"/>
  <c r="AB41" i="30"/>
  <c r="AB42" i="30"/>
  <c r="AB43" i="30"/>
  <c r="AB113" i="30"/>
  <c r="AB127" i="30"/>
  <c r="BD126" i="23"/>
  <c r="BD90" i="23"/>
  <c r="AM41" i="30"/>
  <c r="AM42" i="30"/>
  <c r="AM43" i="30"/>
  <c r="AM113" i="30"/>
  <c r="AM127" i="30"/>
  <c r="O27" i="30"/>
  <c r="O95" i="30"/>
  <c r="O135" i="30"/>
  <c r="O137" i="30"/>
  <c r="BI38" i="30"/>
  <c r="AG35" i="30"/>
  <c r="AG189" i="4"/>
  <c r="AG128" i="4"/>
  <c r="AK63" i="23"/>
  <c r="AK74" i="23"/>
  <c r="L94" i="23"/>
  <c r="L82" i="23"/>
  <c r="AF35" i="23"/>
  <c r="J35" i="23"/>
  <c r="AL68" i="23"/>
  <c r="AL86" i="23"/>
  <c r="R85" i="23"/>
  <c r="R66" i="23"/>
  <c r="R39" i="23"/>
  <c r="BK162" i="4"/>
  <c r="BK184" i="4"/>
  <c r="AT54" i="30"/>
  <c r="BN178" i="4"/>
  <c r="BK18" i="30"/>
  <c r="BK18" i="23"/>
  <c r="E12" i="23"/>
  <c r="F12" i="23"/>
  <c r="Z47" i="23"/>
  <c r="Z117" i="23"/>
  <c r="Z130" i="23"/>
  <c r="AX76" i="30"/>
  <c r="AN105" i="23"/>
  <c r="AN145" i="23"/>
  <c r="AN147" i="23"/>
  <c r="V121" i="23"/>
  <c r="V111" i="30"/>
  <c r="Y126" i="4"/>
  <c r="BU151" i="4"/>
  <c r="BU165" i="4"/>
  <c r="AO99" i="30"/>
  <c r="AO89" i="30"/>
  <c r="O125" i="23"/>
  <c r="O72" i="23"/>
  <c r="AS124" i="23"/>
  <c r="AS70" i="23"/>
  <c r="M85" i="23"/>
  <c r="M66" i="23"/>
  <c r="M39" i="23"/>
  <c r="F84" i="30"/>
  <c r="F72" i="30"/>
  <c r="W127" i="23"/>
  <c r="W88" i="23"/>
  <c r="W92" i="23"/>
  <c r="P137" i="30"/>
  <c r="P135" i="30"/>
  <c r="M124" i="23"/>
  <c r="M70" i="23"/>
  <c r="AY185" i="4"/>
  <c r="AY151" i="4"/>
  <c r="AY161" i="4"/>
  <c r="AY163" i="4"/>
  <c r="BC83" i="23"/>
  <c r="AT117" i="23"/>
  <c r="AT130" i="23"/>
  <c r="BA136" i="30"/>
  <c r="BA41" i="30"/>
  <c r="BA42" i="30"/>
  <c r="BA96" i="30"/>
  <c r="AF107" i="23"/>
  <c r="AF69" i="23"/>
  <c r="AR84" i="23"/>
  <c r="AR65" i="23"/>
  <c r="AX38" i="23"/>
  <c r="T48" i="23"/>
  <c r="Z115" i="30"/>
  <c r="Z62" i="30"/>
  <c r="BI43" i="30"/>
  <c r="BI113" i="30"/>
  <c r="BI127" i="30"/>
  <c r="AQ53" i="30"/>
  <c r="AQ64" i="30"/>
  <c r="T125" i="23"/>
  <c r="T72" i="23"/>
  <c r="Y63" i="23"/>
  <c r="Y74" i="23"/>
  <c r="AY38" i="23"/>
  <c r="BE28" i="30"/>
  <c r="BE34" i="30"/>
  <c r="BE45" i="30"/>
  <c r="AQ54" i="23"/>
  <c r="AQ59" i="23"/>
  <c r="AQ73" i="23"/>
  <c r="AQ78" i="23"/>
  <c r="AQ93" i="23"/>
  <c r="AQ97" i="23"/>
  <c r="AQ98" i="23"/>
  <c r="AQ99" i="23"/>
  <c r="AQ109" i="23"/>
  <c r="AK114" i="30"/>
  <c r="AK60" i="30"/>
  <c r="R37" i="23"/>
  <c r="R41" i="23"/>
  <c r="R106" i="23"/>
  <c r="R146" i="23"/>
  <c r="Q127" i="23"/>
  <c r="Q92" i="23"/>
  <c r="R132" i="4"/>
  <c r="E147" i="23"/>
  <c r="E145" i="23"/>
  <c r="AS158" i="4"/>
  <c r="R116" i="30"/>
  <c r="R80" i="30"/>
  <c r="Z84" i="30"/>
  <c r="Z72" i="30"/>
  <c r="AZ55" i="23"/>
  <c r="AT132" i="4"/>
  <c r="AH118" i="30"/>
  <c r="AH90" i="30"/>
  <c r="S26" i="23"/>
  <c r="S47" i="23"/>
  <c r="S55" i="23"/>
  <c r="L130" i="23"/>
  <c r="Y189" i="4"/>
  <c r="Y128" i="4"/>
  <c r="P84" i="23"/>
  <c r="P65" i="23"/>
  <c r="AK117" i="30"/>
  <c r="AK82" i="30"/>
  <c r="BF169" i="4"/>
  <c r="O92" i="30"/>
  <c r="Y87" i="30"/>
  <c r="Y88" i="30"/>
  <c r="Y89" i="30"/>
  <c r="Y99" i="30"/>
  <c r="R125" i="23"/>
  <c r="R72" i="23"/>
  <c r="X92" i="30"/>
  <c r="Q102" i="23"/>
  <c r="BD55" i="23"/>
  <c r="T138" i="23"/>
  <c r="T136" i="23"/>
  <c r="AD147" i="23"/>
  <c r="AD145" i="23"/>
  <c r="AF99" i="30"/>
  <c r="AF89" i="30"/>
  <c r="AM158" i="4"/>
  <c r="L35" i="23"/>
  <c r="C49" i="5"/>
  <c r="E49" i="5"/>
  <c r="G49" i="5"/>
  <c r="F49" i="5"/>
  <c r="E153" i="4"/>
  <c r="BH92" i="30"/>
  <c r="AB147" i="23"/>
  <c r="AB145" i="23"/>
  <c r="BF35" i="23"/>
  <c r="T64" i="23"/>
  <c r="AT53" i="30"/>
  <c r="AT64" i="30"/>
  <c r="E97" i="16"/>
  <c r="D100" i="16"/>
  <c r="D97" i="16"/>
  <c r="D98" i="16"/>
  <c r="AU78" i="30"/>
  <c r="AU79" i="30"/>
  <c r="AU98" i="30"/>
  <c r="R43" i="23"/>
  <c r="K8" i="30"/>
  <c r="A101" i="30"/>
  <c r="AB146" i="23"/>
  <c r="AB106" i="23"/>
  <c r="AB41" i="23"/>
  <c r="Y133" i="4"/>
  <c r="Y136" i="4"/>
  <c r="Y143" i="4"/>
  <c r="Y168" i="4"/>
  <c r="Y173" i="4"/>
  <c r="R73" i="30"/>
  <c r="BE165" i="4"/>
  <c r="AH94" i="23"/>
  <c r="AH82" i="23"/>
  <c r="AU97" i="30"/>
  <c r="AU59" i="30"/>
  <c r="Z35" i="23"/>
  <c r="AF169" i="4"/>
  <c r="P98" i="30"/>
  <c r="P79" i="30"/>
  <c r="S37" i="23"/>
  <c r="S38" i="23"/>
  <c r="BA54" i="30"/>
  <c r="BH146" i="23"/>
  <c r="BH106" i="23"/>
  <c r="BH41" i="23"/>
  <c r="Y129" i="23"/>
  <c r="Y101" i="23"/>
  <c r="BB44" i="30"/>
  <c r="BB49" i="30"/>
  <c r="BB63" i="30"/>
  <c r="BB68" i="30"/>
  <c r="BB83" i="30"/>
  <c r="BB92" i="30"/>
  <c r="AF115" i="30"/>
  <c r="AF62" i="30"/>
  <c r="O43" i="30"/>
  <c r="O113" i="30"/>
  <c r="O127" i="30"/>
  <c r="AD64" i="30"/>
  <c r="AM107" i="30"/>
  <c r="AM120" i="30"/>
  <c r="Y117" i="30"/>
  <c r="Y82" i="30"/>
  <c r="X54" i="30"/>
  <c r="AC54" i="30"/>
  <c r="BM165" i="4"/>
  <c r="BK73" i="30"/>
  <c r="W73" i="30"/>
  <c r="U88" i="23"/>
  <c r="U89" i="23"/>
  <c r="U108" i="23"/>
  <c r="Z63" i="23"/>
  <c r="Z74" i="23"/>
  <c r="W35" i="23"/>
  <c r="BJ151" i="4"/>
  <c r="BJ165" i="4"/>
  <c r="BH84" i="30"/>
  <c r="BH72" i="30"/>
  <c r="AX58" i="30"/>
  <c r="AX60" i="30"/>
  <c r="AX114" i="30"/>
  <c r="AB115" i="30"/>
  <c r="AB62" i="30"/>
  <c r="BF54" i="30"/>
  <c r="U73" i="30"/>
  <c r="U147" i="23"/>
  <c r="U145" i="23"/>
  <c r="AZ117" i="30"/>
  <c r="AZ78" i="30"/>
  <c r="AZ82" i="30"/>
  <c r="U64" i="23"/>
  <c r="AP47" i="23"/>
  <c r="AP117" i="23"/>
  <c r="AP136" i="23"/>
  <c r="AP138" i="23"/>
  <c r="AY126" i="23"/>
  <c r="AY90" i="23"/>
  <c r="AJ107" i="23"/>
  <c r="AJ69" i="23"/>
  <c r="AM117" i="30"/>
  <c r="AM82" i="30"/>
  <c r="AY53" i="30"/>
  <c r="AY72" i="30"/>
  <c r="AY84" i="30"/>
  <c r="BK120" i="30"/>
  <c r="BK118" i="30"/>
  <c r="BK90" i="30"/>
  <c r="H84" i="23"/>
  <c r="H65" i="23"/>
  <c r="BA64" i="23"/>
  <c r="BF37" i="23"/>
  <c r="BF38" i="23"/>
  <c r="L184" i="4"/>
  <c r="L162" i="4"/>
  <c r="AH126" i="4"/>
  <c r="AE121" i="23"/>
  <c r="AE111" i="30"/>
  <c r="L63" i="23"/>
  <c r="L74" i="23"/>
  <c r="AG102" i="4"/>
  <c r="AG132" i="4"/>
  <c r="AK43" i="23"/>
  <c r="I100" i="30"/>
  <c r="A103" i="30"/>
  <c r="K10" i="30"/>
  <c r="BD97" i="30"/>
  <c r="BD59" i="30"/>
  <c r="AV53" i="30"/>
  <c r="AV64" i="30"/>
  <c r="N99" i="30"/>
  <c r="N87" i="30"/>
  <c r="N88" i="30"/>
  <c r="N89" i="30"/>
  <c r="AB53" i="30"/>
  <c r="AB64" i="30"/>
  <c r="BC117" i="30"/>
  <c r="BC82" i="30"/>
  <c r="Y147" i="23"/>
  <c r="Y145" i="23"/>
  <c r="P74" i="23"/>
  <c r="Y53" i="30"/>
  <c r="Y64" i="30"/>
  <c r="AN98" i="30"/>
  <c r="AN79" i="30"/>
  <c r="AG121" i="23"/>
  <c r="AJ126" i="4"/>
  <c r="AG111" i="30"/>
  <c r="BU144" i="4"/>
  <c r="BU169" i="4"/>
  <c r="AC151" i="4"/>
  <c r="AC165" i="4"/>
  <c r="O86" i="23"/>
  <c r="AG38" i="30"/>
  <c r="F53" i="30"/>
  <c r="F64" i="30"/>
  <c r="AF120" i="4"/>
  <c r="AF103" i="4"/>
  <c r="BH85" i="23"/>
  <c r="BH39" i="23"/>
  <c r="BH66" i="23"/>
  <c r="B60" i="30"/>
  <c r="B59" i="30"/>
  <c r="BR169" i="4"/>
  <c r="AV92" i="30"/>
  <c r="AZ158" i="4"/>
  <c r="X38" i="30"/>
  <c r="D102" i="16"/>
  <c r="BC163" i="4"/>
  <c r="BC151" i="4"/>
  <c r="BC161" i="4"/>
  <c r="BC185" i="4"/>
  <c r="BI83" i="23"/>
  <c r="U84" i="23"/>
  <c r="U65" i="23"/>
  <c r="AO158" i="4"/>
  <c r="Z58" i="30"/>
  <c r="Z76" i="30"/>
  <c r="AV55" i="23"/>
  <c r="Y43" i="23"/>
  <c r="AK124" i="23"/>
  <c r="AK70" i="23"/>
  <c r="BK54" i="30"/>
  <c r="W158" i="4"/>
  <c r="AJ138" i="23"/>
  <c r="AJ136" i="23"/>
  <c r="O84" i="30"/>
  <c r="O72" i="30"/>
  <c r="AC146" i="23"/>
  <c r="AC37" i="23"/>
  <c r="AC41" i="23"/>
  <c r="AC106" i="23"/>
  <c r="Z53" i="30"/>
  <c r="Z64" i="30"/>
  <c r="AT102" i="4"/>
  <c r="AT128" i="4"/>
  <c r="AT189" i="4"/>
  <c r="H98" i="30"/>
  <c r="H79" i="30"/>
  <c r="BF190" i="4"/>
  <c r="BF188" i="4"/>
  <c r="BF127" i="4"/>
  <c r="BF86" i="23"/>
  <c r="L47" i="23"/>
  <c r="L117" i="23"/>
  <c r="L136" i="23"/>
  <c r="L138" i="23"/>
  <c r="AZ86" i="23"/>
  <c r="BD74" i="23"/>
  <c r="P37" i="23"/>
  <c r="P38" i="23"/>
  <c r="BE147" i="23"/>
  <c r="BE145" i="23"/>
  <c r="C23" i="23"/>
  <c r="BC48" i="23"/>
  <c r="BI118" i="30"/>
  <c r="BI90" i="30"/>
  <c r="Y127" i="30"/>
  <c r="Y113" i="30"/>
  <c r="Y43" i="30"/>
  <c r="AX127" i="23"/>
  <c r="AX92" i="23"/>
  <c r="T117" i="23"/>
  <c r="T130" i="23"/>
  <c r="BA78" i="30"/>
  <c r="BA80" i="30"/>
  <c r="BA116" i="30"/>
  <c r="Z107" i="23"/>
  <c r="Z69" i="23"/>
  <c r="AK190" i="4"/>
  <c r="AK188" i="4"/>
  <c r="AK127" i="4"/>
  <c r="AM173" i="4"/>
  <c r="AM136" i="4"/>
  <c r="AM143" i="4"/>
  <c r="AM168" i="4"/>
  <c r="V102" i="4"/>
  <c r="V132" i="4"/>
  <c r="R41" i="30"/>
  <c r="R42" i="30"/>
  <c r="R96" i="30"/>
  <c r="R136" i="30"/>
  <c r="AG102" i="23"/>
  <c r="BH119" i="30"/>
  <c r="BH91" i="30"/>
  <c r="AB51" i="23"/>
  <c r="AZ83" i="23"/>
  <c r="CA157" i="4"/>
  <c r="AW116" i="30"/>
  <c r="AW80" i="30"/>
  <c r="BB117" i="30"/>
  <c r="BB78" i="30"/>
  <c r="BB82" i="30"/>
  <c r="N190" i="4"/>
  <c r="N188" i="4"/>
  <c r="N127" i="4"/>
  <c r="D100" i="30"/>
  <c r="B100" i="30"/>
  <c r="BL45" i="30"/>
  <c r="I109" i="23"/>
  <c r="I99" i="23"/>
  <c r="Z37" i="23"/>
  <c r="Z41" i="23"/>
  <c r="Z106" i="23"/>
  <c r="Z146" i="23"/>
  <c r="BE169" i="4"/>
  <c r="BC97" i="30"/>
  <c r="BC59" i="30"/>
  <c r="AM35" i="30"/>
  <c r="AV121" i="23"/>
  <c r="AV111" i="30"/>
  <c r="AY126" i="4"/>
  <c r="AY108" i="23"/>
  <c r="AY89" i="23"/>
  <c r="H74" i="30"/>
  <c r="H55" i="30"/>
  <c r="AF58" i="30"/>
  <c r="AF76" i="30"/>
  <c r="AC117" i="30"/>
  <c r="AC82" i="30"/>
  <c r="B84" i="30"/>
  <c r="D84" i="30"/>
  <c r="I118" i="30"/>
  <c r="I44" i="30"/>
  <c r="I49" i="30"/>
  <c r="I63" i="30"/>
  <c r="I68" i="30"/>
  <c r="I83" i="30"/>
  <c r="I87" i="30"/>
  <c r="I88" i="30"/>
  <c r="I90" i="30"/>
  <c r="BH108" i="23"/>
  <c r="BH89" i="23"/>
  <c r="AD26" i="30"/>
  <c r="AD28" i="30"/>
  <c r="AD34" i="30"/>
  <c r="AD53" i="30"/>
  <c r="AD72" i="30"/>
  <c r="AD84" i="30"/>
  <c r="BC128" i="23"/>
  <c r="BC100" i="23"/>
  <c r="BJ63" i="23"/>
  <c r="BJ74" i="23"/>
  <c r="H124" i="23"/>
  <c r="H70" i="23"/>
  <c r="M126" i="23"/>
  <c r="M88" i="23"/>
  <c r="M90" i="23"/>
  <c r="BC35" i="30"/>
  <c r="AN83" i="23"/>
  <c r="AA83" i="23"/>
  <c r="AU64" i="30"/>
  <c r="AW94" i="23"/>
  <c r="AW82" i="23"/>
  <c r="AT169" i="4"/>
  <c r="I74" i="30"/>
  <c r="I55" i="30"/>
  <c r="BM151" i="4"/>
  <c r="BM161" i="4"/>
  <c r="BM163" i="4"/>
  <c r="AY116" i="30"/>
  <c r="AY80" i="30"/>
  <c r="BJ87" i="30"/>
  <c r="BJ88" i="30"/>
  <c r="BJ90" i="30"/>
  <c r="BJ118" i="30"/>
  <c r="L50" i="23"/>
  <c r="L53" i="23"/>
  <c r="L123" i="23"/>
  <c r="L137" i="23"/>
  <c r="AE88" i="23"/>
  <c r="AE89" i="23"/>
  <c r="AE108" i="23"/>
  <c r="BK137" i="30"/>
  <c r="BK135" i="30"/>
  <c r="AM124" i="23"/>
  <c r="AM70" i="23"/>
  <c r="X28" i="30"/>
  <c r="X34" i="30"/>
  <c r="X45" i="30"/>
  <c r="BB94" i="23"/>
  <c r="BB82" i="23"/>
  <c r="Z120" i="4"/>
  <c r="Z103" i="4"/>
  <c r="AW132" i="4"/>
  <c r="BT163" i="4"/>
  <c r="BT161" i="4"/>
  <c r="E185" i="4"/>
  <c r="E178" i="4"/>
  <c r="AZ108" i="23"/>
  <c r="AZ89" i="23"/>
  <c r="Y108" i="23"/>
  <c r="Y89" i="23"/>
  <c r="AY41" i="23"/>
  <c r="AY106" i="23"/>
  <c r="AY146" i="23"/>
  <c r="X82" i="30"/>
  <c r="X117" i="30"/>
  <c r="AD35" i="30"/>
  <c r="AV128" i="30"/>
  <c r="AV126" i="30"/>
  <c r="Z35" i="30"/>
  <c r="AY64" i="23"/>
  <c r="BA132" i="4"/>
  <c r="AG83" i="23"/>
  <c r="L44" i="30"/>
  <c r="L49" i="30"/>
  <c r="L63" i="30"/>
  <c r="L68" i="30"/>
  <c r="L83" i="30"/>
  <c r="L87" i="30"/>
  <c r="L88" i="30"/>
  <c r="L91" i="30"/>
  <c r="L119" i="30"/>
  <c r="BK107" i="30"/>
  <c r="BK126" i="30"/>
  <c r="BK128" i="30"/>
  <c r="BA44" i="30"/>
  <c r="BA49" i="30"/>
  <c r="BA63" i="30"/>
  <c r="BA68" i="30"/>
  <c r="BA83" i="30"/>
  <c r="BA92" i="30"/>
  <c r="AB86" i="23"/>
  <c r="L26" i="23"/>
  <c r="L28" i="23"/>
  <c r="L34" i="23"/>
  <c r="L43" i="23"/>
  <c r="BL178" i="4"/>
  <c r="BI18" i="30"/>
  <c r="BI18" i="23"/>
  <c r="AU35" i="30"/>
  <c r="AK74" i="30"/>
  <c r="AK55" i="30"/>
  <c r="BD76" i="30"/>
  <c r="G97" i="23"/>
  <c r="G98" i="23"/>
  <c r="G99" i="23"/>
  <c r="G109" i="23"/>
  <c r="AF124" i="23"/>
  <c r="AF70" i="23"/>
  <c r="AK37" i="30"/>
  <c r="AK38" i="30"/>
  <c r="AV28" i="30"/>
  <c r="AV34" i="30"/>
  <c r="AV45" i="30"/>
  <c r="AR76" i="30"/>
  <c r="AB28" i="30"/>
  <c r="AB34" i="30"/>
  <c r="AB45" i="30"/>
  <c r="BF64" i="23"/>
  <c r="Y28" i="23"/>
  <c r="Y34" i="23"/>
  <c r="Y105" i="23"/>
  <c r="Y110" i="23"/>
  <c r="Z78" i="30"/>
  <c r="Z80" i="30"/>
  <c r="Z116" i="30"/>
  <c r="AU127" i="23"/>
  <c r="AU92" i="23"/>
  <c r="BK37" i="30"/>
  <c r="BK41" i="30"/>
  <c r="BK42" i="30"/>
  <c r="BK43" i="30"/>
  <c r="BK113" i="30"/>
  <c r="BK127" i="30"/>
  <c r="Y26" i="30"/>
  <c r="Y28" i="30"/>
  <c r="Y34" i="30"/>
  <c r="Y45" i="30"/>
  <c r="R54" i="23"/>
  <c r="R59" i="23"/>
  <c r="R73" i="23"/>
  <c r="R78" i="23"/>
  <c r="R93" i="23"/>
  <c r="R102" i="23"/>
  <c r="AU86" i="23"/>
  <c r="AE87" i="30"/>
  <c r="AE88" i="30"/>
  <c r="AE90" i="30"/>
  <c r="AE118" i="30"/>
  <c r="Q116" i="30"/>
  <c r="Q78" i="30"/>
  <c r="Q80" i="30"/>
  <c r="BR144" i="4"/>
  <c r="BR151" i="4"/>
  <c r="BR165" i="4"/>
  <c r="L178" i="4"/>
  <c r="R39" i="30"/>
  <c r="R56" i="30"/>
  <c r="R75" i="30"/>
  <c r="F28" i="30"/>
  <c r="F34" i="30"/>
  <c r="F45" i="30"/>
  <c r="BT127" i="4"/>
  <c r="BT188" i="4"/>
  <c r="BT190" i="4"/>
  <c r="C23" i="30"/>
  <c r="F9" i="30"/>
  <c r="AW153" i="4"/>
  <c r="AW155" i="4"/>
  <c r="AW118" i="4"/>
  <c r="AW123" i="4"/>
  <c r="AW133" i="4"/>
  <c r="AW144" i="4"/>
  <c r="AW151" i="4"/>
  <c r="AW165" i="4"/>
  <c r="S27" i="30"/>
  <c r="S95" i="30"/>
  <c r="S100" i="30"/>
  <c r="D101" i="16"/>
  <c r="D116" i="16"/>
  <c r="D117" i="16"/>
  <c r="K125" i="23"/>
  <c r="K72" i="23"/>
  <c r="AU37" i="30"/>
  <c r="AU38" i="30"/>
  <c r="BG23" i="30"/>
  <c r="BG37" i="30"/>
  <c r="BG38" i="30"/>
  <c r="AI136" i="30"/>
  <c r="AI96" i="30"/>
  <c r="S78" i="30"/>
  <c r="S82" i="30"/>
  <c r="S117" i="30"/>
  <c r="V51" i="23"/>
  <c r="BC102" i="23"/>
  <c r="AB48" i="23"/>
  <c r="S51" i="23"/>
  <c r="AG100" i="23"/>
  <c r="AG128" i="23"/>
  <c r="AD18" i="30"/>
  <c r="AG178" i="4"/>
  <c r="AD18" i="23"/>
  <c r="AK68" i="23"/>
  <c r="AK86" i="23"/>
  <c r="AO39" i="30"/>
  <c r="AO56" i="30"/>
  <c r="AO75" i="30"/>
  <c r="C20" i="23"/>
  <c r="C18" i="23"/>
  <c r="E18" i="23"/>
  <c r="AD127" i="23"/>
  <c r="AD92" i="23"/>
  <c r="Q115" i="30"/>
  <c r="Q62" i="30"/>
  <c r="BG127" i="23"/>
  <c r="BG92" i="23"/>
  <c r="AW54" i="23"/>
  <c r="AW59" i="23"/>
  <c r="AW73" i="23"/>
  <c r="AW78" i="23"/>
  <c r="AW93" i="23"/>
  <c r="AW102" i="23"/>
  <c r="AJ47" i="23"/>
  <c r="AJ117" i="23"/>
  <c r="AJ130" i="23"/>
  <c r="BK165" i="4"/>
  <c r="AR50" i="23"/>
  <c r="AR53" i="23"/>
  <c r="AR123" i="23"/>
  <c r="AR137" i="23"/>
  <c r="I184" i="4"/>
  <c r="I162" i="4"/>
  <c r="BI127" i="4"/>
  <c r="BI188" i="4"/>
  <c r="BI190" i="4"/>
  <c r="Z28" i="30"/>
  <c r="Z34" i="30"/>
  <c r="Z45" i="30"/>
  <c r="Q118" i="30"/>
  <c r="Q90" i="30"/>
  <c r="BL92" i="30"/>
  <c r="AU51" i="23"/>
  <c r="AQ50" i="23"/>
  <c r="AQ53" i="23"/>
  <c r="AQ123" i="23"/>
  <c r="AQ137" i="23"/>
  <c r="AT26" i="30"/>
  <c r="AT28" i="30"/>
  <c r="AT34" i="30"/>
  <c r="AT45" i="30"/>
  <c r="AP38" i="23"/>
  <c r="AT48" i="23"/>
  <c r="BD63" i="23"/>
  <c r="BD82" i="23"/>
  <c r="BD94" i="23"/>
  <c r="BB35" i="23"/>
  <c r="BJ48" i="23"/>
  <c r="AW23" i="30"/>
  <c r="AW44" i="30"/>
  <c r="AW49" i="30"/>
  <c r="AW63" i="30"/>
  <c r="AW68" i="30"/>
  <c r="AW83" i="30"/>
  <c r="AW92" i="30"/>
  <c r="BK49" i="23"/>
  <c r="BK52" i="23"/>
  <c r="BL46" i="23"/>
  <c r="BL48" i="23"/>
  <c r="AU68" i="23"/>
  <c r="AU72" i="23"/>
  <c r="AU125" i="23"/>
  <c r="Z41" i="30"/>
  <c r="Z42" i="30"/>
  <c r="Z43" i="30"/>
  <c r="Z113" i="30"/>
  <c r="Z127" i="30"/>
  <c r="AM89" i="23"/>
  <c r="AM108" i="23"/>
  <c r="AZ43" i="23"/>
  <c r="T88" i="23"/>
  <c r="T92" i="23"/>
  <c r="T127" i="23"/>
  <c r="Q124" i="23"/>
  <c r="Q70" i="23"/>
  <c r="N50" i="23"/>
  <c r="N53" i="23"/>
  <c r="N123" i="23"/>
  <c r="N137" i="23"/>
  <c r="AT108" i="23"/>
  <c r="AT89" i="23"/>
  <c r="X80" i="30"/>
  <c r="X116" i="30"/>
  <c r="BB163" i="4"/>
  <c r="BB153" i="4"/>
  <c r="BB155" i="4"/>
  <c r="BB118" i="4"/>
  <c r="BB123" i="4"/>
  <c r="BB133" i="4"/>
  <c r="BB144" i="4"/>
  <c r="BB151" i="4"/>
  <c r="BB161" i="4"/>
  <c r="BB185" i="4"/>
  <c r="K28" i="23"/>
  <c r="AX37" i="23"/>
  <c r="AX41" i="23"/>
  <c r="AX106" i="23"/>
  <c r="AX146" i="23"/>
  <c r="T47" i="23"/>
  <c r="T55" i="23"/>
  <c r="BE50" i="23"/>
  <c r="BE53" i="23"/>
  <c r="BE123" i="23"/>
  <c r="BE137" i="23"/>
  <c r="BI90" i="23"/>
  <c r="BI126" i="23"/>
  <c r="H169" i="4"/>
  <c r="AT43" i="23"/>
  <c r="BA73" i="30"/>
  <c r="U37" i="23"/>
  <c r="U38" i="23"/>
  <c r="AB128" i="23"/>
  <c r="AB100" i="23"/>
  <c r="AD54" i="30"/>
  <c r="BI163" i="4"/>
  <c r="BI161" i="4"/>
  <c r="AH63" i="23"/>
  <c r="AH74" i="23"/>
  <c r="D4" i="30"/>
  <c r="C6" i="30"/>
  <c r="AI114" i="30"/>
  <c r="AI60" i="30"/>
  <c r="AH147" i="23"/>
  <c r="AH145" i="23"/>
  <c r="AM165" i="4"/>
  <c r="T44" i="30"/>
  <c r="T49" i="30"/>
  <c r="T63" i="30"/>
  <c r="T68" i="30"/>
  <c r="T83" i="30"/>
  <c r="T92" i="30"/>
  <c r="I163" i="4"/>
  <c r="I151" i="4"/>
  <c r="I161" i="4"/>
  <c r="I185" i="4"/>
  <c r="BK88" i="23"/>
  <c r="BK90" i="23"/>
  <c r="BK126" i="23"/>
  <c r="M68" i="23"/>
  <c r="M86" i="23"/>
  <c r="AS107" i="23"/>
  <c r="AS69" i="23"/>
  <c r="V128" i="23"/>
  <c r="V100" i="23"/>
  <c r="AL37" i="23"/>
  <c r="AL41" i="23"/>
  <c r="AL106" i="23"/>
  <c r="AL146" i="23"/>
  <c r="BA38" i="30"/>
  <c r="AL18" i="30"/>
  <c r="AL18" i="23"/>
  <c r="AO178" i="4"/>
  <c r="AU128" i="23"/>
  <c r="AU100" i="23"/>
  <c r="BP170" i="4"/>
  <c r="BP177" i="4"/>
  <c r="BP178" i="4"/>
  <c r="BA48" i="23"/>
  <c r="A88" i="23"/>
  <c r="D92" i="23"/>
  <c r="D127" i="23"/>
  <c r="B127" i="23"/>
  <c r="Y64" i="23"/>
  <c r="AE44" i="30"/>
  <c r="AE49" i="30"/>
  <c r="AE63" i="30"/>
  <c r="AE68" i="30"/>
  <c r="AE83" i="30"/>
  <c r="AE92" i="30"/>
  <c r="AI53" i="30"/>
  <c r="AI64" i="30"/>
  <c r="BD92" i="30"/>
  <c r="BJ43" i="23"/>
  <c r="BB124" i="23"/>
  <c r="BB70" i="23"/>
  <c r="BL38" i="30"/>
  <c r="BH35" i="23"/>
  <c r="AU45" i="30"/>
  <c r="AD162" i="4"/>
  <c r="AD154" i="4"/>
  <c r="AD184" i="4"/>
  <c r="T184" i="4"/>
  <c r="T162" i="4"/>
  <c r="Y98" i="30"/>
  <c r="Y79" i="30"/>
  <c r="BK54" i="23"/>
  <c r="BK59" i="23"/>
  <c r="BK73" i="23"/>
  <c r="BK78" i="23"/>
  <c r="BK93" i="23"/>
  <c r="BK97" i="23"/>
  <c r="BK98" i="23"/>
  <c r="BK100" i="23"/>
  <c r="BK128" i="23"/>
  <c r="BD35" i="30"/>
  <c r="BF102" i="23"/>
  <c r="BJ88" i="23"/>
  <c r="BJ89" i="23"/>
  <c r="BJ108" i="23"/>
  <c r="AS88" i="23"/>
  <c r="AS92" i="23"/>
  <c r="AS127" i="23"/>
  <c r="M119" i="30"/>
  <c r="M91" i="30"/>
  <c r="Q83" i="23"/>
  <c r="L190" i="4"/>
  <c r="L188" i="4"/>
  <c r="L127" i="4"/>
  <c r="AE83" i="23"/>
  <c r="K58" i="30"/>
  <c r="K76" i="30"/>
  <c r="U43" i="23"/>
  <c r="AW102" i="4"/>
  <c r="AW103" i="4"/>
  <c r="AW120" i="4"/>
  <c r="E134" i="4"/>
  <c r="O162" i="4"/>
  <c r="O184" i="4"/>
  <c r="K83" i="23"/>
  <c r="AL83" i="23"/>
  <c r="Q73" i="30"/>
  <c r="AZ35" i="30"/>
  <c r="P87" i="30"/>
  <c r="P88" i="30"/>
  <c r="P91" i="30"/>
  <c r="P119" i="30"/>
  <c r="K54" i="23"/>
  <c r="K59" i="23"/>
  <c r="K73" i="23"/>
  <c r="K78" i="23"/>
  <c r="K93" i="23"/>
  <c r="K97" i="23"/>
  <c r="K98" i="23"/>
  <c r="K100" i="23"/>
  <c r="K128" i="23"/>
  <c r="AM37" i="30"/>
  <c r="AM38" i="30"/>
  <c r="AU137" i="30"/>
  <c r="AU135" i="30"/>
  <c r="AJ107" i="30"/>
  <c r="AJ120" i="30"/>
  <c r="AS35" i="30"/>
  <c r="BA102" i="4"/>
  <c r="BA128" i="4"/>
  <c r="BA189" i="4"/>
  <c r="BC108" i="23"/>
  <c r="BC89" i="23"/>
  <c r="AU76" i="30"/>
  <c r="AD128" i="23"/>
  <c r="AD100" i="23"/>
  <c r="R114" i="30"/>
  <c r="R60" i="30"/>
  <c r="AM92" i="23"/>
  <c r="AM127" i="23"/>
  <c r="N129" i="23"/>
  <c r="N97" i="23"/>
  <c r="N98" i="23"/>
  <c r="N101" i="23"/>
  <c r="BK43" i="23"/>
  <c r="E88" i="4"/>
  <c r="V126" i="4"/>
  <c r="P63" i="23"/>
  <c r="P82" i="23"/>
  <c r="P94" i="23"/>
  <c r="W41" i="30"/>
  <c r="W42" i="30"/>
  <c r="W43" i="30"/>
  <c r="W113" i="30"/>
  <c r="W127" i="30"/>
  <c r="BW184" i="4"/>
  <c r="BW153" i="4"/>
  <c r="BW154" i="4"/>
  <c r="BW162" i="4"/>
  <c r="X39" i="23"/>
  <c r="X66" i="23"/>
  <c r="X85" i="23"/>
  <c r="Z37" i="30"/>
  <c r="Z38" i="30"/>
  <c r="AG28" i="23"/>
  <c r="AG34" i="23"/>
  <c r="AG63" i="23"/>
  <c r="AG82" i="23"/>
  <c r="AG94" i="23"/>
  <c r="BA105" i="23"/>
  <c r="BA145" i="23"/>
  <c r="BA147" i="23"/>
  <c r="Q107" i="30"/>
  <c r="Q120" i="30"/>
  <c r="BJ26" i="23"/>
  <c r="BJ28" i="23"/>
  <c r="BJ34" i="23"/>
  <c r="BJ105" i="23"/>
  <c r="BJ110" i="23"/>
  <c r="AJ114" i="30"/>
  <c r="AJ60" i="30"/>
  <c r="AY43" i="23"/>
  <c r="BS151" i="4"/>
  <c r="BS165" i="4"/>
  <c r="W37" i="23"/>
  <c r="W38" i="23"/>
  <c r="AQ47" i="23"/>
  <c r="AQ55" i="23"/>
  <c r="BL18" i="23"/>
  <c r="BO178" i="4"/>
  <c r="BL18" i="30"/>
  <c r="AS68" i="23"/>
  <c r="AS86" i="23"/>
  <c r="G48" i="23"/>
  <c r="G63" i="23"/>
  <c r="G74" i="23"/>
  <c r="BD62" i="30"/>
  <c r="BD115" i="30"/>
  <c r="AE124" i="23"/>
  <c r="AE70" i="23"/>
  <c r="AT78" i="30"/>
  <c r="AT79" i="30"/>
  <c r="AT98" i="30"/>
  <c r="AR107" i="23"/>
  <c r="AR69" i="23"/>
  <c r="BJ62" i="30"/>
  <c r="BJ115" i="30"/>
  <c r="S48" i="23"/>
  <c r="AT47" i="23"/>
  <c r="AT55" i="23"/>
  <c r="P18" i="23"/>
  <c r="S178" i="4"/>
  <c r="P18" i="30"/>
  <c r="E143" i="4"/>
  <c r="S118" i="30"/>
  <c r="S90" i="30"/>
  <c r="AE50" i="23"/>
  <c r="AE53" i="23"/>
  <c r="AE123" i="23"/>
  <c r="AE137" i="23"/>
  <c r="E9" i="30"/>
  <c r="E10" i="30"/>
  <c r="F10" i="30"/>
  <c r="AQ26" i="30"/>
  <c r="AQ28" i="30"/>
  <c r="AQ34" i="30"/>
  <c r="AQ45" i="30"/>
  <c r="BE63" i="23"/>
  <c r="BE74" i="23"/>
  <c r="BJ53" i="30"/>
  <c r="BJ72" i="30"/>
  <c r="BJ84" i="30"/>
  <c r="AF48" i="23"/>
  <c r="BO151" i="4"/>
  <c r="BO165" i="4"/>
  <c r="K137" i="30"/>
  <c r="K135" i="30"/>
  <c r="BE126" i="23"/>
  <c r="BE90" i="23"/>
  <c r="I23" i="30"/>
  <c r="I37" i="30"/>
  <c r="I38" i="30"/>
  <c r="H99" i="30"/>
  <c r="H89" i="30"/>
  <c r="AO26" i="30"/>
  <c r="AO28" i="30"/>
  <c r="AO34" i="30"/>
  <c r="AO53" i="30"/>
  <c r="AO64" i="30"/>
  <c r="AN173" i="4"/>
  <c r="AN168" i="4"/>
  <c r="AN143" i="4"/>
  <c r="AN136" i="4"/>
  <c r="AE76" i="30"/>
  <c r="AO109" i="23"/>
  <c r="AO97" i="23"/>
  <c r="AO98" i="23"/>
  <c r="AO99" i="23"/>
  <c r="AL44" i="30"/>
  <c r="AL49" i="30"/>
  <c r="AL63" i="30"/>
  <c r="AL68" i="30"/>
  <c r="AL83" i="30"/>
  <c r="AL87" i="30"/>
  <c r="AL88" i="30"/>
  <c r="AL89" i="30"/>
  <c r="AL99" i="30"/>
  <c r="AV47" i="23"/>
  <c r="AV117" i="23"/>
  <c r="AV130" i="23"/>
  <c r="AC90" i="30"/>
  <c r="AC118" i="30"/>
  <c r="Z133" i="4"/>
  <c r="Z144" i="4"/>
  <c r="Z169" i="4"/>
  <c r="S53" i="30"/>
  <c r="S64" i="30"/>
  <c r="M38" i="30"/>
  <c r="BH168" i="4"/>
  <c r="BH143" i="4"/>
  <c r="BH136" i="4"/>
  <c r="AN121" i="23"/>
  <c r="AN111" i="30"/>
  <c r="AQ126" i="4"/>
  <c r="P44" i="30"/>
  <c r="P49" i="30"/>
  <c r="P63" i="30"/>
  <c r="P68" i="30"/>
  <c r="P83" i="30"/>
  <c r="P92" i="30"/>
  <c r="AA117" i="23"/>
  <c r="AA130" i="23"/>
  <c r="AP37" i="23"/>
  <c r="AP41" i="23"/>
  <c r="AP106" i="23"/>
  <c r="AP146" i="23"/>
  <c r="BI48" i="23"/>
  <c r="Y158" i="4"/>
  <c r="D86" i="23"/>
  <c r="F108" i="23"/>
  <c r="F89" i="23"/>
  <c r="AK35" i="23"/>
  <c r="AX43" i="23"/>
  <c r="BR127" i="4"/>
  <c r="BR188" i="4"/>
  <c r="BR190" i="4"/>
  <c r="AX54" i="30"/>
  <c r="Z54" i="23"/>
  <c r="Z59" i="23"/>
  <c r="Z73" i="23"/>
  <c r="Z78" i="23"/>
  <c r="Z93" i="23"/>
  <c r="Z97" i="23"/>
  <c r="Z98" i="23"/>
  <c r="Z99" i="23"/>
  <c r="Z109" i="23"/>
  <c r="AF38" i="23"/>
  <c r="S35" i="23"/>
  <c r="O77" i="13"/>
  <c r="O71" i="13"/>
  <c r="AF184" i="4"/>
  <c r="AF154" i="4"/>
  <c r="AF162" i="4"/>
  <c r="BE42" i="23"/>
  <c r="BE51" i="23"/>
  <c r="L19" i="23"/>
  <c r="L27" i="23"/>
  <c r="AY118" i="30"/>
  <c r="AY90" i="30"/>
  <c r="W121" i="23"/>
  <c r="W111" i="30"/>
  <c r="Z126" i="4"/>
  <c r="Z102" i="4"/>
  <c r="Z132" i="4"/>
  <c r="J35" i="17"/>
  <c r="D35" i="17"/>
  <c r="F35" i="17"/>
  <c r="I35" i="17"/>
  <c r="K35" i="17"/>
  <c r="BL119" i="30"/>
  <c r="BL91" i="30"/>
  <c r="AM117" i="23"/>
  <c r="AM130" i="23"/>
  <c r="BX190" i="4"/>
  <c r="BX188" i="4"/>
  <c r="BX127" i="4"/>
  <c r="AM26" i="30"/>
  <c r="AM28" i="30"/>
  <c r="AM34" i="30"/>
  <c r="AM53" i="30"/>
  <c r="AM72" i="30"/>
  <c r="AM84" i="30"/>
  <c r="N23" i="5"/>
  <c r="N27" i="5"/>
  <c r="N30" i="5"/>
  <c r="AB151" i="4"/>
  <c r="AB165" i="4"/>
  <c r="O85" i="23"/>
  <c r="O66" i="23"/>
  <c r="O39" i="23"/>
  <c r="BK190" i="4"/>
  <c r="BK188" i="4"/>
  <c r="BK127" i="4"/>
  <c r="X75" i="30"/>
  <c r="X56" i="30"/>
  <c r="X39" i="30"/>
  <c r="W35" i="30"/>
  <c r="BS127" i="4"/>
  <c r="BS188" i="4"/>
  <c r="BS190" i="4"/>
  <c r="AZ68" i="23"/>
  <c r="AZ72" i="23"/>
  <c r="AZ125" i="23"/>
  <c r="D95" i="16"/>
  <c r="E95" i="16"/>
  <c r="E145" i="4"/>
  <c r="F130" i="23"/>
  <c r="B39" i="23"/>
  <c r="AX169" i="4"/>
  <c r="AM86" i="23"/>
  <c r="AH105" i="23"/>
  <c r="AH110" i="23"/>
  <c r="F124" i="23"/>
  <c r="F70" i="23"/>
  <c r="BD78" i="30"/>
  <c r="BD79" i="30"/>
  <c r="BD98" i="30"/>
  <c r="AV163" i="4"/>
  <c r="AV144" i="4"/>
  <c r="AV151" i="4"/>
  <c r="AV161" i="4"/>
  <c r="AV185" i="4"/>
  <c r="T10" i="1"/>
  <c r="T11" i="1"/>
  <c r="J31" i="1"/>
  <c r="J32" i="1"/>
  <c r="BH129" i="23"/>
  <c r="BH101" i="23"/>
  <c r="BI88" i="23"/>
  <c r="BI89" i="23"/>
  <c r="BI108" i="23"/>
  <c r="BA23" i="30"/>
  <c r="BA37" i="30"/>
  <c r="BA55" i="30"/>
  <c r="BA74" i="30"/>
  <c r="AF84" i="30"/>
  <c r="AF72" i="30"/>
  <c r="AH119" i="30"/>
  <c r="AH91" i="30"/>
  <c r="O35" i="30"/>
  <c r="AR116" i="30"/>
  <c r="AR80" i="30"/>
  <c r="AA73" i="30"/>
  <c r="N128" i="30"/>
  <c r="N126" i="30"/>
  <c r="BK151" i="4"/>
  <c r="BK161" i="4"/>
  <c r="BK163" i="4"/>
  <c r="F38" i="30"/>
  <c r="AD48" i="23"/>
  <c r="H63" i="23"/>
  <c r="H74" i="23"/>
  <c r="BA102" i="23"/>
  <c r="X78" i="30"/>
  <c r="X79" i="30"/>
  <c r="X98" i="30"/>
  <c r="E117" i="23"/>
  <c r="E130" i="23"/>
  <c r="J38" i="23"/>
  <c r="L48" i="23"/>
  <c r="AE37" i="23"/>
  <c r="AE65" i="23"/>
  <c r="AE84" i="23"/>
  <c r="AQ126" i="23"/>
  <c r="AQ90" i="23"/>
  <c r="T58" i="30"/>
  <c r="T59" i="30"/>
  <c r="T97" i="30"/>
  <c r="AT58" i="30"/>
  <c r="AT59" i="30"/>
  <c r="AT97" i="30"/>
  <c r="BI130" i="23"/>
  <c r="X35" i="23"/>
  <c r="AB128" i="30"/>
  <c r="AB126" i="30"/>
  <c r="BH110" i="23"/>
  <c r="S126" i="4"/>
  <c r="S118" i="4"/>
  <c r="S155" i="4"/>
  <c r="BC128" i="30"/>
  <c r="BC126" i="30"/>
  <c r="AU26" i="30"/>
  <c r="AU28" i="30"/>
  <c r="AU34" i="30"/>
  <c r="AU53" i="30"/>
  <c r="AU72" i="30"/>
  <c r="AU84" i="30"/>
  <c r="BN168" i="4"/>
  <c r="BN143" i="4"/>
  <c r="BN136" i="4"/>
  <c r="AU146" i="23"/>
  <c r="AU106" i="23"/>
  <c r="AU41" i="23"/>
  <c r="AS38" i="30"/>
  <c r="BJ51" i="23"/>
  <c r="O130" i="23"/>
  <c r="AF86" i="23"/>
  <c r="BH83" i="23"/>
  <c r="AJ110" i="23"/>
  <c r="W38" i="30"/>
  <c r="BA27" i="30"/>
  <c r="BA95" i="30"/>
  <c r="BA135" i="30"/>
  <c r="BA137" i="30"/>
  <c r="AB120" i="4"/>
  <c r="AB103" i="4"/>
  <c r="AV38" i="23"/>
  <c r="O120" i="30"/>
  <c r="AQ124" i="23"/>
  <c r="AQ70" i="23"/>
  <c r="AP158" i="4"/>
  <c r="N78" i="30"/>
  <c r="N79" i="30"/>
  <c r="N98" i="30"/>
  <c r="BF128" i="30"/>
  <c r="BF126" i="30"/>
  <c r="AN97" i="23"/>
  <c r="AN98" i="23"/>
  <c r="AN100" i="23"/>
  <c r="AN128" i="23"/>
  <c r="B117" i="23"/>
  <c r="Y97" i="30"/>
  <c r="Y59" i="30"/>
  <c r="BI28" i="30"/>
  <c r="BI34" i="30"/>
  <c r="BI45" i="30"/>
  <c r="BK99" i="30"/>
  <c r="BK89" i="30"/>
  <c r="AI125" i="23"/>
  <c r="AI72" i="23"/>
  <c r="J147" i="23"/>
  <c r="J145" i="23"/>
  <c r="T165" i="4"/>
  <c r="X44" i="30"/>
  <c r="X49" i="30"/>
  <c r="X63" i="30"/>
  <c r="X68" i="30"/>
  <c r="X83" i="30"/>
  <c r="X87" i="30"/>
  <c r="X88" i="30"/>
  <c r="X90" i="30"/>
  <c r="X118" i="30"/>
  <c r="AU58" i="30"/>
  <c r="AU62" i="30"/>
  <c r="AU115" i="30"/>
  <c r="AZ41" i="23"/>
  <c r="AZ106" i="23"/>
  <c r="AZ146" i="23"/>
  <c r="I127" i="23"/>
  <c r="I92" i="23"/>
  <c r="AP173" i="4"/>
  <c r="AP136" i="4"/>
  <c r="AP143" i="4"/>
  <c r="AP168" i="4"/>
  <c r="AC27" i="30"/>
  <c r="AC95" i="30"/>
  <c r="AC100" i="30"/>
  <c r="BS155" i="4"/>
  <c r="BS118" i="4"/>
  <c r="BS123" i="4"/>
  <c r="BS133" i="4"/>
  <c r="BS144" i="4"/>
  <c r="BS169" i="4"/>
  <c r="AS45" i="30"/>
  <c r="BF47" i="23"/>
  <c r="BF55" i="23"/>
  <c r="BG84" i="23"/>
  <c r="BG65" i="23"/>
  <c r="AZ129" i="23"/>
  <c r="AZ101" i="23"/>
  <c r="B128" i="23"/>
  <c r="D128" i="23"/>
  <c r="D100" i="23"/>
  <c r="AK137" i="30"/>
  <c r="AK135" i="30"/>
  <c r="AC102" i="23"/>
  <c r="AV119" i="30"/>
  <c r="AV91" i="30"/>
  <c r="G43" i="23"/>
  <c r="K44" i="1"/>
  <c r="BK124" i="23"/>
  <c r="BK70" i="23"/>
  <c r="BJ83" i="23"/>
  <c r="T18" i="30"/>
  <c r="W178" i="4"/>
  <c r="T18" i="23"/>
  <c r="AB54" i="30"/>
  <c r="E105" i="23"/>
  <c r="E110" i="23"/>
  <c r="E140" i="4"/>
  <c r="R117" i="30"/>
  <c r="R82" i="30"/>
  <c r="AS26" i="30"/>
  <c r="AS28" i="30"/>
  <c r="AS34" i="30"/>
  <c r="AS53" i="30"/>
  <c r="AS64" i="30"/>
  <c r="BE43" i="23"/>
  <c r="BC116" i="30"/>
  <c r="BC78" i="30"/>
  <c r="BC80" i="30"/>
  <c r="Q107" i="23"/>
  <c r="Q69" i="23"/>
  <c r="D126" i="30"/>
  <c r="D128" i="30"/>
  <c r="A129" i="30"/>
  <c r="M8" i="30"/>
  <c r="W126" i="4"/>
  <c r="T111" i="30"/>
  <c r="T121" i="23"/>
  <c r="BO155" i="4"/>
  <c r="BO118" i="4"/>
  <c r="BO123" i="4"/>
  <c r="BO133" i="4"/>
  <c r="BO144" i="4"/>
  <c r="BO169" i="4"/>
  <c r="AO137" i="30"/>
  <c r="AO135" i="30"/>
  <c r="BG147" i="23"/>
  <c r="BG145" i="23"/>
  <c r="BY165" i="4"/>
  <c r="V18" i="23"/>
  <c r="Y178" i="4"/>
  <c r="V18" i="30"/>
  <c r="Q74" i="23"/>
  <c r="O39" i="30"/>
  <c r="O56" i="30"/>
  <c r="O75" i="30"/>
  <c r="AQ18" i="23"/>
  <c r="AQ18" i="30"/>
  <c r="AT178" i="4"/>
  <c r="BE136" i="30"/>
  <c r="BE96" i="30"/>
  <c r="AC153" i="4"/>
  <c r="AC155" i="4"/>
  <c r="AC118" i="4"/>
  <c r="AC123" i="4"/>
  <c r="AC133" i="4"/>
  <c r="AC144" i="4"/>
  <c r="AC169" i="4"/>
  <c r="AE58" i="30"/>
  <c r="AE59" i="30"/>
  <c r="AE97" i="30"/>
  <c r="AI86" i="23"/>
  <c r="AO48" i="23"/>
  <c r="N39" i="23"/>
  <c r="N66" i="23"/>
  <c r="N85" i="23"/>
  <c r="AN117" i="30"/>
  <c r="AN82" i="30"/>
  <c r="L107" i="30"/>
  <c r="L120" i="30"/>
  <c r="AW108" i="23"/>
  <c r="AW88" i="23"/>
  <c r="AW89" i="23"/>
  <c r="AM47" i="23"/>
  <c r="AM55" i="23"/>
  <c r="AI54" i="23"/>
  <c r="AI59" i="23"/>
  <c r="AI73" i="23"/>
  <c r="AI78" i="23"/>
  <c r="AI93" i="23"/>
  <c r="AI102" i="23"/>
  <c r="Q173" i="4"/>
  <c r="Q168" i="4"/>
  <c r="Q143" i="4"/>
  <c r="Q136" i="4"/>
  <c r="AY39" i="30"/>
  <c r="AY56" i="30"/>
  <c r="AY75" i="30"/>
  <c r="AB35" i="30"/>
  <c r="BA47" i="23"/>
  <c r="BA55" i="23"/>
  <c r="BE128" i="30"/>
  <c r="BE126" i="30"/>
  <c r="BC127" i="23"/>
  <c r="BC92" i="23"/>
  <c r="AA47" i="23"/>
  <c r="AA55" i="23"/>
  <c r="AD35" i="23"/>
  <c r="AZ48" i="23"/>
  <c r="AS75" i="30"/>
  <c r="AS56" i="30"/>
  <c r="AS39" i="30"/>
  <c r="BI110" i="23"/>
  <c r="E117" i="30"/>
  <c r="E78" i="30"/>
  <c r="E82" i="30"/>
  <c r="K84" i="23"/>
  <c r="K65" i="23"/>
  <c r="AK110" i="23"/>
  <c r="AG55" i="23"/>
  <c r="BR168" i="4"/>
  <c r="BR143" i="4"/>
  <c r="BR155" i="4"/>
  <c r="BR118" i="4"/>
  <c r="BR123" i="4"/>
  <c r="BR133" i="4"/>
  <c r="BR136" i="4"/>
  <c r="AM114" i="30"/>
  <c r="AM60" i="30"/>
  <c r="AF37" i="23"/>
  <c r="AF65" i="23"/>
  <c r="AF84" i="23"/>
  <c r="BL39" i="30"/>
  <c r="BL56" i="30"/>
  <c r="BL75" i="30"/>
  <c r="Q28" i="5"/>
  <c r="P28" i="5"/>
  <c r="M28" i="5"/>
  <c r="BG78" i="30"/>
  <c r="BG79" i="30"/>
  <c r="BG98" i="30"/>
  <c r="O51" i="23"/>
  <c r="E85" i="5"/>
  <c r="G85" i="5"/>
  <c r="C85" i="5"/>
  <c r="F85" i="5"/>
  <c r="J45" i="30"/>
  <c r="AA38" i="30"/>
  <c r="J64" i="30"/>
  <c r="AH35" i="23"/>
  <c r="BJ38" i="30"/>
  <c r="AR64" i="30"/>
  <c r="AM35" i="23"/>
  <c r="AS190" i="4"/>
  <c r="AS188" i="4"/>
  <c r="AS127" i="4"/>
  <c r="AR158" i="4"/>
  <c r="BD147" i="23"/>
  <c r="BD145" i="23"/>
  <c r="AT102" i="23"/>
  <c r="M38" i="23"/>
  <c r="O76" i="30"/>
  <c r="U162" i="4"/>
  <c r="U154" i="4"/>
  <c r="U184" i="4"/>
  <c r="F117" i="23"/>
  <c r="F136" i="23"/>
  <c r="F138" i="23"/>
  <c r="BQ178" i="4"/>
  <c r="BQ177" i="4"/>
  <c r="BQ170" i="4"/>
  <c r="E39" i="23"/>
  <c r="E66" i="23"/>
  <c r="E85" i="23"/>
  <c r="V83" i="23"/>
  <c r="BJ137" i="30"/>
  <c r="BJ135" i="30"/>
  <c r="BD54" i="30"/>
  <c r="AG41" i="23"/>
  <c r="AG106" i="23"/>
  <c r="AG146" i="23"/>
  <c r="AF138" i="23"/>
  <c r="AF136" i="23"/>
  <c r="AM68" i="23"/>
  <c r="AM69" i="23"/>
  <c r="AM107" i="23"/>
  <c r="AX137" i="30"/>
  <c r="AX135" i="30"/>
  <c r="F68" i="23"/>
  <c r="F86" i="23"/>
  <c r="L169" i="4"/>
  <c r="B95" i="30"/>
  <c r="Z75" i="30"/>
  <c r="Z56" i="30"/>
  <c r="Z39" i="30"/>
  <c r="Q53" i="30"/>
  <c r="Q64" i="30"/>
  <c r="BC74" i="30"/>
  <c r="BC55" i="30"/>
  <c r="W169" i="4"/>
  <c r="AZ38" i="23"/>
  <c r="AS85" i="23"/>
  <c r="AS66" i="23"/>
  <c r="AS39" i="23"/>
  <c r="AW45" i="30"/>
  <c r="AB189" i="4"/>
  <c r="AB128" i="4"/>
  <c r="L35" i="30"/>
  <c r="I114" i="30"/>
  <c r="I60" i="30"/>
  <c r="BD130" i="23"/>
  <c r="R110" i="23"/>
  <c r="N151" i="4"/>
  <c r="N165" i="4"/>
  <c r="CA136" i="4"/>
  <c r="CA143" i="4"/>
  <c r="CA168" i="4"/>
  <c r="AH158" i="4"/>
  <c r="I178" i="4"/>
  <c r="BA109" i="23"/>
  <c r="BA99" i="23"/>
  <c r="R58" i="30"/>
  <c r="R76" i="30"/>
  <c r="AB118" i="30"/>
  <c r="AB44" i="30"/>
  <c r="AB49" i="30"/>
  <c r="AB63" i="30"/>
  <c r="AB68" i="30"/>
  <c r="AB83" i="30"/>
  <c r="AB87" i="30"/>
  <c r="AB88" i="30"/>
  <c r="AB90" i="30"/>
  <c r="E47" i="23"/>
  <c r="E55" i="23"/>
  <c r="BP127" i="4"/>
  <c r="BP188" i="4"/>
  <c r="BP190" i="4"/>
  <c r="AU158" i="4"/>
  <c r="AQ43" i="23"/>
  <c r="AX35" i="23"/>
  <c r="AR137" i="30"/>
  <c r="AR135" i="30"/>
  <c r="D91" i="30"/>
  <c r="D119" i="30"/>
  <c r="B119" i="30"/>
  <c r="BK42" i="23"/>
  <c r="BK51" i="23"/>
  <c r="K39" i="23"/>
  <c r="K66" i="23"/>
  <c r="K85" i="23"/>
  <c r="BE48" i="23"/>
  <c r="AU27" i="30"/>
  <c r="AU95" i="30"/>
  <c r="AU100" i="30"/>
  <c r="BI55" i="23"/>
  <c r="L73" i="30"/>
  <c r="BH26" i="23"/>
  <c r="BH28" i="23"/>
  <c r="BH34" i="23"/>
  <c r="BH105" i="23"/>
  <c r="BH145" i="23"/>
  <c r="BH147" i="23"/>
  <c r="N126" i="23"/>
  <c r="N90" i="23"/>
  <c r="BC26" i="30"/>
  <c r="BC107" i="30"/>
  <c r="BC120" i="30"/>
  <c r="D13" i="13"/>
  <c r="F74" i="5"/>
  <c r="F32" i="5"/>
  <c r="D12" i="13"/>
  <c r="C33" i="13"/>
  <c r="AX64" i="23"/>
  <c r="AY55" i="23"/>
  <c r="L75" i="30"/>
  <c r="L56" i="30"/>
  <c r="L39" i="30"/>
  <c r="Y27" i="30"/>
  <c r="Y95" i="30"/>
  <c r="Y100" i="30"/>
  <c r="O47" i="23"/>
  <c r="O117" i="23"/>
  <c r="O136" i="23"/>
  <c r="O138" i="23"/>
  <c r="AF68" i="23"/>
  <c r="AF72" i="23"/>
  <c r="AF125" i="23"/>
  <c r="AJ105" i="23"/>
  <c r="AJ145" i="23"/>
  <c r="AJ147" i="23"/>
  <c r="W37" i="30"/>
  <c r="W55" i="30"/>
  <c r="W74" i="30"/>
  <c r="AN120" i="4"/>
  <c r="AN103" i="4"/>
  <c r="O107" i="30"/>
  <c r="O126" i="30"/>
  <c r="O128" i="30"/>
  <c r="B99" i="30"/>
  <c r="D99" i="30"/>
  <c r="D87" i="30"/>
  <c r="D88" i="30"/>
  <c r="D89" i="30"/>
  <c r="AG165" i="4"/>
  <c r="BF107" i="30"/>
  <c r="BF120" i="30"/>
  <c r="AA184" i="4"/>
  <c r="AA154" i="4"/>
  <c r="AA162" i="4"/>
  <c r="A121" i="30"/>
  <c r="B120" i="30"/>
  <c r="D120" i="30"/>
  <c r="A122" i="30"/>
  <c r="I127" i="4"/>
  <c r="I188" i="4"/>
  <c r="I190" i="4"/>
  <c r="AJ92" i="30"/>
  <c r="BQ136" i="4"/>
  <c r="BQ143" i="4"/>
  <c r="BQ168" i="4"/>
  <c r="J127" i="30"/>
  <c r="J113" i="30"/>
  <c r="J43" i="30"/>
  <c r="T185" i="4"/>
  <c r="T151" i="4"/>
  <c r="T161" i="4"/>
  <c r="T163" i="4"/>
  <c r="AN84" i="30"/>
  <c r="AN72" i="30"/>
  <c r="BB127" i="23"/>
  <c r="BB92" i="23"/>
  <c r="AE64" i="30"/>
  <c r="BN169" i="4"/>
  <c r="BF39" i="30"/>
  <c r="BF56" i="30"/>
  <c r="BF75" i="30"/>
  <c r="L84" i="30"/>
  <c r="L72" i="30"/>
  <c r="BY127" i="4"/>
  <c r="BY188" i="4"/>
  <c r="BY190" i="4"/>
  <c r="I27" i="23"/>
  <c r="I34" i="23"/>
  <c r="I105" i="23"/>
  <c r="I145" i="23"/>
  <c r="I147" i="23"/>
  <c r="A150" i="23"/>
  <c r="O10" i="23"/>
  <c r="S28" i="30"/>
  <c r="S34" i="30"/>
  <c r="S45" i="30"/>
  <c r="BB125" i="23"/>
  <c r="BB72" i="23"/>
  <c r="BJ28" i="30"/>
  <c r="BJ34" i="30"/>
  <c r="BJ45" i="30"/>
  <c r="BG38" i="23"/>
  <c r="AK27" i="30"/>
  <c r="AK95" i="30"/>
  <c r="AK100" i="30"/>
  <c r="AS35" i="23"/>
  <c r="AX86" i="23"/>
  <c r="J44" i="1"/>
  <c r="D96" i="16"/>
  <c r="E96" i="16"/>
  <c r="BK68" i="23"/>
  <c r="BK86" i="23"/>
  <c r="K48" i="23"/>
  <c r="V38" i="30"/>
  <c r="AX92" i="30"/>
  <c r="P41" i="30"/>
  <c r="P42" i="30"/>
  <c r="P43" i="30"/>
  <c r="P113" i="30"/>
  <c r="P127" i="30"/>
  <c r="B59" i="23"/>
  <c r="BC129" i="23"/>
  <c r="BC54" i="23"/>
  <c r="BC59" i="23"/>
  <c r="BC73" i="23"/>
  <c r="BC78" i="23"/>
  <c r="BC93" i="23"/>
  <c r="BC97" i="23"/>
  <c r="BC98" i="23"/>
  <c r="BC101" i="23"/>
  <c r="AE117" i="30"/>
  <c r="AE82" i="30"/>
  <c r="R128" i="30"/>
  <c r="R126" i="30"/>
  <c r="R126" i="23"/>
  <c r="R90" i="23"/>
  <c r="BL81" i="30"/>
  <c r="BF38" i="30"/>
  <c r="G18" i="23"/>
  <c r="G18" i="30"/>
  <c r="AO27" i="30"/>
  <c r="AO95" i="30"/>
  <c r="AO100" i="30"/>
  <c r="BG105" i="23"/>
  <c r="BG110" i="23"/>
  <c r="I18" i="30"/>
  <c r="I18" i="23"/>
  <c r="AR190" i="4"/>
  <c r="AR127" i="4"/>
  <c r="AR188" i="4"/>
  <c r="AY54" i="30"/>
  <c r="X120" i="30"/>
  <c r="AX147" i="23"/>
  <c r="AX145" i="23"/>
  <c r="BH127" i="4"/>
  <c r="BH188" i="4"/>
  <c r="BH190" i="4"/>
  <c r="W85" i="23"/>
  <c r="W66" i="23"/>
  <c r="W23" i="23"/>
  <c r="W39" i="23"/>
  <c r="BZ168" i="4"/>
  <c r="BZ136" i="4"/>
  <c r="BZ143" i="4"/>
  <c r="AI68" i="23"/>
  <c r="AI70" i="23"/>
  <c r="AI124" i="23"/>
  <c r="S129" i="23"/>
  <c r="S101" i="23"/>
  <c r="AE102" i="23"/>
  <c r="AX165" i="4"/>
  <c r="S64" i="23"/>
  <c r="AU50" i="23"/>
  <c r="AU53" i="23"/>
  <c r="AU123" i="23"/>
  <c r="AU137" i="23"/>
  <c r="O116" i="30"/>
  <c r="O78" i="30"/>
  <c r="O80" i="30"/>
  <c r="AL120" i="30"/>
  <c r="BA107" i="30"/>
  <c r="BA120" i="30"/>
  <c r="AJ173" i="4"/>
  <c r="AJ136" i="4"/>
  <c r="AJ143" i="4"/>
  <c r="AJ168" i="4"/>
  <c r="AK99" i="23"/>
  <c r="AK109" i="23"/>
  <c r="BI86" i="23"/>
  <c r="W184" i="4"/>
  <c r="W154" i="4"/>
  <c r="W162" i="4"/>
  <c r="BI105" i="23"/>
  <c r="BI145" i="23"/>
  <c r="BI147" i="23"/>
  <c r="R37" i="30"/>
  <c r="R38" i="30"/>
  <c r="AF158" i="4"/>
  <c r="AQ35" i="30"/>
  <c r="AQ35" i="23"/>
  <c r="AH26" i="23"/>
  <c r="AH28" i="23"/>
  <c r="AH34" i="23"/>
  <c r="AH43" i="23"/>
  <c r="E132" i="4"/>
  <c r="Y38" i="30"/>
  <c r="G110" i="23"/>
  <c r="N75" i="30"/>
  <c r="N39" i="30"/>
  <c r="N56" i="30"/>
  <c r="AT158" i="4"/>
  <c r="AS115" i="30"/>
  <c r="AS62" i="30"/>
  <c r="BG76" i="30"/>
  <c r="BH126" i="23"/>
  <c r="BH90" i="23"/>
  <c r="AR51" i="23"/>
  <c r="BL28" i="30"/>
  <c r="BL34" i="30"/>
  <c r="BL53" i="30"/>
  <c r="BL64" i="30"/>
  <c r="J28" i="30"/>
  <c r="J34" i="30"/>
  <c r="J53" i="30"/>
  <c r="J72" i="30"/>
  <c r="J84" i="30"/>
  <c r="D136" i="30"/>
  <c r="D96" i="30"/>
  <c r="B96" i="30"/>
  <c r="H129" i="23"/>
  <c r="H101" i="23"/>
  <c r="AR26" i="30"/>
  <c r="AR28" i="30"/>
  <c r="AR34" i="30"/>
  <c r="AR53" i="30"/>
  <c r="AR72" i="30"/>
  <c r="AR84" i="30"/>
  <c r="BC18" i="30"/>
  <c r="BF178" i="4"/>
  <c r="BC18" i="23"/>
  <c r="AR38" i="30"/>
  <c r="AB158" i="4"/>
  <c r="BD105" i="23"/>
  <c r="BD110" i="23"/>
  <c r="C28" i="30"/>
  <c r="C26" i="30"/>
  <c r="AR42" i="23"/>
  <c r="AR54" i="23"/>
  <c r="AR59" i="23"/>
  <c r="AR73" i="23"/>
  <c r="AR78" i="23"/>
  <c r="AR93" i="23"/>
  <c r="AR102" i="23"/>
  <c r="AW110" i="23"/>
  <c r="BI36" i="30"/>
  <c r="BI40" i="30"/>
  <c r="BJ33" i="30"/>
  <c r="BJ35" i="30"/>
  <c r="BK119" i="30"/>
  <c r="BK87" i="30"/>
  <c r="BK88" i="30"/>
  <c r="BK91" i="30"/>
  <c r="Q110" i="23"/>
  <c r="AD105" i="23"/>
  <c r="AD110" i="23"/>
  <c r="N130" i="23"/>
  <c r="AB37" i="23"/>
  <c r="AB38" i="23"/>
  <c r="Y44" i="30"/>
  <c r="Y49" i="30"/>
  <c r="Y63" i="30"/>
  <c r="Y68" i="30"/>
  <c r="Y83" i="30"/>
  <c r="Y92" i="30"/>
  <c r="AD132" i="4"/>
  <c r="BK117" i="23"/>
  <c r="BK130" i="23"/>
  <c r="H35" i="17"/>
  <c r="H33" i="17"/>
  <c r="G64" i="23"/>
  <c r="Y109" i="23"/>
  <c r="Y99" i="23"/>
  <c r="Q26" i="30"/>
  <c r="Q28" i="30"/>
  <c r="Q34" i="30"/>
  <c r="Q45" i="30"/>
  <c r="BC37" i="30"/>
  <c r="BC38" i="30"/>
  <c r="AK38" i="23"/>
  <c r="B37" i="23"/>
  <c r="E38" i="23"/>
  <c r="AF45" i="30"/>
  <c r="AH51" i="23"/>
  <c r="AL74" i="23"/>
  <c r="I58" i="30"/>
  <c r="I76" i="30"/>
  <c r="AB117" i="30"/>
  <c r="AB82" i="30"/>
  <c r="BD47" i="23"/>
  <c r="BD117" i="23"/>
  <c r="BD136" i="23"/>
  <c r="BD138" i="23"/>
  <c r="BH84" i="23"/>
  <c r="BH65" i="23"/>
  <c r="O9" i="30"/>
  <c r="D27" i="30"/>
  <c r="D95" i="30"/>
  <c r="D135" i="30"/>
  <c r="D137" i="30"/>
  <c r="A139" i="30"/>
  <c r="B143" i="30"/>
  <c r="N133" i="4"/>
  <c r="N144" i="4"/>
  <c r="N169" i="4"/>
  <c r="BE76" i="30"/>
  <c r="Q190" i="4"/>
  <c r="Q188" i="4"/>
  <c r="Q127" i="4"/>
  <c r="AB76" i="30"/>
  <c r="AK126" i="23"/>
  <c r="AK88" i="23"/>
  <c r="AK90" i="23"/>
  <c r="Q48" i="23"/>
  <c r="AY86" i="23"/>
  <c r="AQ108" i="23"/>
  <c r="AQ89" i="23"/>
  <c r="E26" i="23"/>
  <c r="E28" i="23"/>
  <c r="G73" i="30"/>
  <c r="AZ162" i="4"/>
  <c r="AZ154" i="4"/>
  <c r="AZ184" i="4"/>
  <c r="AR27" i="30"/>
  <c r="AR95" i="30"/>
  <c r="AR100" i="30"/>
  <c r="K146" i="23"/>
  <c r="K106" i="23"/>
  <c r="K41" i="23"/>
  <c r="K163" i="4"/>
  <c r="K161" i="4"/>
  <c r="K185" i="4"/>
  <c r="AH98" i="30"/>
  <c r="AH79" i="30"/>
  <c r="BC136" i="4"/>
  <c r="BC143" i="4"/>
  <c r="BC168" i="4"/>
  <c r="BC173" i="4"/>
  <c r="R83" i="23"/>
  <c r="V85" i="23"/>
  <c r="V39" i="23"/>
  <c r="V66" i="23"/>
  <c r="AA165" i="4"/>
  <c r="P128" i="30"/>
  <c r="P126" i="30"/>
  <c r="BI100" i="30"/>
  <c r="Q165" i="4"/>
  <c r="AZ114" i="30"/>
  <c r="AZ60" i="30"/>
  <c r="AV86" i="23"/>
  <c r="AP86" i="23"/>
  <c r="R155" i="4"/>
  <c r="R118" i="4"/>
  <c r="R126" i="4"/>
  <c r="AW55" i="23"/>
  <c r="AV37" i="23"/>
  <c r="AV41" i="23"/>
  <c r="AV106" i="23"/>
  <c r="AV146" i="23"/>
  <c r="AH76" i="30"/>
  <c r="AV54" i="30"/>
  <c r="AR127" i="23"/>
  <c r="AR92" i="23"/>
  <c r="AD125" i="23"/>
  <c r="AD72" i="23"/>
  <c r="AG185" i="4"/>
  <c r="AG151" i="4"/>
  <c r="AG161" i="4"/>
  <c r="AG163" i="4"/>
  <c r="AP85" i="23"/>
  <c r="AP39" i="23"/>
  <c r="AP66" i="23"/>
  <c r="AX94" i="23"/>
  <c r="AX82" i="23"/>
  <c r="AT94" i="23"/>
  <c r="AT82" i="23"/>
  <c r="BT168" i="4"/>
  <c r="BT143" i="4"/>
  <c r="BT136" i="4"/>
  <c r="V165" i="4"/>
  <c r="I126" i="4"/>
  <c r="I155" i="4"/>
  <c r="I118" i="4"/>
  <c r="BD137" i="30"/>
  <c r="BD135" i="30"/>
  <c r="U128" i="30"/>
  <c r="U126" i="30"/>
  <c r="J105" i="23"/>
  <c r="J110" i="23"/>
  <c r="AO114" i="30"/>
  <c r="AO60" i="30"/>
  <c r="U35" i="30"/>
  <c r="AA18" i="23"/>
  <c r="AD178" i="4"/>
  <c r="AA18" i="30"/>
  <c r="AM39" i="23"/>
  <c r="AM66" i="23"/>
  <c r="AM85" i="23"/>
  <c r="BG53" i="30"/>
  <c r="BG64" i="30"/>
  <c r="K18" i="30"/>
  <c r="K18" i="23"/>
  <c r="BA89" i="23"/>
  <c r="BA108" i="23"/>
  <c r="AW100" i="30"/>
  <c r="B50" i="23"/>
  <c r="O108" i="23"/>
  <c r="O88" i="23"/>
  <c r="O89" i="23"/>
  <c r="BB68" i="23"/>
  <c r="BB86" i="23"/>
  <c r="K27" i="30"/>
  <c r="K95" i="30"/>
  <c r="K100" i="30"/>
  <c r="AX68" i="23"/>
  <c r="AX69" i="23"/>
  <c r="AX107" i="23"/>
  <c r="AJ26" i="30"/>
  <c r="AJ28" i="30"/>
  <c r="AJ34" i="30"/>
  <c r="AJ53" i="30"/>
  <c r="AJ64" i="30"/>
  <c r="AJ124" i="23"/>
  <c r="AJ70" i="23"/>
  <c r="P27" i="30"/>
  <c r="P95" i="30"/>
  <c r="P100" i="30"/>
  <c r="AJ68" i="23"/>
  <c r="AJ86" i="23"/>
  <c r="AI39" i="30"/>
  <c r="AI56" i="30"/>
  <c r="AI75" i="30"/>
  <c r="R48" i="23"/>
  <c r="AU105" i="23"/>
  <c r="AU110" i="23"/>
  <c r="S92" i="30"/>
  <c r="R178" i="4"/>
  <c r="O18" i="23"/>
  <c r="O18" i="30"/>
  <c r="B34" i="30"/>
  <c r="AV158" i="4"/>
  <c r="U51" i="23"/>
  <c r="AR136" i="4"/>
  <c r="AR143" i="4"/>
  <c r="AR168" i="4"/>
  <c r="AR173" i="4"/>
  <c r="R107" i="30"/>
  <c r="R120" i="30"/>
  <c r="M23" i="5"/>
  <c r="C118" i="4"/>
  <c r="J122" i="23"/>
  <c r="J112" i="30"/>
  <c r="BF55" i="30"/>
  <c r="BF74" i="30"/>
  <c r="BG28" i="23"/>
  <c r="BG34" i="23"/>
  <c r="BG43" i="23"/>
  <c r="N155" i="4"/>
  <c r="N118" i="4"/>
  <c r="N126" i="4"/>
  <c r="E39" i="30"/>
  <c r="B39" i="30"/>
  <c r="G44" i="5"/>
  <c r="C44" i="5"/>
  <c r="C120" i="4"/>
  <c r="F44" i="5"/>
  <c r="E44" i="5"/>
  <c r="D94" i="23"/>
  <c r="B94" i="23"/>
  <c r="X26" i="30"/>
  <c r="X107" i="30"/>
  <c r="X126" i="30"/>
  <c r="X128" i="30"/>
  <c r="AX105" i="23"/>
  <c r="AX110" i="23"/>
  <c r="BB51" i="23"/>
  <c r="AM58" i="30"/>
  <c r="AM76" i="30"/>
  <c r="AP102" i="23"/>
  <c r="BE26" i="23"/>
  <c r="BE28" i="23"/>
  <c r="BE34" i="23"/>
  <c r="BE105" i="23"/>
  <c r="BE110" i="23"/>
  <c r="F66" i="5"/>
  <c r="C66" i="5"/>
  <c r="E66" i="5"/>
  <c r="G66" i="5"/>
  <c r="E89" i="23"/>
  <c r="E108" i="23"/>
  <c r="B108" i="23"/>
  <c r="AJ42" i="23"/>
  <c r="AJ51" i="23"/>
  <c r="AS51" i="23"/>
  <c r="B109" i="23"/>
  <c r="D68" i="23"/>
  <c r="D72" i="23"/>
  <c r="D73" i="23"/>
  <c r="D78" i="23"/>
  <c r="D93" i="23"/>
  <c r="D97" i="23"/>
  <c r="D98" i="23"/>
  <c r="D99" i="23"/>
  <c r="D109" i="23"/>
  <c r="D146" i="23"/>
  <c r="AF27" i="30"/>
  <c r="AF95" i="30"/>
  <c r="AF100" i="30"/>
  <c r="BD51" i="23"/>
  <c r="AL107" i="30"/>
  <c r="AL126" i="30"/>
  <c r="AL128" i="30"/>
  <c r="BF68" i="23"/>
  <c r="BF70" i="23"/>
  <c r="BF124" i="23"/>
  <c r="AP48" i="23"/>
  <c r="AN35" i="30"/>
  <c r="BI68" i="23"/>
  <c r="BI69" i="23"/>
  <c r="BI107" i="23"/>
  <c r="BL91" i="23"/>
  <c r="BH48" i="23"/>
  <c r="U124" i="23"/>
  <c r="U70" i="23"/>
  <c r="AQ63" i="23"/>
  <c r="AQ74" i="23"/>
  <c r="AZ26" i="30"/>
  <c r="AZ28" i="30"/>
  <c r="AZ34" i="30"/>
  <c r="AZ45" i="30"/>
  <c r="BK136" i="4"/>
  <c r="BK143" i="4"/>
  <c r="BK168" i="4"/>
  <c r="AT38" i="30"/>
  <c r="AN92" i="30"/>
  <c r="G98" i="30"/>
  <c r="G78" i="30"/>
  <c r="G79" i="30"/>
  <c r="AY127" i="4"/>
  <c r="AY188" i="4"/>
  <c r="AY190" i="4"/>
  <c r="AN78" i="30"/>
  <c r="AN80" i="30"/>
  <c r="AN116" i="30"/>
  <c r="V42" i="23"/>
  <c r="V54" i="23"/>
  <c r="V59" i="23"/>
  <c r="V73" i="23"/>
  <c r="V78" i="23"/>
  <c r="V93" i="23"/>
  <c r="V97" i="23"/>
  <c r="V98" i="23"/>
  <c r="V99" i="23"/>
  <c r="V109" i="23"/>
  <c r="G27" i="23"/>
  <c r="G34" i="23"/>
  <c r="G105" i="23"/>
  <c r="G145" i="23"/>
  <c r="G147" i="23"/>
  <c r="BH51" i="23"/>
  <c r="AS43" i="23"/>
  <c r="AP114" i="30"/>
  <c r="AP60" i="30"/>
  <c r="BG58" i="30"/>
  <c r="BG60" i="30"/>
  <c r="BG114" i="30"/>
  <c r="W117" i="23"/>
  <c r="W130" i="23"/>
  <c r="U118" i="30"/>
  <c r="U44" i="30"/>
  <c r="U49" i="30"/>
  <c r="U63" i="30"/>
  <c r="U68" i="30"/>
  <c r="U83" i="30"/>
  <c r="U87" i="30"/>
  <c r="U88" i="30"/>
  <c r="U90" i="30"/>
  <c r="E87" i="5"/>
  <c r="G87" i="5"/>
  <c r="U103" i="4"/>
  <c r="U120" i="4"/>
  <c r="E120" i="4"/>
  <c r="N29" i="5"/>
  <c r="D44" i="5"/>
  <c r="D79" i="5"/>
  <c r="D85" i="5"/>
  <c r="D87" i="5"/>
  <c r="F87" i="5"/>
  <c r="AI35" i="23"/>
  <c r="AS105" i="23"/>
  <c r="AS110" i="23"/>
  <c r="AH99" i="30"/>
  <c r="AH44" i="30"/>
  <c r="AH49" i="30"/>
  <c r="AH63" i="30"/>
  <c r="AH68" i="30"/>
  <c r="AH83" i="30"/>
  <c r="AH87" i="30"/>
  <c r="AH88" i="30"/>
  <c r="AH89" i="30"/>
  <c r="BJ37" i="30"/>
  <c r="BJ41" i="30"/>
  <c r="BJ42" i="30"/>
  <c r="BJ43" i="30"/>
  <c r="BJ113" i="30"/>
  <c r="BJ127" i="30"/>
  <c r="Q84" i="23"/>
  <c r="Q65" i="23"/>
  <c r="G11" i="23"/>
  <c r="H11" i="23"/>
  <c r="G35" i="17"/>
  <c r="U84" i="30"/>
  <c r="U72" i="30"/>
  <c r="H144" i="4"/>
  <c r="H151" i="4"/>
  <c r="H165" i="4"/>
  <c r="AZ37" i="23"/>
  <c r="AZ65" i="23"/>
  <c r="AZ84" i="23"/>
  <c r="AY28" i="23"/>
  <c r="AY34" i="23"/>
  <c r="AY63" i="23"/>
  <c r="AY82" i="23"/>
  <c r="AY94" i="23"/>
  <c r="V73" i="30"/>
  <c r="BD26" i="23"/>
  <c r="BD28" i="23"/>
  <c r="BD34" i="23"/>
  <c r="BD43" i="23"/>
  <c r="BE119" i="30"/>
  <c r="BE91" i="30"/>
  <c r="M37" i="23"/>
  <c r="M41" i="23"/>
  <c r="M106" i="23"/>
  <c r="M146" i="23"/>
  <c r="AW105" i="23"/>
  <c r="AW145" i="23"/>
  <c r="AW147" i="23"/>
  <c r="D110" i="23"/>
  <c r="A111" i="23"/>
  <c r="K8" i="23"/>
  <c r="AN169" i="4"/>
  <c r="BQ162" i="4"/>
  <c r="BQ154" i="4"/>
  <c r="BQ184" i="4"/>
  <c r="Q105" i="23"/>
  <c r="Q145" i="23"/>
  <c r="Q147" i="23"/>
  <c r="O97" i="23"/>
  <c r="O98" i="23"/>
  <c r="O101" i="23"/>
  <c r="O129" i="23"/>
  <c r="P178" i="4"/>
  <c r="M18" i="30"/>
  <c r="M18" i="23"/>
  <c r="BC88" i="23"/>
  <c r="BC90" i="23"/>
  <c r="BC126" i="23"/>
  <c r="N47" i="23"/>
  <c r="N117" i="23"/>
  <c r="N136" i="23"/>
  <c r="N138" i="23"/>
  <c r="Z153" i="4"/>
  <c r="Z155" i="4"/>
  <c r="Z118" i="4"/>
  <c r="Z123" i="4"/>
  <c r="Z127" i="4"/>
  <c r="Z188" i="4"/>
  <c r="Z190" i="4"/>
  <c r="BF26" i="30"/>
  <c r="BF28" i="30"/>
  <c r="BF34" i="30"/>
  <c r="BF53" i="30"/>
  <c r="BF72" i="30"/>
  <c r="BF84" i="30"/>
  <c r="AD102" i="4"/>
  <c r="AD103" i="4"/>
  <c r="AD120" i="4"/>
  <c r="BK47" i="23"/>
  <c r="BK55" i="23"/>
  <c r="Z178" i="4"/>
  <c r="W18" i="30"/>
  <c r="W18" i="23"/>
  <c r="BC58" i="30"/>
  <c r="BC76" i="30"/>
  <c r="D4" i="23"/>
  <c r="C6" i="23"/>
  <c r="W163" i="4"/>
  <c r="W161" i="4"/>
  <c r="W185" i="4"/>
  <c r="AK37" i="23"/>
  <c r="AK65" i="23"/>
  <c r="AK84" i="23"/>
  <c r="AO44" i="30"/>
  <c r="AO49" i="30"/>
  <c r="AO63" i="30"/>
  <c r="AO68" i="30"/>
  <c r="AO83" i="30"/>
  <c r="AO87" i="30"/>
  <c r="AO88" i="30"/>
  <c r="AO90" i="30"/>
  <c r="AO118" i="30"/>
  <c r="AB105" i="23"/>
  <c r="AB110" i="23"/>
  <c r="W119" i="30"/>
  <c r="W91" i="30"/>
  <c r="AB126" i="4"/>
  <c r="Y121" i="23"/>
  <c r="Y111" i="30"/>
  <c r="AL26" i="23"/>
  <c r="AL28" i="23"/>
  <c r="AL34" i="23"/>
  <c r="AL63" i="23"/>
  <c r="AL82" i="23"/>
  <c r="AL94" i="23"/>
  <c r="BA88" i="23"/>
  <c r="BA90" i="23"/>
  <c r="BA126" i="23"/>
  <c r="BA162" i="4"/>
  <c r="BA154" i="4"/>
  <c r="BA184" i="4"/>
  <c r="AR74" i="23"/>
  <c r="BL184" i="4"/>
  <c r="BL162" i="4"/>
  <c r="AL111" i="30"/>
  <c r="AO126" i="4"/>
  <c r="AL121" i="23"/>
  <c r="AB74" i="30"/>
  <c r="AB55" i="30"/>
  <c r="K133" i="4"/>
  <c r="K144" i="4"/>
  <c r="K151" i="4"/>
  <c r="K165" i="4"/>
  <c r="BE58" i="30"/>
  <c r="BE59" i="30"/>
  <c r="BE97" i="30"/>
  <c r="AY68" i="23"/>
  <c r="AY70" i="23"/>
  <c r="AY124" i="23"/>
  <c r="BB47" i="23"/>
  <c r="BB117" i="23"/>
  <c r="BB130" i="23"/>
  <c r="AI99" i="30"/>
  <c r="AI89" i="30"/>
  <c r="Z50" i="23"/>
  <c r="Z53" i="23"/>
  <c r="Z123" i="23"/>
  <c r="Z137" i="23"/>
  <c r="AM48" i="23"/>
  <c r="BI162" i="4"/>
  <c r="BI184" i="4"/>
  <c r="AF126" i="4"/>
  <c r="AC121" i="23"/>
  <c r="AC111" i="30"/>
  <c r="AE35" i="23"/>
  <c r="AG84" i="30"/>
  <c r="AG72" i="30"/>
  <c r="W74" i="23"/>
  <c r="AZ119" i="30"/>
  <c r="AZ91" i="30"/>
  <c r="AG18" i="30"/>
  <c r="AG18" i="23"/>
  <c r="AJ178" i="4"/>
  <c r="P73" i="30"/>
  <c r="S88" i="23"/>
  <c r="S89" i="23"/>
  <c r="S108" i="23"/>
  <c r="AA48" i="23"/>
  <c r="BH36" i="30"/>
  <c r="BH40" i="30"/>
  <c r="BI33" i="30"/>
  <c r="BI35" i="30"/>
  <c r="BB189" i="4"/>
  <c r="BB128" i="4"/>
  <c r="BI27" i="30"/>
  <c r="BI95" i="30"/>
  <c r="BI135" i="30"/>
  <c r="BI137" i="30"/>
  <c r="Q185" i="4"/>
  <c r="Q133" i="4"/>
  <c r="Q144" i="4"/>
  <c r="Q151" i="4"/>
  <c r="Q161" i="4"/>
  <c r="Q163" i="4"/>
  <c r="AO78" i="30"/>
  <c r="AO80" i="30"/>
  <c r="AO116" i="30"/>
  <c r="AH111" i="30"/>
  <c r="AK126" i="4"/>
  <c r="AH121" i="23"/>
  <c r="N84" i="23"/>
  <c r="N65" i="23"/>
  <c r="AV68" i="23"/>
  <c r="AV70" i="23"/>
  <c r="AV124" i="23"/>
  <c r="AP68" i="23"/>
  <c r="AP70" i="23"/>
  <c r="AP124" i="23"/>
  <c r="F88" i="23"/>
  <c r="F92" i="23"/>
  <c r="F127" i="23"/>
  <c r="AD39" i="30"/>
  <c r="AD56" i="30"/>
  <c r="AD75" i="30"/>
  <c r="AZ137" i="23"/>
  <c r="AZ123" i="23"/>
  <c r="AZ53" i="23"/>
  <c r="AZ50" i="23"/>
  <c r="AH124" i="23"/>
  <c r="AH70" i="23"/>
  <c r="AH60" i="30"/>
  <c r="AH114" i="30"/>
  <c r="AO184" i="4"/>
  <c r="AO154" i="4"/>
  <c r="AO162" i="4"/>
  <c r="BY162" i="4"/>
  <c r="BY154" i="4"/>
  <c r="BY184" i="4"/>
  <c r="BA124" i="23"/>
  <c r="BA70" i="23"/>
  <c r="G178" i="4"/>
  <c r="C181" i="4"/>
  <c r="AJ27" i="30"/>
  <c r="AJ95" i="30"/>
  <c r="AJ100" i="30"/>
  <c r="M184" i="4"/>
  <c r="M162" i="4"/>
  <c r="AX28" i="23"/>
  <c r="AX34" i="23"/>
  <c r="AX63" i="23"/>
  <c r="AX74" i="23"/>
  <c r="AT26" i="23"/>
  <c r="AT28" i="23"/>
  <c r="AT34" i="23"/>
  <c r="AT63" i="23"/>
  <c r="AT74" i="23"/>
  <c r="AL97" i="30"/>
  <c r="AL59" i="30"/>
  <c r="E137" i="23"/>
  <c r="E50" i="23"/>
  <c r="E53" i="23"/>
  <c r="E123" i="23"/>
  <c r="B123" i="23"/>
  <c r="BD27" i="30"/>
  <c r="BD95" i="30"/>
  <c r="BD100" i="30"/>
  <c r="AM102" i="4"/>
  <c r="AM132" i="4"/>
  <c r="J43" i="23"/>
  <c r="AC26" i="30"/>
  <c r="AC28" i="30"/>
  <c r="AC34" i="30"/>
  <c r="AC53" i="30"/>
  <c r="AC64" i="30"/>
  <c r="T107" i="23"/>
  <c r="T69" i="23"/>
  <c r="AW50" i="23"/>
  <c r="AW53" i="23"/>
  <c r="AW123" i="23"/>
  <c r="AW137" i="23"/>
  <c r="AK185" i="4"/>
  <c r="AK155" i="4"/>
  <c r="AK118" i="4"/>
  <c r="AK123" i="4"/>
  <c r="AK133" i="4"/>
  <c r="AK144" i="4"/>
  <c r="AK151" i="4"/>
  <c r="AK161" i="4"/>
  <c r="AK163" i="4"/>
  <c r="K86" i="23"/>
  <c r="AW27" i="30"/>
  <c r="AW95" i="30"/>
  <c r="AW135" i="30"/>
  <c r="AW137" i="30"/>
  <c r="AD63" i="23"/>
  <c r="AD74" i="23"/>
  <c r="AG98" i="30"/>
  <c r="AG79" i="30"/>
  <c r="AY37" i="30"/>
  <c r="AY38" i="30"/>
  <c r="V86" i="23"/>
  <c r="D107" i="30"/>
  <c r="B107" i="30"/>
  <c r="AH48" i="23"/>
  <c r="AR189" i="4"/>
  <c r="AR128" i="4"/>
  <c r="AR118" i="30"/>
  <c r="AR90" i="30"/>
  <c r="R23" i="23"/>
  <c r="R42" i="23"/>
  <c r="R51" i="23"/>
  <c r="BY153" i="4"/>
  <c r="BY155" i="4"/>
  <c r="BY118" i="4"/>
  <c r="BY123" i="4"/>
  <c r="BY133" i="4"/>
  <c r="BY144" i="4"/>
  <c r="BY151" i="4"/>
  <c r="BY161" i="4"/>
  <c r="BY163" i="4"/>
  <c r="J127" i="23"/>
  <c r="J88" i="23"/>
  <c r="J92" i="23"/>
  <c r="AK102" i="23"/>
  <c r="J136" i="30"/>
  <c r="J41" i="30"/>
  <c r="J42" i="30"/>
  <c r="J96" i="30"/>
  <c r="AK116" i="30"/>
  <c r="AK80" i="30"/>
  <c r="AC54" i="23"/>
  <c r="AC59" i="23"/>
  <c r="AC73" i="23"/>
  <c r="AC78" i="23"/>
  <c r="AC93" i="23"/>
  <c r="AC97" i="23"/>
  <c r="AC98" i="23"/>
  <c r="AC99" i="23"/>
  <c r="AC109" i="23"/>
  <c r="I124" i="23"/>
  <c r="I70" i="23"/>
  <c r="A72" i="23"/>
  <c r="A68" i="23"/>
  <c r="BD64" i="23"/>
  <c r="AJ80" i="30"/>
  <c r="AJ116" i="30"/>
  <c r="BD58" i="30"/>
  <c r="BD60" i="30"/>
  <c r="BD114" i="30"/>
  <c r="S128" i="23"/>
  <c r="S97" i="23"/>
  <c r="S98" i="23"/>
  <c r="S100" i="23"/>
  <c r="AX26" i="23"/>
  <c r="AX47" i="23"/>
  <c r="AX117" i="23"/>
  <c r="AX130" i="23"/>
  <c r="AX158" i="4"/>
  <c r="J18" i="23"/>
  <c r="J18" i="30"/>
  <c r="AD111" i="30"/>
  <c r="AG126" i="4"/>
  <c r="AD121" i="23"/>
  <c r="B70" i="23"/>
  <c r="B69" i="23"/>
  <c r="R47" i="23"/>
  <c r="R55" i="23"/>
  <c r="V26" i="30"/>
  <c r="V107" i="30"/>
  <c r="V120" i="30"/>
  <c r="AZ54" i="23"/>
  <c r="AZ59" i="23"/>
  <c r="AZ73" i="23"/>
  <c r="AZ78" i="23"/>
  <c r="AZ93" i="23"/>
  <c r="AZ97" i="23"/>
  <c r="AZ98" i="23"/>
  <c r="AZ100" i="23"/>
  <c r="AZ128" i="23"/>
  <c r="BD50" i="23"/>
  <c r="BD53" i="23"/>
  <c r="BD123" i="23"/>
  <c r="BD137" i="23"/>
  <c r="BQ190" i="4"/>
  <c r="BQ188" i="4"/>
  <c r="BQ127" i="4"/>
  <c r="BE26" i="30"/>
  <c r="BE107" i="30"/>
  <c r="BE120" i="30"/>
  <c r="AQ38" i="23"/>
  <c r="S54" i="30"/>
  <c r="V184" i="4"/>
  <c r="V154" i="4"/>
  <c r="V162" i="4"/>
  <c r="AZ130" i="23"/>
  <c r="AI127" i="30"/>
  <c r="AI113" i="30"/>
  <c r="AI41" i="30"/>
  <c r="AI42" i="30"/>
  <c r="AI43" i="30"/>
  <c r="M58" i="30"/>
  <c r="M60" i="30"/>
  <c r="M114" i="30"/>
  <c r="BL83" i="23"/>
  <c r="F26" i="23"/>
  <c r="F47" i="23"/>
  <c r="F55" i="23"/>
  <c r="F112" i="30"/>
  <c r="F122" i="23"/>
  <c r="K108" i="23"/>
  <c r="K88" i="23"/>
  <c r="K89" i="23"/>
  <c r="AI119" i="30"/>
  <c r="AI87" i="30"/>
  <c r="AI88" i="30"/>
  <c r="AI91" i="30"/>
  <c r="AJ132" i="4"/>
  <c r="E144" i="4"/>
  <c r="AK28" i="23"/>
  <c r="AK34" i="23"/>
  <c r="AK105" i="23"/>
  <c r="AK145" i="23"/>
  <c r="AK147" i="23"/>
  <c r="BF118" i="30"/>
  <c r="BF87" i="30"/>
  <c r="BF88" i="30"/>
  <c r="BF90" i="30"/>
  <c r="W137" i="30"/>
  <c r="W135" i="30"/>
  <c r="AL35" i="30"/>
  <c r="V35" i="30"/>
  <c r="AG26" i="23"/>
  <c r="AG47" i="23"/>
  <c r="AG117" i="23"/>
  <c r="AG130" i="23"/>
  <c r="BE73" i="30"/>
  <c r="K37" i="30"/>
  <c r="K38" i="30"/>
  <c r="AS78" i="30"/>
  <c r="AS79" i="30"/>
  <c r="AS98" i="30"/>
  <c r="M118" i="30"/>
  <c r="M90" i="30"/>
  <c r="X43" i="23"/>
  <c r="T84" i="23"/>
  <c r="T65" i="23"/>
  <c r="V110" i="23"/>
  <c r="V74" i="23"/>
  <c r="AF73" i="30"/>
  <c r="O42" i="23"/>
  <c r="O54" i="23"/>
  <c r="O59" i="23"/>
  <c r="O73" i="23"/>
  <c r="O78" i="23"/>
  <c r="O93" i="23"/>
  <c r="O102" i="23"/>
  <c r="AO89" i="23"/>
  <c r="AO108" i="23"/>
  <c r="BD68" i="23"/>
  <c r="BD69" i="23"/>
  <c r="BD107" i="23"/>
  <c r="J74" i="23"/>
  <c r="AU117" i="23"/>
  <c r="AU130" i="23"/>
  <c r="H178" i="4"/>
  <c r="N43" i="23"/>
  <c r="BJ162" i="4"/>
  <c r="BJ184" i="4"/>
  <c r="AH132" i="4"/>
  <c r="T102" i="23"/>
  <c r="AQ27" i="30"/>
  <c r="AQ95" i="30"/>
  <c r="AQ100" i="30"/>
  <c r="O63" i="23"/>
  <c r="O82" i="23"/>
  <c r="O94" i="23"/>
  <c r="H48" i="23"/>
  <c r="V99" i="30"/>
  <c r="V89" i="30"/>
  <c r="AD165" i="4"/>
  <c r="G118" i="30"/>
  <c r="G90" i="30"/>
  <c r="BV184" i="4"/>
  <c r="BV154" i="4"/>
  <c r="BV162" i="4"/>
  <c r="BF94" i="23"/>
  <c r="BF82" i="23"/>
  <c r="AS47" i="23"/>
  <c r="AS55" i="23"/>
  <c r="AM163" i="4"/>
  <c r="AM151" i="4"/>
  <c r="AM161" i="4"/>
  <c r="AM185" i="4"/>
  <c r="O58" i="30"/>
  <c r="O59" i="30"/>
  <c r="O97" i="30"/>
  <c r="R86" i="23"/>
  <c r="AX27" i="30"/>
  <c r="AX95" i="30"/>
  <c r="AX100" i="30"/>
  <c r="B37" i="30"/>
  <c r="E38" i="30"/>
  <c r="V190" i="4"/>
  <c r="V188" i="4"/>
  <c r="V127" i="4"/>
  <c r="W118" i="30"/>
  <c r="W90" i="30"/>
  <c r="AG137" i="30"/>
  <c r="AG135" i="30"/>
  <c r="AM133" i="4"/>
  <c r="AM144" i="4"/>
  <c r="AM169" i="4"/>
  <c r="AM110" i="23"/>
  <c r="BF48" i="23"/>
  <c r="AC63" i="23"/>
  <c r="AC74" i="23"/>
  <c r="AD163" i="4"/>
  <c r="AD151" i="4"/>
  <c r="AD161" i="4"/>
  <c r="AD185" i="4"/>
  <c r="AO88" i="23"/>
  <c r="AO92" i="23"/>
  <c r="AO127" i="23"/>
  <c r="AU38" i="23"/>
  <c r="Q108" i="23"/>
  <c r="Q89" i="23"/>
  <c r="BI155" i="4"/>
  <c r="BI118" i="4"/>
  <c r="BI123" i="4"/>
  <c r="BI133" i="4"/>
  <c r="BI144" i="4"/>
  <c r="BI151" i="4"/>
  <c r="BI165" i="4"/>
  <c r="BC127" i="4"/>
  <c r="BC188" i="4"/>
  <c r="BC190" i="4"/>
  <c r="AD127" i="4"/>
  <c r="AD188" i="4"/>
  <c r="AD190" i="4"/>
  <c r="AZ38" i="30"/>
  <c r="BX178" i="4"/>
  <c r="BX177" i="4"/>
  <c r="BX170" i="4"/>
  <c r="BH37" i="23"/>
  <c r="BH38" i="23"/>
  <c r="AR28" i="23"/>
  <c r="AR34" i="23"/>
  <c r="AR63" i="23"/>
  <c r="AR82" i="23"/>
  <c r="AR94" i="23"/>
  <c r="BD151" i="4"/>
  <c r="BD165" i="4"/>
  <c r="AX51" i="23"/>
  <c r="BE155" i="4"/>
  <c r="BE118" i="4"/>
  <c r="BE123" i="4"/>
  <c r="BE133" i="4"/>
  <c r="BE144" i="4"/>
  <c r="BE151" i="4"/>
  <c r="BE161" i="4"/>
  <c r="BE163" i="4"/>
  <c r="AU37" i="23"/>
  <c r="AU65" i="23"/>
  <c r="AU84" i="23"/>
  <c r="AT51" i="23"/>
  <c r="U132" i="4"/>
  <c r="AD98" i="30"/>
  <c r="AD79" i="30"/>
  <c r="AN99" i="30"/>
  <c r="AN89" i="30"/>
  <c r="AX126" i="23"/>
  <c r="AX90" i="23"/>
  <c r="AS178" i="4"/>
  <c r="AP18" i="30"/>
  <c r="AP18" i="23"/>
  <c r="BI51" i="23"/>
  <c r="BI38" i="23"/>
  <c r="G35" i="30"/>
  <c r="F63" i="23"/>
  <c r="F82" i="23"/>
  <c r="F94" i="23"/>
  <c r="AI48" i="23"/>
  <c r="AF165" i="4"/>
  <c r="J37" i="23"/>
  <c r="J41" i="23"/>
  <c r="J106" i="23"/>
  <c r="J146" i="23"/>
  <c r="T39" i="23"/>
  <c r="T66" i="23"/>
  <c r="T85" i="23"/>
  <c r="AC23" i="23"/>
  <c r="AC42" i="23"/>
  <c r="AC51" i="23"/>
  <c r="S38" i="30"/>
  <c r="O68" i="23"/>
  <c r="O69" i="23"/>
  <c r="O107" i="23"/>
  <c r="O127" i="4"/>
  <c r="O188" i="4"/>
  <c r="O190" i="4"/>
  <c r="AH58" i="30"/>
  <c r="AH62" i="30"/>
  <c r="AH115" i="30"/>
  <c r="Y54" i="30"/>
  <c r="AV153" i="4"/>
  <c r="AV155" i="4"/>
  <c r="AV118" i="4"/>
  <c r="AV123" i="4"/>
  <c r="AV133" i="4"/>
  <c r="AV136" i="4"/>
  <c r="AV143" i="4"/>
  <c r="AV168" i="4"/>
  <c r="AV173" i="4"/>
  <c r="L97" i="23"/>
  <c r="L98" i="23"/>
  <c r="L100" i="23"/>
  <c r="L128" i="23"/>
  <c r="W48" i="23"/>
  <c r="AL45" i="30"/>
  <c r="V173" i="4"/>
  <c r="V168" i="4"/>
  <c r="V143" i="4"/>
  <c r="V136" i="4"/>
  <c r="AG54" i="23"/>
  <c r="AG59" i="23"/>
  <c r="AG73" i="23"/>
  <c r="AG78" i="23"/>
  <c r="AG93" i="23"/>
  <c r="AG97" i="23"/>
  <c r="AG98" i="23"/>
  <c r="AG101" i="23"/>
  <c r="AG129" i="23"/>
  <c r="P112" i="30"/>
  <c r="P122" i="23"/>
  <c r="BX151" i="4"/>
  <c r="BX165" i="4"/>
  <c r="Q55" i="23"/>
  <c r="AN118" i="30"/>
  <c r="AN90" i="30"/>
  <c r="T137" i="23"/>
  <c r="T123" i="23"/>
  <c r="T53" i="23"/>
  <c r="T50" i="23"/>
  <c r="AE75" i="30"/>
  <c r="AE56" i="30"/>
  <c r="AE39" i="30"/>
  <c r="BS162" i="4"/>
  <c r="BS184" i="4"/>
  <c r="M54" i="30"/>
  <c r="AT126" i="23"/>
  <c r="AT88" i="23"/>
  <c r="AT90" i="23"/>
  <c r="AX35" i="30"/>
  <c r="AM190" i="4"/>
  <c r="AM188" i="4"/>
  <c r="AM153" i="4"/>
  <c r="AM155" i="4"/>
  <c r="AM118" i="4"/>
  <c r="AM123" i="4"/>
  <c r="AM127" i="4"/>
  <c r="O48" i="23"/>
  <c r="T155" i="4"/>
  <c r="T118" i="4"/>
  <c r="T126" i="4"/>
  <c r="AJ163" i="4"/>
  <c r="AJ151" i="4"/>
  <c r="AJ161" i="4"/>
  <c r="AJ185" i="4"/>
  <c r="AB68" i="23"/>
  <c r="AB70" i="23"/>
  <c r="AB124" i="23"/>
  <c r="BD118" i="30"/>
  <c r="BD23" i="30"/>
  <c r="BD44" i="30"/>
  <c r="BD49" i="30"/>
  <c r="BD63" i="30"/>
  <c r="BD68" i="30"/>
  <c r="BD83" i="30"/>
  <c r="BD87" i="30"/>
  <c r="BD88" i="30"/>
  <c r="BD90" i="30"/>
  <c r="Q138" i="23"/>
  <c r="Q136" i="23"/>
  <c r="AM64" i="23"/>
  <c r="AP35" i="23"/>
  <c r="BJ42" i="23"/>
  <c r="BJ54" i="23"/>
  <c r="BJ59" i="23"/>
  <c r="BJ73" i="23"/>
  <c r="BJ78" i="23"/>
  <c r="BJ93" i="23"/>
  <c r="BJ97" i="23"/>
  <c r="BJ98" i="23"/>
  <c r="BJ101" i="23"/>
  <c r="BJ129" i="23"/>
  <c r="AP37" i="30"/>
  <c r="AP41" i="30"/>
  <c r="AP42" i="30"/>
  <c r="AP96" i="30"/>
  <c r="AP136" i="30"/>
  <c r="BK76" i="30"/>
  <c r="AB23" i="30"/>
  <c r="AB37" i="30"/>
  <c r="AB38" i="30"/>
  <c r="BL55" i="23"/>
  <c r="Q126" i="4"/>
  <c r="Q118" i="4"/>
  <c r="Q155" i="4"/>
  <c r="AM92" i="30"/>
  <c r="BU155" i="4"/>
  <c r="BU118" i="4"/>
  <c r="BU123" i="4"/>
  <c r="BU133" i="4"/>
  <c r="BU136" i="4"/>
  <c r="BU143" i="4"/>
  <c r="BU168" i="4"/>
  <c r="BG144" i="4"/>
  <c r="BG169" i="4"/>
  <c r="AW35" i="30"/>
  <c r="BE78" i="30"/>
  <c r="BE80" i="30"/>
  <c r="BE116" i="30"/>
  <c r="AT127" i="30"/>
  <c r="AT113" i="30"/>
  <c r="AT43" i="30"/>
  <c r="N146" i="23"/>
  <c r="N106" i="23"/>
  <c r="N41" i="23"/>
  <c r="T144" i="4"/>
  <c r="T169" i="4"/>
  <c r="L53" i="30"/>
  <c r="L64" i="30"/>
  <c r="AZ110" i="23"/>
  <c r="BA169" i="4"/>
  <c r="K68" i="23"/>
  <c r="K70" i="23"/>
  <c r="K124" i="23"/>
  <c r="F120" i="30"/>
  <c r="X23" i="30"/>
  <c r="X37" i="30"/>
  <c r="X41" i="30"/>
  <c r="X42" i="30"/>
  <c r="X96" i="30"/>
  <c r="X136" i="30"/>
  <c r="BC86" i="23"/>
  <c r="E168" i="4"/>
  <c r="G143" i="4"/>
  <c r="G168" i="4"/>
  <c r="G173" i="4"/>
  <c r="AI42" i="23"/>
  <c r="AI50" i="23"/>
  <c r="AI53" i="23"/>
  <c r="AI123" i="23"/>
  <c r="AI137" i="23"/>
  <c r="AF89" i="23"/>
  <c r="AF108" i="23"/>
  <c r="V68" i="23"/>
  <c r="V70" i="23"/>
  <c r="V124" i="23"/>
  <c r="AR132" i="4"/>
  <c r="T37" i="23"/>
  <c r="T38" i="23"/>
  <c r="AD44" i="30"/>
  <c r="AD49" i="30"/>
  <c r="AD63" i="30"/>
  <c r="AD68" i="30"/>
  <c r="AD83" i="30"/>
  <c r="AD92" i="30"/>
  <c r="AN58" i="30"/>
  <c r="AN76" i="30"/>
  <c r="M97" i="23"/>
  <c r="M98" i="23"/>
  <c r="M99" i="23"/>
  <c r="M109" i="23"/>
  <c r="BJ18" i="23"/>
  <c r="BM178" i="4"/>
  <c r="BJ18" i="30"/>
  <c r="AI38" i="30"/>
  <c r="AX45" i="30"/>
  <c r="I55" i="23"/>
  <c r="G10" i="23"/>
  <c r="H10" i="23"/>
  <c r="AX108" i="23"/>
  <c r="AX88" i="23"/>
  <c r="AX89" i="23"/>
  <c r="AV102" i="4"/>
  <c r="AV132" i="4"/>
  <c r="O53" i="30"/>
  <c r="O64" i="30"/>
  <c r="H137" i="30"/>
  <c r="H135" i="30"/>
  <c r="AE47" i="23"/>
  <c r="AE55" i="23"/>
  <c r="V43" i="23"/>
  <c r="K122" i="23"/>
  <c r="K112" i="30"/>
  <c r="P102" i="23"/>
  <c r="T84" i="30"/>
  <c r="T72" i="30"/>
  <c r="AH116" i="30"/>
  <c r="AH78" i="30"/>
  <c r="AH80" i="30"/>
  <c r="N35" i="23"/>
  <c r="M136" i="30"/>
  <c r="M37" i="30"/>
  <c r="M41" i="30"/>
  <c r="M42" i="30"/>
  <c r="M96" i="30"/>
  <c r="BJ68" i="23"/>
  <c r="BJ86" i="23"/>
  <c r="Q38" i="30"/>
  <c r="S120" i="30"/>
  <c r="AS18" i="30"/>
  <c r="AS18" i="23"/>
  <c r="AV178" i="4"/>
  <c r="AC35" i="23"/>
  <c r="BL44" i="30"/>
  <c r="BL49" i="30"/>
  <c r="BL63" i="30"/>
  <c r="BL68" i="30"/>
  <c r="BL83" i="30"/>
  <c r="BL87" i="30"/>
  <c r="BL88" i="30"/>
  <c r="BL89" i="30"/>
  <c r="BL99" i="30"/>
  <c r="AZ47" i="23"/>
  <c r="AZ117" i="23"/>
  <c r="AZ136" i="23"/>
  <c r="AZ138" i="23"/>
  <c r="AK35" i="30"/>
  <c r="BQ153" i="4"/>
  <c r="BQ155" i="4"/>
  <c r="BQ118" i="4"/>
  <c r="BQ123" i="4"/>
  <c r="BQ133" i="4"/>
  <c r="BQ144" i="4"/>
  <c r="BQ169" i="4"/>
  <c r="L42" i="23"/>
  <c r="L54" i="23"/>
  <c r="L59" i="23"/>
  <c r="L73" i="23"/>
  <c r="L78" i="23"/>
  <c r="L93" i="23"/>
  <c r="L102" i="23"/>
  <c r="AJ102" i="4"/>
  <c r="AJ128" i="4"/>
  <c r="AJ189" i="4"/>
  <c r="R123" i="4"/>
  <c r="R127" i="4"/>
  <c r="R188" i="4"/>
  <c r="R190" i="4"/>
  <c r="AF117" i="23"/>
  <c r="AF130" i="23"/>
  <c r="Q137" i="30"/>
  <c r="Q135" i="30"/>
  <c r="Q43" i="23"/>
  <c r="M112" i="30"/>
  <c r="M122" i="23"/>
  <c r="W27" i="30"/>
  <c r="W95" i="30"/>
  <c r="W100" i="30"/>
  <c r="F97" i="30"/>
  <c r="F59" i="30"/>
  <c r="BI43" i="23"/>
  <c r="BF165" i="4"/>
  <c r="V105" i="23"/>
  <c r="V145" i="23"/>
  <c r="V147" i="23"/>
  <c r="AK102" i="4"/>
  <c r="AK132" i="4"/>
  <c r="V28" i="23"/>
  <c r="V34" i="23"/>
  <c r="V63" i="23"/>
  <c r="V82" i="23"/>
  <c r="V94" i="23"/>
  <c r="F43" i="23"/>
  <c r="E92" i="23"/>
  <c r="E127" i="23"/>
  <c r="B114" i="30"/>
  <c r="E114" i="30"/>
  <c r="E60" i="30"/>
  <c r="AH39" i="23"/>
  <c r="AH66" i="23"/>
  <c r="AH85" i="23"/>
  <c r="BD18" i="30"/>
  <c r="BD18" i="23"/>
  <c r="BG178" i="4"/>
  <c r="AJ76" i="30"/>
  <c r="AV35" i="30"/>
  <c r="J27" i="23"/>
  <c r="J34" i="23"/>
  <c r="J63" i="23"/>
  <c r="J82" i="23"/>
  <c r="J94" i="23"/>
  <c r="AU47" i="23"/>
  <c r="AU55" i="23"/>
  <c r="AN42" i="23"/>
  <c r="AN54" i="23"/>
  <c r="AN59" i="23"/>
  <c r="AN73" i="23"/>
  <c r="AN78" i="23"/>
  <c r="AN93" i="23"/>
  <c r="AN102" i="23"/>
  <c r="AV37" i="30"/>
  <c r="AV41" i="30"/>
  <c r="AV42" i="30"/>
  <c r="AV43" i="30"/>
  <c r="AV113" i="30"/>
  <c r="AV127" i="30"/>
  <c r="U53" i="30"/>
  <c r="U64" i="30"/>
  <c r="AH120" i="30"/>
  <c r="AH102" i="4"/>
  <c r="AH128" i="4"/>
  <c r="AH189" i="4"/>
  <c r="D5" i="30"/>
  <c r="AD155" i="4"/>
  <c r="AD118" i="4"/>
  <c r="AD123" i="4"/>
  <c r="AD133" i="4"/>
  <c r="AD144" i="4"/>
  <c r="AD169" i="4"/>
  <c r="C88" i="4"/>
  <c r="BF63" i="23"/>
  <c r="BF74" i="23"/>
  <c r="BE92" i="30"/>
  <c r="BA51" i="23"/>
  <c r="Q85" i="23"/>
  <c r="Q66" i="23"/>
  <c r="Q39" i="23"/>
  <c r="AE64" i="23"/>
  <c r="E55" i="30"/>
  <c r="E74" i="30"/>
  <c r="AN163" i="4"/>
  <c r="AN161" i="4"/>
  <c r="AN185" i="4"/>
  <c r="AN153" i="4"/>
  <c r="AN155" i="4"/>
  <c r="AN118" i="4"/>
  <c r="AN123" i="4"/>
  <c r="AN133" i="4"/>
  <c r="AN144" i="4"/>
  <c r="AN151" i="4"/>
  <c r="AN165" i="4"/>
  <c r="AG27" i="30"/>
  <c r="AG95" i="30"/>
  <c r="AG100" i="30"/>
  <c r="S99" i="30"/>
  <c r="S89" i="30"/>
  <c r="AE78" i="30"/>
  <c r="AE80" i="30"/>
  <c r="AE116" i="30"/>
  <c r="AM105" i="23"/>
  <c r="AM145" i="23"/>
  <c r="AM147" i="23"/>
  <c r="I102" i="23"/>
  <c r="P127" i="4"/>
  <c r="P188" i="4"/>
  <c r="P190" i="4"/>
  <c r="AY48" i="23"/>
  <c r="AT136" i="30"/>
  <c r="AT37" i="30"/>
  <c r="AT41" i="30"/>
  <c r="AT42" i="30"/>
  <c r="AT96" i="30"/>
  <c r="BB45" i="30"/>
  <c r="E68" i="23"/>
  <c r="E86" i="23"/>
  <c r="P78" i="30"/>
  <c r="P80" i="30"/>
  <c r="P116" i="30"/>
  <c r="AG53" i="30"/>
  <c r="AG64" i="30"/>
  <c r="U178" i="4"/>
  <c r="R18" i="30"/>
  <c r="R18" i="23"/>
  <c r="W45" i="30"/>
  <c r="AC26" i="23"/>
  <c r="AC28" i="23"/>
  <c r="AC34" i="23"/>
  <c r="AC43" i="23"/>
  <c r="W128" i="30"/>
  <c r="W126" i="30"/>
  <c r="BJ23" i="30"/>
  <c r="BJ44" i="30"/>
  <c r="BJ49" i="30"/>
  <c r="BJ63" i="30"/>
  <c r="BJ68" i="30"/>
  <c r="BJ83" i="30"/>
  <c r="BJ92" i="30"/>
  <c r="BE85" i="23"/>
  <c r="BE66" i="23"/>
  <c r="BE39" i="23"/>
  <c r="Q18" i="30"/>
  <c r="T178" i="4"/>
  <c r="Q18" i="23"/>
  <c r="AF28" i="30"/>
  <c r="AF34" i="30"/>
  <c r="AF53" i="30"/>
  <c r="AF64" i="30"/>
  <c r="AV118" i="30"/>
  <c r="AV90" i="30"/>
  <c r="P51" i="23"/>
  <c r="BK26" i="30"/>
  <c r="BK28" i="30"/>
  <c r="BK34" i="30"/>
  <c r="BK45" i="30"/>
  <c r="AD137" i="30"/>
  <c r="AD135" i="30"/>
  <c r="BF128" i="23"/>
  <c r="BF100" i="23"/>
  <c r="H53" i="30"/>
  <c r="H64" i="30"/>
  <c r="BD133" i="4"/>
  <c r="BD144" i="4"/>
  <c r="BD169" i="4"/>
  <c r="F102" i="23"/>
  <c r="F51" i="23"/>
  <c r="J117" i="23"/>
  <c r="J130" i="23"/>
  <c r="BK155" i="4"/>
  <c r="BK118" i="4"/>
  <c r="BK123" i="4"/>
  <c r="BK133" i="4"/>
  <c r="BK144" i="4"/>
  <c r="BK169" i="4"/>
  <c r="E189" i="4"/>
  <c r="U102" i="4"/>
  <c r="U128" i="4"/>
  <c r="U189" i="4"/>
  <c r="AT54" i="23"/>
  <c r="AT59" i="23"/>
  <c r="AT73" i="23"/>
  <c r="AT78" i="23"/>
  <c r="AT93" i="23"/>
  <c r="AT97" i="23"/>
  <c r="AT98" i="23"/>
  <c r="AT101" i="23"/>
  <c r="AT129" i="23"/>
  <c r="BB48" i="23"/>
  <c r="AQ85" i="23"/>
  <c r="AQ66" i="23"/>
  <c r="AQ39" i="23"/>
  <c r="BE86" i="23"/>
  <c r="Q38" i="23"/>
  <c r="AF163" i="4"/>
  <c r="AF153" i="4"/>
  <c r="AF155" i="4"/>
  <c r="AF118" i="4"/>
  <c r="AF123" i="4"/>
  <c r="AF133" i="4"/>
  <c r="AF144" i="4"/>
  <c r="AF151" i="4"/>
  <c r="AF161" i="4"/>
  <c r="AF185" i="4"/>
  <c r="BC92" i="30"/>
  <c r="F48" i="23"/>
  <c r="AJ64" i="23"/>
  <c r="AA127" i="23"/>
  <c r="AA92" i="23"/>
  <c r="AR102" i="4"/>
  <c r="AR103" i="4"/>
  <c r="AR120" i="4"/>
  <c r="BG18" i="30"/>
  <c r="BG18" i="23"/>
  <c r="BJ178" i="4"/>
  <c r="X48" i="23"/>
  <c r="S41" i="30"/>
  <c r="S42" i="30"/>
  <c r="S96" i="30"/>
  <c r="S136" i="30"/>
  <c r="H128" i="30"/>
  <c r="H126" i="30"/>
  <c r="F73" i="30"/>
  <c r="AU54" i="30"/>
  <c r="AK76" i="30"/>
  <c r="X169" i="4"/>
  <c r="AF92" i="30"/>
  <c r="BA35" i="30"/>
  <c r="AA121" i="23"/>
  <c r="AA111" i="30"/>
  <c r="AD126" i="4"/>
  <c r="E84" i="30"/>
  <c r="E72" i="30"/>
  <c r="AF128" i="30"/>
  <c r="AF126" i="30"/>
  <c r="P162" i="4"/>
  <c r="P184" i="4"/>
  <c r="U115" i="30"/>
  <c r="U62" i="30"/>
  <c r="BE99" i="30"/>
  <c r="BE89" i="30"/>
  <c r="S132" i="4"/>
  <c r="AF88" i="23"/>
  <c r="AF90" i="23"/>
  <c r="AF126" i="23"/>
  <c r="M87" i="30"/>
  <c r="M88" i="30"/>
  <c r="M89" i="30"/>
  <c r="M99" i="30"/>
  <c r="AU118" i="30"/>
  <c r="AU90" i="30"/>
  <c r="F54" i="30"/>
  <c r="AP92" i="30"/>
  <c r="AN73" i="30"/>
  <c r="E156" i="4"/>
  <c r="I35" i="30"/>
  <c r="M73" i="30"/>
  <c r="AO18" i="23"/>
  <c r="AR178" i="4"/>
  <c r="AO18" i="30"/>
  <c r="BF51" i="23"/>
  <c r="AG37" i="30"/>
  <c r="AG41" i="30"/>
  <c r="AG42" i="30"/>
  <c r="AG43" i="30"/>
  <c r="AG113" i="30"/>
  <c r="AG127" i="30"/>
  <c r="R35" i="30"/>
  <c r="BK58" i="30"/>
  <c r="BK60" i="30"/>
  <c r="BK114" i="30"/>
  <c r="AU153" i="4"/>
  <c r="AU155" i="4"/>
  <c r="AU118" i="4"/>
  <c r="AU123" i="4"/>
  <c r="AU133" i="4"/>
  <c r="AU144" i="4"/>
  <c r="AU169" i="4"/>
  <c r="X35" i="30"/>
  <c r="AF83" i="23"/>
  <c r="J190" i="4"/>
  <c r="J188" i="4"/>
  <c r="J127" i="4"/>
  <c r="BC51" i="23"/>
  <c r="R100" i="30"/>
  <c r="B49" i="30"/>
  <c r="AK153" i="4"/>
  <c r="AK158" i="4"/>
  <c r="AQ115" i="30"/>
  <c r="AQ62" i="30"/>
  <c r="AZ26" i="23"/>
  <c r="AZ28" i="23"/>
  <c r="AZ34" i="23"/>
  <c r="AZ105" i="23"/>
  <c r="AZ145" i="23"/>
  <c r="AZ147" i="23"/>
  <c r="S86" i="23"/>
  <c r="F19" i="30"/>
  <c r="F26" i="30"/>
  <c r="F107" i="30"/>
  <c r="F126" i="30"/>
  <c r="F128" i="30"/>
  <c r="AY128" i="30"/>
  <c r="AY126" i="30"/>
  <c r="K127" i="4"/>
  <c r="K188" i="4"/>
  <c r="K190" i="4"/>
  <c r="U41" i="30"/>
  <c r="U42" i="30"/>
  <c r="U43" i="30"/>
  <c r="U113" i="30"/>
  <c r="U127" i="30"/>
  <c r="BC68" i="23"/>
  <c r="BC72" i="23"/>
  <c r="BC125" i="23"/>
  <c r="BL98" i="30"/>
  <c r="BJ81" i="30"/>
  <c r="BK71" i="30"/>
  <c r="BK77" i="30"/>
  <c r="BK81" i="30"/>
  <c r="BL71" i="30"/>
  <c r="BL77" i="30"/>
  <c r="BL78" i="30"/>
  <c r="BL79" i="30"/>
  <c r="AI63" i="23"/>
  <c r="AI74" i="23"/>
  <c r="AO111" i="30"/>
  <c r="AR126" i="4"/>
  <c r="AO121" i="23"/>
  <c r="V75" i="30"/>
  <c r="V39" i="30"/>
  <c r="V56" i="30"/>
  <c r="AY144" i="4"/>
  <c r="AY169" i="4"/>
  <c r="BB97" i="30"/>
  <c r="BB59" i="30"/>
  <c r="AT73" i="30"/>
  <c r="U48" i="23"/>
  <c r="AI37" i="30"/>
  <c r="AI55" i="30"/>
  <c r="AI74" i="30"/>
  <c r="BC155" i="4"/>
  <c r="BC118" i="4"/>
  <c r="BC123" i="4"/>
  <c r="BC133" i="4"/>
  <c r="BC144" i="4"/>
  <c r="BC169" i="4"/>
  <c r="I28" i="23"/>
  <c r="AO51" i="23"/>
  <c r="D5" i="23"/>
  <c r="F39" i="23"/>
  <c r="F66" i="23"/>
  <c r="F85" i="23"/>
  <c r="AV126" i="4"/>
  <c r="AS121" i="23"/>
  <c r="AS111" i="30"/>
  <c r="O26" i="30"/>
  <c r="O28" i="30"/>
  <c r="O34" i="30"/>
  <c r="O45" i="30"/>
  <c r="H27" i="30"/>
  <c r="H95" i="30"/>
  <c r="H100" i="30"/>
  <c r="AS185" i="4"/>
  <c r="AS161" i="4"/>
  <c r="AS163" i="4"/>
  <c r="AW111" i="30"/>
  <c r="AZ126" i="4"/>
  <c r="AW121" i="23"/>
  <c r="F67" i="5"/>
  <c r="G67" i="5"/>
  <c r="C65" i="5"/>
  <c r="E67" i="5"/>
  <c r="D66" i="5"/>
  <c r="D67" i="5"/>
  <c r="C67" i="5"/>
  <c r="C27" i="23"/>
  <c r="H122" i="23"/>
  <c r="H112" i="30"/>
  <c r="AX185" i="4"/>
  <c r="AX144" i="4"/>
  <c r="AX151" i="4"/>
  <c r="AX161" i="4"/>
  <c r="AX163" i="4"/>
  <c r="AW84" i="30"/>
  <c r="AW72" i="30"/>
  <c r="T53" i="30"/>
  <c r="T64" i="30"/>
  <c r="AP128" i="23"/>
  <c r="AP100" i="23"/>
  <c r="AD27" i="30"/>
  <c r="AD95" i="30"/>
  <c r="AD100" i="30"/>
  <c r="AP162" i="4"/>
  <c r="AP154" i="4"/>
  <c r="AP184" i="4"/>
  <c r="N122" i="23"/>
  <c r="N112" i="30"/>
  <c r="B42" i="30"/>
  <c r="D42" i="30"/>
  <c r="D43" i="30"/>
  <c r="D113" i="30"/>
  <c r="B113" i="30"/>
  <c r="AX107" i="30"/>
  <c r="AX120" i="30"/>
  <c r="Q37" i="30"/>
  <c r="Q55" i="30"/>
  <c r="Q74" i="30"/>
  <c r="S26" i="30"/>
  <c r="S107" i="30"/>
  <c r="S126" i="30"/>
  <c r="S128" i="30"/>
  <c r="AQ37" i="23"/>
  <c r="AQ41" i="23"/>
  <c r="AQ106" i="23"/>
  <c r="AQ146" i="23"/>
  <c r="AP126" i="4"/>
  <c r="AM121" i="23"/>
  <c r="AM111" i="30"/>
  <c r="BA158" i="4"/>
  <c r="F119" i="30"/>
  <c r="F91" i="30"/>
  <c r="AJ119" i="30"/>
  <c r="AJ44" i="30"/>
  <c r="AJ49" i="30"/>
  <c r="AJ63" i="30"/>
  <c r="AJ68" i="30"/>
  <c r="AJ83" i="30"/>
  <c r="AJ87" i="30"/>
  <c r="AJ88" i="30"/>
  <c r="AJ91" i="30"/>
  <c r="M23" i="23"/>
  <c r="M42" i="23"/>
  <c r="M54" i="23"/>
  <c r="M59" i="23"/>
  <c r="M73" i="23"/>
  <c r="M78" i="23"/>
  <c r="M93" i="23"/>
  <c r="M102" i="23"/>
  <c r="AQ48" i="23"/>
  <c r="I138" i="23"/>
  <c r="I136" i="23"/>
  <c r="BK64" i="23"/>
  <c r="AY35" i="23"/>
  <c r="BD49" i="23"/>
  <c r="BD52" i="23"/>
  <c r="BE46" i="23"/>
  <c r="BE49" i="23"/>
  <c r="BE52" i="23"/>
  <c r="BF46" i="23"/>
  <c r="BF49" i="23"/>
  <c r="BF52" i="23"/>
  <c r="BG46" i="23"/>
  <c r="BG49" i="23"/>
  <c r="BG52" i="23"/>
  <c r="BH46" i="23"/>
  <c r="BH49" i="23"/>
  <c r="BH52" i="23"/>
  <c r="BI46" i="23"/>
  <c r="BI49" i="23"/>
  <c r="BI52" i="23"/>
  <c r="BJ46" i="23"/>
  <c r="BJ49" i="23"/>
  <c r="BJ52" i="23"/>
  <c r="BK46" i="23"/>
  <c r="BK48" i="23"/>
  <c r="BI82" i="30"/>
  <c r="BI117" i="30"/>
  <c r="Z162" i="4"/>
  <c r="Z154" i="4"/>
  <c r="Z184" i="4"/>
  <c r="Q51" i="23"/>
  <c r="AF47" i="23"/>
  <c r="AF55" i="23"/>
  <c r="AH108" i="23"/>
  <c r="AH88" i="23"/>
  <c r="AH89" i="23"/>
  <c r="Q27" i="30"/>
  <c r="Q95" i="30"/>
  <c r="Q100" i="30"/>
  <c r="AN119" i="30"/>
  <c r="AN44" i="30"/>
  <c r="AN49" i="30"/>
  <c r="AN63" i="30"/>
  <c r="AN68" i="30"/>
  <c r="AN83" i="30"/>
  <c r="AN87" i="30"/>
  <c r="AN88" i="30"/>
  <c r="AN91" i="30"/>
  <c r="AA137" i="30"/>
  <c r="AA135" i="30"/>
  <c r="AR86" i="23"/>
  <c r="O136" i="4"/>
  <c r="O143" i="4"/>
  <c r="O168" i="4"/>
  <c r="O173" i="4"/>
  <c r="BF155" i="4"/>
  <c r="BF118" i="4"/>
  <c r="BF123" i="4"/>
  <c r="BF133" i="4"/>
  <c r="BF144" i="4"/>
  <c r="BF151" i="4"/>
  <c r="BF161" i="4"/>
  <c r="BF163" i="4"/>
  <c r="AE190" i="4"/>
  <c r="AE153" i="4"/>
  <c r="AE155" i="4"/>
  <c r="AE118" i="4"/>
  <c r="AE123" i="4"/>
  <c r="AE127" i="4"/>
  <c r="AE188" i="4"/>
  <c r="BE37" i="30"/>
  <c r="BE41" i="30"/>
  <c r="BE42" i="30"/>
  <c r="BE43" i="30"/>
  <c r="BE113" i="30"/>
  <c r="BE127" i="30"/>
  <c r="AC98" i="30"/>
  <c r="AC79" i="30"/>
  <c r="BG88" i="23"/>
  <c r="BG89" i="23"/>
  <c r="BG108" i="23"/>
  <c r="AA127" i="30"/>
  <c r="AA37" i="30"/>
  <c r="AA41" i="30"/>
  <c r="AA42" i="30"/>
  <c r="AA43" i="30"/>
  <c r="AA113" i="30"/>
  <c r="AV114" i="30"/>
  <c r="AV60" i="30"/>
  <c r="BF73" i="30"/>
  <c r="S18" i="23"/>
  <c r="V178" i="4"/>
  <c r="S18" i="30"/>
  <c r="AN136" i="30"/>
  <c r="AN41" i="30"/>
  <c r="AN42" i="30"/>
  <c r="AN96" i="30"/>
  <c r="BG155" i="4"/>
  <c r="BG118" i="4"/>
  <c r="BG123" i="4"/>
  <c r="BG133" i="4"/>
  <c r="BG136" i="4"/>
  <c r="BG143" i="4"/>
  <c r="BG168" i="4"/>
  <c r="BK147" i="23"/>
  <c r="BK145" i="23"/>
  <c r="AM78" i="30"/>
  <c r="AM80" i="30"/>
  <c r="AM116" i="30"/>
  <c r="AJ58" i="30"/>
  <c r="AJ59" i="30"/>
  <c r="AJ97" i="30"/>
  <c r="AG73" i="30"/>
  <c r="AI100" i="30"/>
  <c r="E154" i="4"/>
  <c r="D28" i="23"/>
  <c r="I126" i="23"/>
  <c r="I88" i="23"/>
  <c r="I90" i="23"/>
  <c r="H78" i="30"/>
  <c r="H80" i="30"/>
  <c r="H116" i="30"/>
  <c r="AH107" i="30"/>
  <c r="AH126" i="30"/>
  <c r="AH128" i="30"/>
  <c r="AO23" i="30"/>
  <c r="AO37" i="30"/>
  <c r="AO38" i="30"/>
  <c r="Q23" i="30"/>
  <c r="Q44" i="30"/>
  <c r="Q49" i="30"/>
  <c r="Q63" i="30"/>
  <c r="Q68" i="30"/>
  <c r="Q83" i="30"/>
  <c r="Q87" i="30"/>
  <c r="Q88" i="30"/>
  <c r="Q89" i="30"/>
  <c r="Q99" i="30"/>
  <c r="H37" i="30"/>
  <c r="H38" i="30"/>
  <c r="AY173" i="4"/>
  <c r="AY153" i="4"/>
  <c r="AY155" i="4"/>
  <c r="AY118" i="4"/>
  <c r="AY123" i="4"/>
  <c r="AY133" i="4"/>
  <c r="AY136" i="4"/>
  <c r="AY143" i="4"/>
  <c r="AY168" i="4"/>
  <c r="BI81" i="30"/>
  <c r="BJ71" i="30"/>
  <c r="BJ77" i="30"/>
  <c r="BJ78" i="30"/>
  <c r="BJ79" i="30"/>
  <c r="BJ98" i="30"/>
  <c r="BF43" i="23"/>
  <c r="BA38" i="23"/>
  <c r="CA169" i="4"/>
  <c r="AH185" i="4"/>
  <c r="AH161" i="4"/>
  <c r="AH163" i="4"/>
  <c r="Z23" i="23"/>
  <c r="Z42" i="23"/>
  <c r="Z51" i="23"/>
  <c r="AN35" i="23"/>
  <c r="BH151" i="4"/>
  <c r="BH165" i="4"/>
  <c r="BJ27" i="30"/>
  <c r="BJ95" i="30"/>
  <c r="BJ100" i="30"/>
  <c r="AV54" i="23"/>
  <c r="AV59" i="23"/>
  <c r="AV73" i="23"/>
  <c r="AV78" i="23"/>
  <c r="AV93" i="23"/>
  <c r="AV97" i="23"/>
  <c r="AV98" i="23"/>
  <c r="AV101" i="23"/>
  <c r="AV129" i="23"/>
  <c r="AB100" i="30"/>
  <c r="AG86" i="23"/>
  <c r="AN68" i="23"/>
  <c r="AN86" i="23"/>
  <c r="AO125" i="23"/>
  <c r="AO72" i="23"/>
  <c r="BG128" i="30"/>
  <c r="BG126" i="30"/>
  <c r="G37" i="23"/>
  <c r="G38" i="23"/>
  <c r="Y51" i="23"/>
  <c r="AG26" i="30"/>
  <c r="AG28" i="30"/>
  <c r="AG34" i="30"/>
  <c r="AG45" i="30"/>
  <c r="B126" i="23"/>
  <c r="E88" i="23"/>
  <c r="E90" i="23"/>
  <c r="E126" i="23"/>
  <c r="Q113" i="4"/>
  <c r="Q123" i="4"/>
  <c r="Q132" i="4"/>
  <c r="B106" i="23"/>
  <c r="E37" i="23"/>
  <c r="E41" i="23"/>
  <c r="E106" i="23"/>
  <c r="E146" i="23"/>
  <c r="AY120" i="4"/>
  <c r="AY103" i="4"/>
  <c r="P64" i="23"/>
  <c r="P173" i="4"/>
  <c r="P168" i="4"/>
  <c r="P143" i="4"/>
  <c r="P136" i="4"/>
  <c r="T110" i="23"/>
  <c r="BX184" i="4"/>
  <c r="BX154" i="4"/>
  <c r="BX162" i="4"/>
  <c r="H28" i="30"/>
  <c r="H34" i="30"/>
  <c r="H45" i="30"/>
  <c r="AV108" i="23"/>
  <c r="AV89" i="23"/>
  <c r="AY114" i="30"/>
  <c r="AY60" i="30"/>
  <c r="BA26" i="23"/>
  <c r="BA28" i="23"/>
  <c r="BA34" i="23"/>
  <c r="BA63" i="23"/>
  <c r="BA74" i="23"/>
  <c r="AB153" i="4"/>
  <c r="AB155" i="4"/>
  <c r="AB118" i="4"/>
  <c r="AB123" i="4"/>
  <c r="AB133" i="4"/>
  <c r="AB144" i="4"/>
  <c r="AB169" i="4"/>
  <c r="AU83" i="23"/>
  <c r="AW48" i="23"/>
  <c r="BG83" i="23"/>
  <c r="BE88" i="23"/>
  <c r="BE89" i="23"/>
  <c r="BE108" i="23"/>
  <c r="F42" i="23"/>
  <c r="F54" i="23"/>
  <c r="F59" i="23"/>
  <c r="F73" i="23"/>
  <c r="F78" i="23"/>
  <c r="F93" i="23"/>
  <c r="F97" i="23"/>
  <c r="F98" i="23"/>
  <c r="F99" i="23"/>
  <c r="F109" i="23"/>
  <c r="AQ163" i="4"/>
  <c r="AQ161" i="4"/>
  <c r="AQ185" i="4"/>
  <c r="AW63" i="23"/>
  <c r="AW74" i="23"/>
  <c r="BI37" i="23"/>
  <c r="BI41" i="23"/>
  <c r="BI106" i="23"/>
  <c r="BI146" i="23"/>
  <c r="BE69" i="23"/>
  <c r="BE107" i="23"/>
  <c r="U85" i="23"/>
  <c r="U39" i="23"/>
  <c r="U66" i="23"/>
  <c r="K130" i="23"/>
  <c r="AL117" i="30"/>
  <c r="AL78" i="30"/>
  <c r="AL82" i="30"/>
  <c r="AT185" i="4"/>
  <c r="AT161" i="4"/>
  <c r="AT163" i="4"/>
  <c r="BG35" i="23"/>
  <c r="AY92" i="30"/>
  <c r="V54" i="30"/>
  <c r="B68" i="30"/>
  <c r="BU184" i="4"/>
  <c r="BU153" i="4"/>
  <c r="BU154" i="4"/>
  <c r="BU162" i="4"/>
  <c r="L76" i="30"/>
  <c r="AY78" i="30"/>
  <c r="AY82" i="30"/>
  <c r="AY117" i="30"/>
  <c r="J42" i="1"/>
  <c r="D91" i="4"/>
  <c r="U91" i="4"/>
  <c r="U93" i="4"/>
  <c r="U134" i="4"/>
  <c r="U145" i="4"/>
  <c r="U170" i="4"/>
  <c r="U177" i="4"/>
  <c r="R23" i="30"/>
  <c r="R44" i="30"/>
  <c r="R49" i="30"/>
  <c r="R63" i="30"/>
  <c r="R68" i="30"/>
  <c r="R83" i="30"/>
  <c r="R87" i="30"/>
  <c r="R88" i="30"/>
  <c r="R89" i="30"/>
  <c r="R99" i="30"/>
  <c r="BF83" i="23"/>
  <c r="H19" i="30"/>
  <c r="H26" i="30"/>
  <c r="H107" i="30"/>
  <c r="H120" i="30"/>
  <c r="AE48" i="23"/>
  <c r="H97" i="23"/>
  <c r="H98" i="23"/>
  <c r="H99" i="23"/>
  <c r="H109" i="23"/>
  <c r="AK58" i="30"/>
  <c r="AK59" i="30"/>
  <c r="AK97" i="30"/>
  <c r="AD38" i="30"/>
  <c r="BL86" i="23"/>
  <c r="AK23" i="30"/>
  <c r="AK44" i="30"/>
  <c r="AK49" i="30"/>
  <c r="AK63" i="30"/>
  <c r="AK68" i="30"/>
  <c r="AK83" i="30"/>
  <c r="AK92" i="30"/>
  <c r="N44" i="30"/>
  <c r="N49" i="30"/>
  <c r="N63" i="30"/>
  <c r="N68" i="30"/>
  <c r="N83" i="30"/>
  <c r="N92" i="30"/>
  <c r="BL76" i="30"/>
  <c r="AF26" i="30"/>
  <c r="AF107" i="30"/>
  <c r="AF120" i="30"/>
  <c r="BC137" i="30"/>
  <c r="BC135" i="30"/>
  <c r="BL57" i="30"/>
  <c r="BL58" i="30"/>
  <c r="BL59" i="30"/>
  <c r="BL97" i="30"/>
  <c r="I54" i="23"/>
  <c r="I59" i="23"/>
  <c r="I73" i="23"/>
  <c r="I78" i="23"/>
  <c r="I93" i="23"/>
  <c r="I97" i="23"/>
  <c r="I98" i="23"/>
  <c r="I101" i="23"/>
  <c r="I129" i="23"/>
  <c r="J19" i="30"/>
  <c r="J26" i="30"/>
  <c r="J107" i="30"/>
  <c r="J120" i="30"/>
  <c r="T74" i="30"/>
  <c r="T55" i="30"/>
  <c r="AA54" i="30"/>
  <c r="BI77" i="30"/>
  <c r="BI78" i="30"/>
  <c r="BI79" i="30"/>
  <c r="BI98" i="30"/>
  <c r="BV169" i="4"/>
  <c r="X190" i="4"/>
  <c r="X188" i="4"/>
  <c r="X127" i="4"/>
  <c r="AU35" i="23"/>
  <c r="AZ23" i="23"/>
  <c r="AZ42" i="23"/>
  <c r="AZ51" i="23"/>
  <c r="H107" i="23"/>
  <c r="H69" i="23"/>
  <c r="G99" i="30"/>
  <c r="G44" i="30"/>
  <c r="G49" i="30"/>
  <c r="G63" i="30"/>
  <c r="G68" i="30"/>
  <c r="G83" i="30"/>
  <c r="G87" i="30"/>
  <c r="G88" i="30"/>
  <c r="G89" i="30"/>
  <c r="Y153" i="4"/>
  <c r="Y155" i="4"/>
  <c r="Y118" i="4"/>
  <c r="Y123" i="4"/>
  <c r="Y127" i="4"/>
  <c r="Y188" i="4"/>
  <c r="Y190" i="4"/>
  <c r="BP165" i="4"/>
  <c r="J178" i="4"/>
  <c r="U74" i="30"/>
  <c r="U55" i="30"/>
  <c r="G81" i="5"/>
  <c r="F81" i="5"/>
  <c r="E81" i="5"/>
  <c r="D81" i="5"/>
  <c r="C81" i="5"/>
  <c r="AP99" i="30"/>
  <c r="AP89" i="30"/>
  <c r="AI23" i="23"/>
  <c r="AI37" i="23"/>
  <c r="AI38" i="23"/>
  <c r="S136" i="4"/>
  <c r="S143" i="4"/>
  <c r="S168" i="4"/>
  <c r="S173" i="4"/>
  <c r="K42" i="23"/>
  <c r="K51" i="23"/>
  <c r="W86" i="23"/>
  <c r="AX44" i="30"/>
  <c r="AX49" i="30"/>
  <c r="AX63" i="30"/>
  <c r="AX68" i="30"/>
  <c r="AX83" i="30"/>
  <c r="AX87" i="30"/>
  <c r="AX88" i="30"/>
  <c r="AX89" i="30"/>
  <c r="AX99" i="30"/>
  <c r="BL146" i="23"/>
  <c r="BL106" i="23"/>
  <c r="BL41" i="23"/>
  <c r="I117" i="30"/>
  <c r="I78" i="30"/>
  <c r="I82" i="30"/>
  <c r="AQ184" i="4"/>
  <c r="AQ154" i="4"/>
  <c r="AQ162" i="4"/>
  <c r="AT184" i="4"/>
  <c r="AT154" i="4"/>
  <c r="AT162" i="4"/>
  <c r="AN63" i="23"/>
  <c r="AN74" i="23"/>
  <c r="AD73" i="30"/>
  <c r="X54" i="23"/>
  <c r="X59" i="23"/>
  <c r="X73" i="23"/>
  <c r="X78" i="23"/>
  <c r="X93" i="23"/>
  <c r="X102" i="23"/>
  <c r="R27" i="30"/>
  <c r="R95" i="30"/>
  <c r="R135" i="30"/>
  <c r="R137" i="30"/>
  <c r="AX189" i="4"/>
  <c r="AX128" i="4"/>
  <c r="BG117" i="23"/>
  <c r="BG130" i="23"/>
  <c r="N37" i="23"/>
  <c r="N38" i="23"/>
  <c r="AE45" i="30"/>
  <c r="AQ136" i="30"/>
  <c r="AQ37" i="30"/>
  <c r="AQ41" i="30"/>
  <c r="AQ42" i="30"/>
  <c r="AQ96" i="30"/>
  <c r="AT35" i="30"/>
  <c r="U165" i="4"/>
  <c r="AW125" i="23"/>
  <c r="AW72" i="23"/>
  <c r="G86" i="23"/>
  <c r="N162" i="4"/>
  <c r="N184" i="4"/>
  <c r="AR58" i="30"/>
  <c r="AR60" i="30"/>
  <c r="AR114" i="30"/>
  <c r="T68" i="23"/>
  <c r="T86" i="23"/>
  <c r="T136" i="30"/>
  <c r="T41" i="30"/>
  <c r="T42" i="30"/>
  <c r="T96" i="30"/>
  <c r="AG48" i="23"/>
  <c r="AI28" i="23"/>
  <c r="AI34" i="23"/>
  <c r="AI43" i="23"/>
  <c r="AY37" i="23"/>
  <c r="AY65" i="23"/>
  <c r="AY84" i="23"/>
  <c r="AX26" i="30"/>
  <c r="AX28" i="30"/>
  <c r="AX34" i="30"/>
  <c r="AX53" i="30"/>
  <c r="AX64" i="30"/>
  <c r="G39" i="30"/>
  <c r="G56" i="30"/>
  <c r="G75" i="30"/>
  <c r="AX129" i="23"/>
  <c r="AX101" i="23"/>
  <c r="BJ26" i="30"/>
  <c r="BJ107" i="30"/>
  <c r="BJ120" i="30"/>
  <c r="BB76" i="30"/>
  <c r="Q28" i="23"/>
  <c r="Q34" i="23"/>
  <c r="Q63" i="23"/>
  <c r="Q82" i="23"/>
  <c r="Q94" i="23"/>
  <c r="H88" i="23"/>
  <c r="H92" i="23"/>
  <c r="H127" i="23"/>
  <c r="V26" i="23"/>
  <c r="V47" i="23"/>
  <c r="V117" i="23"/>
  <c r="V130" i="23"/>
  <c r="AJ48" i="23"/>
  <c r="AJ78" i="30"/>
  <c r="AJ82" i="30"/>
  <c r="AJ117" i="30"/>
  <c r="O23" i="23"/>
  <c r="O37" i="23"/>
  <c r="O38" i="23"/>
  <c r="AK28" i="30"/>
  <c r="AK34" i="30"/>
  <c r="AK45" i="30"/>
  <c r="W107" i="30"/>
  <c r="W120" i="30"/>
  <c r="AS153" i="4"/>
  <c r="AS155" i="4"/>
  <c r="AS118" i="4"/>
  <c r="AS123" i="4"/>
  <c r="AS133" i="4"/>
  <c r="AS144" i="4"/>
  <c r="AS151" i="4"/>
  <c r="AS165" i="4"/>
  <c r="W69" i="23"/>
  <c r="W107" i="23"/>
  <c r="AI26" i="23"/>
  <c r="AI47" i="23"/>
  <c r="AI117" i="23"/>
  <c r="AI130" i="23"/>
  <c r="S114" i="30"/>
  <c r="S60" i="30"/>
  <c r="F18" i="23"/>
  <c r="F18" i="30"/>
  <c r="S23" i="23"/>
  <c r="S42" i="23"/>
  <c r="S54" i="23"/>
  <c r="S59" i="23"/>
  <c r="S73" i="23"/>
  <c r="S78" i="23"/>
  <c r="S93" i="23"/>
  <c r="S102" i="23"/>
  <c r="AQ64" i="23"/>
  <c r="AQ23" i="23"/>
  <c r="AQ42" i="23"/>
  <c r="AQ51" i="23"/>
  <c r="F10" i="23"/>
  <c r="H162" i="4"/>
  <c r="E162" i="4"/>
  <c r="AW26" i="30"/>
  <c r="AW28" i="30"/>
  <c r="AW34" i="30"/>
  <c r="AW53" i="30"/>
  <c r="AW64" i="30"/>
  <c r="E112" i="30"/>
  <c r="B112" i="30"/>
  <c r="T26" i="30"/>
  <c r="T28" i="30"/>
  <c r="T34" i="30"/>
  <c r="T45" i="30"/>
  <c r="AN37" i="30"/>
  <c r="AN38" i="30"/>
  <c r="BA18" i="23"/>
  <c r="BD178" i="4"/>
  <c r="BA18" i="30"/>
  <c r="AH26" i="30"/>
  <c r="AH28" i="30"/>
  <c r="AH34" i="30"/>
  <c r="AH53" i="30"/>
  <c r="AH64" i="30"/>
  <c r="AO83" i="23"/>
  <c r="AF105" i="23"/>
  <c r="AF110" i="23"/>
  <c r="AF37" i="30"/>
  <c r="AF38" i="30"/>
  <c r="AM88" i="23"/>
  <c r="AM90" i="23"/>
  <c r="AM126" i="23"/>
  <c r="I19" i="30"/>
  <c r="I27" i="30"/>
  <c r="I95" i="30"/>
  <c r="I135" i="30"/>
  <c r="I137" i="30"/>
  <c r="A140" i="30"/>
  <c r="O10" i="30"/>
  <c r="AC35" i="30"/>
  <c r="AW115" i="30"/>
  <c r="AW62" i="30"/>
  <c r="AX48" i="23"/>
  <c r="L132" i="4"/>
  <c r="L140" i="4"/>
  <c r="L176" i="4"/>
  <c r="I19" i="23"/>
  <c r="I26" i="23"/>
  <c r="I47" i="23"/>
  <c r="I117" i="23"/>
  <c r="I130" i="23"/>
  <c r="AQ44" i="30"/>
  <c r="AQ49" i="30"/>
  <c r="AQ63" i="30"/>
  <c r="AQ68" i="30"/>
  <c r="AQ83" i="30"/>
  <c r="AQ87" i="30"/>
  <c r="AQ88" i="30"/>
  <c r="AQ91" i="30"/>
  <c r="AQ119" i="30"/>
  <c r="BH162" i="4"/>
  <c r="BH184" i="4"/>
  <c r="BL127" i="23"/>
  <c r="BL92" i="23"/>
  <c r="BB38" i="30"/>
  <c r="AX111" i="30"/>
  <c r="AX121" i="23"/>
  <c r="BA126" i="4"/>
  <c r="BA127" i="4"/>
  <c r="BA188" i="4"/>
  <c r="BA190" i="4"/>
  <c r="O64" i="23"/>
  <c r="AI18" i="30"/>
  <c r="AL178" i="4"/>
  <c r="AI18" i="23"/>
  <c r="AB50" i="23"/>
  <c r="AB53" i="23"/>
  <c r="AB123" i="23"/>
  <c r="AB137" i="23"/>
  <c r="AR68" i="23"/>
  <c r="AR70" i="23"/>
  <c r="AR124" i="23"/>
  <c r="H73" i="30"/>
  <c r="BH88" i="23"/>
  <c r="BH92" i="23"/>
  <c r="BH127" i="23"/>
  <c r="BL155" i="4"/>
  <c r="BL118" i="4"/>
  <c r="BL123" i="4"/>
  <c r="BL127" i="4"/>
  <c r="BL188" i="4"/>
  <c r="BL190" i="4"/>
  <c r="AP27" i="30"/>
  <c r="AP95" i="30"/>
  <c r="AP100" i="30"/>
  <c r="Y114" i="30"/>
  <c r="Y60" i="30"/>
  <c r="P153" i="4"/>
  <c r="P154" i="4"/>
  <c r="P170" i="4"/>
  <c r="P177" i="4"/>
  <c r="M23" i="30"/>
  <c r="M44" i="30"/>
  <c r="M49" i="30"/>
  <c r="M63" i="30"/>
  <c r="M68" i="30"/>
  <c r="M83" i="30"/>
  <c r="M92" i="30"/>
  <c r="T78" i="30"/>
  <c r="T79" i="30"/>
  <c r="T98" i="30"/>
  <c r="X102" i="4"/>
  <c r="X132" i="4"/>
  <c r="AV42" i="23"/>
  <c r="AV51" i="23"/>
  <c r="I132" i="4"/>
  <c r="I140" i="4"/>
  <c r="I176" i="4"/>
  <c r="F19" i="23"/>
  <c r="F27" i="23"/>
  <c r="F34" i="23"/>
  <c r="F105" i="23"/>
  <c r="F110" i="23"/>
  <c r="AS76" i="30"/>
  <c r="BK26" i="23"/>
  <c r="BK28" i="23"/>
  <c r="BK34" i="23"/>
  <c r="BK105" i="23"/>
  <c r="BK110" i="23"/>
  <c r="BL108" i="23"/>
  <c r="BL89" i="23"/>
  <c r="AL115" i="30"/>
  <c r="AL62" i="30"/>
  <c r="Q35" i="23"/>
  <c r="AI27" i="30"/>
  <c r="AI95" i="30"/>
  <c r="AI135" i="30"/>
  <c r="AI137" i="30"/>
  <c r="H184" i="4"/>
  <c r="E184" i="4"/>
  <c r="V44" i="30"/>
  <c r="V49" i="30"/>
  <c r="V63" i="30"/>
  <c r="V68" i="30"/>
  <c r="V83" i="30"/>
  <c r="V87" i="30"/>
  <c r="V88" i="30"/>
  <c r="V90" i="30"/>
  <c r="V118" i="30"/>
  <c r="C26" i="23"/>
  <c r="C28" i="23"/>
  <c r="Y37" i="23"/>
  <c r="Y38" i="23"/>
  <c r="E51" i="5"/>
  <c r="N8" i="1"/>
  <c r="C74" i="5"/>
  <c r="C23" i="5"/>
  <c r="C77" i="5"/>
  <c r="C9" i="5"/>
  <c r="C25" i="5"/>
  <c r="C31" i="5"/>
  <c r="F51" i="5"/>
  <c r="D53" i="5"/>
  <c r="C33" i="5"/>
  <c r="C34" i="5"/>
  <c r="C29" i="5"/>
  <c r="C24" i="5"/>
  <c r="C35" i="5"/>
  <c r="C39" i="5"/>
  <c r="C46" i="5"/>
  <c r="C32" i="5"/>
  <c r="C26" i="5"/>
  <c r="E55" i="5"/>
  <c r="C75" i="5"/>
  <c r="G51" i="5"/>
  <c r="C51" i="5"/>
  <c r="C40" i="5"/>
  <c r="C38" i="5"/>
  <c r="C83" i="5"/>
  <c r="C47" i="5"/>
  <c r="C28" i="5"/>
  <c r="C27" i="5"/>
  <c r="C45" i="5"/>
  <c r="C41" i="5"/>
  <c r="C76" i="5"/>
  <c r="C43" i="5"/>
  <c r="C73" i="5"/>
  <c r="C80" i="5"/>
  <c r="S37" i="30"/>
  <c r="S55" i="30"/>
  <c r="S74" i="30"/>
  <c r="AA27" i="30"/>
  <c r="AA95" i="30"/>
  <c r="AA100" i="30"/>
  <c r="Q122" i="23"/>
  <c r="Q112" i="30"/>
  <c r="W47" i="23"/>
  <c r="W55" i="23"/>
  <c r="AV23" i="23"/>
  <c r="AV39" i="23"/>
  <c r="AV66" i="23"/>
  <c r="AV85" i="23"/>
  <c r="AB102" i="23"/>
  <c r="Q35" i="30"/>
  <c r="AT37" i="23"/>
  <c r="AT41" i="23"/>
  <c r="AT106" i="23"/>
  <c r="AT146" i="23"/>
  <c r="AJ88" i="23"/>
  <c r="AJ90" i="23"/>
  <c r="AJ126" i="23"/>
  <c r="BF26" i="23"/>
  <c r="BF28" i="23"/>
  <c r="BF34" i="23"/>
  <c r="BF105" i="23"/>
  <c r="BF110" i="23"/>
  <c r="I84" i="23"/>
  <c r="I65" i="23"/>
  <c r="AH153" i="4"/>
  <c r="AH155" i="4"/>
  <c r="AH118" i="4"/>
  <c r="AH123" i="4"/>
  <c r="AH133" i="4"/>
  <c r="AH144" i="4"/>
  <c r="AH151" i="4"/>
  <c r="AH165" i="4"/>
  <c r="T133" i="4"/>
  <c r="T136" i="4"/>
  <c r="T143" i="4"/>
  <c r="T168" i="4"/>
  <c r="T173" i="4"/>
  <c r="BB58" i="30"/>
  <c r="BB60" i="30"/>
  <c r="BB114" i="30"/>
  <c r="S72" i="23"/>
  <c r="S125" i="23"/>
  <c r="AS136" i="30"/>
  <c r="AS96" i="30"/>
  <c r="K28" i="30"/>
  <c r="K34" i="30"/>
  <c r="K53" i="30"/>
  <c r="K64" i="30"/>
  <c r="AV162" i="4"/>
  <c r="AV154" i="4"/>
  <c r="AV184" i="4"/>
  <c r="AB27" i="30"/>
  <c r="AB95" i="30"/>
  <c r="AB135" i="30"/>
  <c r="AB137" i="30"/>
  <c r="U79" i="30"/>
  <c r="U98" i="30"/>
  <c r="AG68" i="23"/>
  <c r="AG72" i="23"/>
  <c r="AG125" i="23"/>
  <c r="R35" i="23"/>
  <c r="BG107" i="30"/>
  <c r="BG120" i="30"/>
  <c r="BB26" i="30"/>
  <c r="BB28" i="30"/>
  <c r="BB34" i="30"/>
  <c r="BB53" i="30"/>
  <c r="BB64" i="30"/>
  <c r="AC18" i="30"/>
  <c r="AF178" i="4"/>
  <c r="AC18" i="23"/>
  <c r="AB23" i="23"/>
  <c r="AB42" i="23"/>
  <c r="AB54" i="23"/>
  <c r="AB59" i="23"/>
  <c r="AB73" i="23"/>
  <c r="AB78" i="23"/>
  <c r="AB93" i="23"/>
  <c r="AB97" i="23"/>
  <c r="AB98" i="23"/>
  <c r="AB99" i="23"/>
  <c r="AB109" i="23"/>
  <c r="AJ37" i="23"/>
  <c r="AJ38" i="23"/>
  <c r="AY102" i="4"/>
  <c r="AY132" i="4"/>
  <c r="BB102" i="4"/>
  <c r="BB132" i="4"/>
  <c r="BH23" i="23"/>
  <c r="BH42" i="23"/>
  <c r="BH54" i="23"/>
  <c r="BH59" i="23"/>
  <c r="BH73" i="23"/>
  <c r="BH78" i="23"/>
  <c r="BH93" i="23"/>
  <c r="BH97" i="23"/>
  <c r="BH98" i="23"/>
  <c r="BH100" i="23"/>
  <c r="BH128" i="23"/>
  <c r="AP23" i="23"/>
  <c r="AP42" i="23"/>
  <c r="AP54" i="23"/>
  <c r="AP59" i="23"/>
  <c r="AP73" i="23"/>
  <c r="AP78" i="23"/>
  <c r="AP93" i="23"/>
  <c r="AP97" i="23"/>
  <c r="AP98" i="23"/>
  <c r="AP101" i="23"/>
  <c r="AP129" i="23"/>
  <c r="H92" i="30"/>
  <c r="AA51" i="23"/>
  <c r="J118" i="30"/>
  <c r="J90" i="30"/>
  <c r="T105" i="23"/>
  <c r="T145" i="23"/>
  <c r="T147" i="23"/>
  <c r="J155" i="4"/>
  <c r="J118" i="4"/>
  <c r="J126" i="4"/>
  <c r="AK78" i="30"/>
  <c r="AK79" i="30"/>
  <c r="AK98" i="30"/>
  <c r="BL27" i="30"/>
  <c r="BL95" i="30"/>
  <c r="BL100" i="30"/>
  <c r="S163" i="4"/>
  <c r="S161" i="4"/>
  <c r="S185" i="4"/>
  <c r="Z27" i="30"/>
  <c r="Z95" i="30"/>
  <c r="Z100" i="30"/>
  <c r="BB27" i="30"/>
  <c r="BB95" i="30"/>
  <c r="BB100" i="30"/>
  <c r="N107" i="30"/>
  <c r="N120" i="30"/>
  <c r="AR108" i="23"/>
  <c r="AR88" i="23"/>
  <c r="AR89" i="23"/>
  <c r="L27" i="30"/>
  <c r="L95" i="30"/>
  <c r="L100" i="30"/>
  <c r="AJ23" i="23"/>
  <c r="AJ39" i="23"/>
  <c r="AJ66" i="23"/>
  <c r="AJ85" i="23"/>
  <c r="AB58" i="30"/>
  <c r="AB59" i="30"/>
  <c r="AB97" i="30"/>
  <c r="P48" i="23"/>
  <c r="AS102" i="4"/>
  <c r="AS128" i="4"/>
  <c r="AS189" i="4"/>
  <c r="AW28" i="23"/>
  <c r="AW34" i="23"/>
  <c r="AW43" i="23"/>
  <c r="BL51" i="23"/>
  <c r="Q37" i="23"/>
  <c r="Q41" i="23"/>
  <c r="Q106" i="23"/>
  <c r="Q146" i="23"/>
  <c r="AN18" i="30"/>
  <c r="AN18" i="23"/>
  <c r="AQ178" i="4"/>
  <c r="K26" i="23"/>
  <c r="K47" i="23"/>
  <c r="K117" i="23"/>
  <c r="K136" i="23"/>
  <c r="K138" i="23"/>
  <c r="AQ73" i="30"/>
  <c r="AT133" i="4"/>
  <c r="AT144" i="4"/>
  <c r="AT151" i="4"/>
  <c r="AT165" i="4"/>
  <c r="AN189" i="4"/>
  <c r="AN128" i="4"/>
  <c r="AQ26" i="23"/>
  <c r="AQ28" i="23"/>
  <c r="AQ34" i="23"/>
  <c r="AQ105" i="23"/>
  <c r="AQ110" i="23"/>
  <c r="L58" i="30"/>
  <c r="L62" i="30"/>
  <c r="L115" i="30"/>
  <c r="AY99" i="30"/>
  <c r="AY23" i="30"/>
  <c r="AY44" i="30"/>
  <c r="AY49" i="30"/>
  <c r="AY63" i="30"/>
  <c r="AY68" i="30"/>
  <c r="AY83" i="30"/>
  <c r="AY87" i="30"/>
  <c r="AY88" i="30"/>
  <c r="AY89" i="30"/>
  <c r="AY58" i="30"/>
  <c r="AY76" i="30"/>
  <c r="P35" i="23"/>
  <c r="B105" i="23"/>
  <c r="BI47" i="23"/>
  <c r="BI117" i="23"/>
  <c r="BI136" i="23"/>
  <c r="BI138" i="23"/>
  <c r="AA80" i="30"/>
  <c r="AA116" i="30"/>
  <c r="AD23" i="30"/>
  <c r="AD37" i="30"/>
  <c r="AD55" i="30"/>
  <c r="AD74" i="30"/>
  <c r="AB178" i="4"/>
  <c r="Y18" i="23"/>
  <c r="Y18" i="30"/>
  <c r="BH71" i="23"/>
  <c r="BI62" i="23"/>
  <c r="BI67" i="23"/>
  <c r="BI71" i="23"/>
  <c r="BJ62" i="23"/>
  <c r="BJ67" i="23"/>
  <c r="BJ71" i="23"/>
  <c r="BK62" i="23"/>
  <c r="BK67" i="23"/>
  <c r="BK71" i="23"/>
  <c r="BL62" i="23"/>
  <c r="BL67" i="23"/>
  <c r="BL68" i="23"/>
  <c r="BL69" i="23"/>
  <c r="BL107" i="23"/>
  <c r="AY18" i="23"/>
  <c r="BB178" i="4"/>
  <c r="AY18" i="30"/>
  <c r="H133" i="4"/>
  <c r="H136" i="4"/>
  <c r="E136" i="4"/>
  <c r="R26" i="30"/>
  <c r="R28" i="30"/>
  <c r="R34" i="30"/>
  <c r="R45" i="30"/>
  <c r="BC27" i="30"/>
  <c r="BC95" i="30"/>
  <c r="BC100" i="30"/>
  <c r="BL23" i="30"/>
  <c r="BL37" i="30"/>
  <c r="BL41" i="30"/>
  <c r="BL42" i="30"/>
  <c r="BL96" i="30"/>
  <c r="BL136" i="30"/>
  <c r="AY178" i="4"/>
  <c r="AV18" i="23"/>
  <c r="AV18" i="30"/>
  <c r="AO147" i="23"/>
  <c r="AO145" i="23"/>
  <c r="AD50" i="23"/>
  <c r="AD53" i="23"/>
  <c r="AD123" i="23"/>
  <c r="AD137" i="23"/>
  <c r="AJ18" i="30"/>
  <c r="AM178" i="4"/>
  <c r="AJ18" i="23"/>
  <c r="T23" i="30"/>
  <c r="T37" i="30"/>
  <c r="T38" i="30"/>
  <c r="BK23" i="23"/>
  <c r="BK37" i="23"/>
  <c r="BK38" i="23"/>
  <c r="T51" i="23"/>
  <c r="L18" i="30"/>
  <c r="L18" i="23"/>
  <c r="AY162" i="4"/>
  <c r="AY154" i="4"/>
  <c r="AY184" i="4"/>
  <c r="U23" i="30"/>
  <c r="U37" i="30"/>
  <c r="U38" i="30"/>
  <c r="BI54" i="23"/>
  <c r="BI59" i="23"/>
  <c r="BI73" i="23"/>
  <c r="BI78" i="23"/>
  <c r="BI93" i="23"/>
  <c r="BI97" i="23"/>
  <c r="BI98" i="23"/>
  <c r="BI99" i="23"/>
  <c r="BI109" i="23"/>
  <c r="BC84" i="23"/>
  <c r="BC65" i="23"/>
  <c r="AP110" i="23"/>
  <c r="AR92" i="30"/>
  <c r="AS126" i="4"/>
  <c r="AP111" i="30"/>
  <c r="AP121" i="23"/>
  <c r="BP155" i="4"/>
  <c r="BP118" i="4"/>
  <c r="BP123" i="4"/>
  <c r="BP133" i="4"/>
  <c r="BP144" i="4"/>
  <c r="BP151" i="4"/>
  <c r="BP161" i="4"/>
  <c r="BP163" i="4"/>
  <c r="AA185" i="4"/>
  <c r="AA151" i="4"/>
  <c r="AA161" i="4"/>
  <c r="AA163" i="4"/>
  <c r="G37" i="5"/>
  <c r="E37" i="5"/>
  <c r="F37" i="5"/>
  <c r="C37" i="5"/>
  <c r="BF50" i="23"/>
  <c r="BF53" i="23"/>
  <c r="BF123" i="23"/>
  <c r="BF137" i="23"/>
  <c r="BL26" i="30"/>
  <c r="BL107" i="30"/>
  <c r="BL120" i="30"/>
  <c r="E23" i="23"/>
  <c r="E42" i="23"/>
  <c r="E54" i="23"/>
  <c r="E59" i="23"/>
  <c r="E73" i="23"/>
  <c r="E78" i="23"/>
  <c r="E93" i="23"/>
  <c r="E102" i="23"/>
  <c r="W68" i="23"/>
  <c r="W70" i="23"/>
  <c r="W124" i="23"/>
  <c r="BA42" i="23"/>
  <c r="BA54" i="23"/>
  <c r="BA59" i="23"/>
  <c r="BA73" i="23"/>
  <c r="BA78" i="23"/>
  <c r="BA93" i="23"/>
  <c r="BA97" i="23"/>
  <c r="BA98" i="23"/>
  <c r="BA101" i="23"/>
  <c r="BA129" i="23"/>
  <c r="BB162" i="4"/>
  <c r="BB154" i="4"/>
  <c r="BB184" i="4"/>
  <c r="AN26" i="23"/>
  <c r="AN28" i="23"/>
  <c r="AN34" i="23"/>
  <c r="AN43" i="23"/>
  <c r="G33" i="17"/>
  <c r="I33" i="17"/>
  <c r="J33" i="17"/>
  <c r="AP83" i="23"/>
  <c r="P39" i="23"/>
  <c r="P66" i="23"/>
  <c r="P85" i="23"/>
  <c r="K54" i="30"/>
  <c r="AI162" i="4"/>
  <c r="AI154" i="4"/>
  <c r="AI184" i="4"/>
  <c r="J23" i="23"/>
  <c r="J42" i="23"/>
  <c r="J51" i="23"/>
  <c r="D105" i="23"/>
  <c r="D145" i="23"/>
  <c r="D147" i="23"/>
  <c r="A148" i="23"/>
  <c r="O8" i="23"/>
  <c r="BA185" i="4"/>
  <c r="BA161" i="4"/>
  <c r="BA163" i="4"/>
  <c r="BC73" i="30"/>
  <c r="AS58" i="30"/>
  <c r="AS60" i="30"/>
  <c r="AS114" i="30"/>
  <c r="AY88" i="4"/>
  <c r="AY134" i="4"/>
  <c r="AY145" i="4"/>
  <c r="AY170" i="4"/>
  <c r="AY177" i="4"/>
  <c r="AV23" i="30"/>
  <c r="AV44" i="30"/>
  <c r="AV49" i="30"/>
  <c r="AV63" i="30"/>
  <c r="AV68" i="30"/>
  <c r="AV83" i="30"/>
  <c r="AV87" i="30"/>
  <c r="AV88" i="30"/>
  <c r="AV89" i="30"/>
  <c r="AV99" i="30"/>
  <c r="G68" i="23"/>
  <c r="G69" i="23"/>
  <c r="G107" i="23"/>
  <c r="AM88" i="4"/>
  <c r="AM134" i="4"/>
  <c r="AM145" i="4"/>
  <c r="AM170" i="4"/>
  <c r="AM177" i="4"/>
  <c r="AJ23" i="30"/>
  <c r="AJ37" i="30"/>
  <c r="AJ38" i="30"/>
  <c r="BC119" i="30"/>
  <c r="BC91" i="30"/>
  <c r="AN120" i="30"/>
  <c r="AQ76" i="30"/>
  <c r="AY39" i="23"/>
  <c r="AY66" i="23"/>
  <c r="AY85" i="23"/>
  <c r="AI26" i="30"/>
  <c r="AI28" i="30"/>
  <c r="AI34" i="30"/>
  <c r="AI45" i="30"/>
  <c r="W26" i="30"/>
  <c r="W28" i="30"/>
  <c r="W34" i="30"/>
  <c r="W53" i="30"/>
  <c r="W64" i="30"/>
  <c r="Q88" i="23"/>
  <c r="Q90" i="23"/>
  <c r="Q126" i="23"/>
  <c r="F48" i="5"/>
  <c r="E48" i="5"/>
  <c r="C48" i="5"/>
  <c r="G48" i="5"/>
  <c r="AE63" i="23"/>
  <c r="AE74" i="23"/>
  <c r="R26" i="23"/>
  <c r="R28" i="23"/>
  <c r="R34" i="23"/>
  <c r="R105" i="23"/>
  <c r="R145" i="23"/>
  <c r="R147" i="23"/>
  <c r="Y116" i="30"/>
  <c r="Y78" i="30"/>
  <c r="Y80" i="30"/>
  <c r="J47" i="23"/>
  <c r="J55" i="23"/>
  <c r="C19" i="30"/>
  <c r="T153" i="4"/>
  <c r="T154" i="4"/>
  <c r="T170" i="4"/>
  <c r="T177" i="4"/>
  <c r="Q23" i="23"/>
  <c r="Q42" i="23"/>
  <c r="Q54" i="23"/>
  <c r="Q59" i="23"/>
  <c r="Q73" i="23"/>
  <c r="Q78" i="23"/>
  <c r="Q93" i="23"/>
  <c r="Q97" i="23"/>
  <c r="Q98" i="23"/>
  <c r="Q100" i="23"/>
  <c r="Q128" i="23"/>
  <c r="AI76" i="30"/>
  <c r="U78" i="30"/>
  <c r="U82" i="30"/>
  <c r="U117" i="30"/>
  <c r="AB88" i="23"/>
  <c r="AB92" i="23"/>
  <c r="AB127" i="23"/>
  <c r="AA78" i="30"/>
  <c r="AA82" i="30"/>
  <c r="AA117" i="30"/>
  <c r="P38" i="30"/>
  <c r="AQ151" i="4"/>
  <c r="AQ165" i="4"/>
  <c r="H54" i="23"/>
  <c r="H59" i="23"/>
  <c r="H73" i="23"/>
  <c r="H78" i="23"/>
  <c r="H93" i="23"/>
  <c r="H102" i="23"/>
  <c r="BJ38" i="23"/>
  <c r="AO55" i="23"/>
  <c r="U28" i="30"/>
  <c r="U34" i="30"/>
  <c r="U45" i="30"/>
  <c r="AU99" i="30"/>
  <c r="AU89" i="30"/>
  <c r="A123" i="30"/>
  <c r="S111" i="30"/>
  <c r="B111" i="30"/>
  <c r="CA165" i="4"/>
  <c r="AD26" i="23"/>
  <c r="AD28" i="23"/>
  <c r="AD34" i="23"/>
  <c r="AD43" i="23"/>
  <c r="AC88" i="23"/>
  <c r="AC89" i="23"/>
  <c r="AC108" i="23"/>
  <c r="AZ190" i="4"/>
  <c r="AZ188" i="4"/>
  <c r="AZ127" i="4"/>
  <c r="BJ36" i="23"/>
  <c r="BJ40" i="23"/>
  <c r="BK33" i="23"/>
  <c r="BK35" i="23"/>
  <c r="BH53" i="30"/>
  <c r="BH64" i="30"/>
  <c r="G12" i="23"/>
  <c r="A98" i="23"/>
  <c r="A101" i="23"/>
  <c r="AN102" i="4"/>
  <c r="AN132" i="4"/>
  <c r="AR38" i="23"/>
  <c r="I86" i="23"/>
  <c r="J173" i="4"/>
  <c r="J168" i="4"/>
  <c r="J143" i="4"/>
  <c r="J133" i="4"/>
  <c r="J136" i="4"/>
  <c r="W63" i="23"/>
  <c r="W82" i="23"/>
  <c r="W94" i="23"/>
  <c r="Y54" i="23"/>
  <c r="Y59" i="23"/>
  <c r="Y73" i="23"/>
  <c r="Y78" i="23"/>
  <c r="Y93" i="23"/>
  <c r="Y97" i="23"/>
  <c r="Y98" i="23"/>
  <c r="Y100" i="23"/>
  <c r="Y128" i="23"/>
  <c r="AW162" i="4"/>
  <c r="AW154" i="4"/>
  <c r="AW184" i="4"/>
  <c r="BA65" i="23"/>
  <c r="BA84" i="23"/>
  <c r="BJ58" i="30"/>
  <c r="BJ60" i="30"/>
  <c r="BJ114" i="30"/>
  <c r="AF134" i="4"/>
  <c r="AF145" i="4"/>
  <c r="AF170" i="4"/>
  <c r="AF177" i="4"/>
  <c r="AC23" i="30"/>
  <c r="AC44" i="30"/>
  <c r="AC49" i="30"/>
  <c r="AC63" i="30"/>
  <c r="AC68" i="30"/>
  <c r="AC83" i="30"/>
  <c r="AC87" i="30"/>
  <c r="AC88" i="30"/>
  <c r="AC89" i="30"/>
  <c r="AC99" i="30"/>
  <c r="AJ26" i="23"/>
  <c r="AJ28" i="23"/>
  <c r="AJ34" i="23"/>
  <c r="AJ43" i="23"/>
  <c r="E53" i="30"/>
  <c r="E64" i="30"/>
  <c r="BD45" i="30"/>
  <c r="G54" i="30"/>
  <c r="E99" i="30"/>
  <c r="E89" i="30"/>
  <c r="AR48" i="23"/>
  <c r="E94" i="23"/>
  <c r="E82" i="23"/>
  <c r="AG153" i="4"/>
  <c r="AG155" i="4"/>
  <c r="AG118" i="4"/>
  <c r="AG123" i="4"/>
  <c r="AG133" i="4"/>
  <c r="AG144" i="4"/>
  <c r="AG169" i="4"/>
  <c r="W75" i="30"/>
  <c r="W56" i="30"/>
  <c r="W39" i="30"/>
  <c r="N74" i="23"/>
  <c r="Q76" i="30"/>
  <c r="AT86" i="23"/>
  <c r="AW42" i="23"/>
  <c r="AW51" i="23"/>
  <c r="P84" i="30"/>
  <c r="P72" i="30"/>
  <c r="G54" i="23"/>
  <c r="G59" i="23"/>
  <c r="G73" i="23"/>
  <c r="G78" i="23"/>
  <c r="G93" i="23"/>
  <c r="G102" i="23"/>
  <c r="AL76" i="30"/>
  <c r="AD109" i="23"/>
  <c r="AD99" i="23"/>
  <c r="AN48" i="23"/>
  <c r="H76" i="30"/>
  <c r="AG35" i="23"/>
  <c r="BC156" i="4"/>
  <c r="BC171" i="4"/>
  <c r="E171" i="4"/>
  <c r="X163" i="4"/>
  <c r="X144" i="4"/>
  <c r="X151" i="4"/>
  <c r="X161" i="4"/>
  <c r="X185" i="4"/>
  <c r="BC146" i="23"/>
  <c r="BC106" i="23"/>
  <c r="BC41" i="23"/>
  <c r="AT121" i="23"/>
  <c r="AW126" i="4"/>
  <c r="AT111" i="30"/>
  <c r="G84" i="30"/>
  <c r="G72" i="30"/>
  <c r="AM23" i="30"/>
  <c r="AM44" i="30"/>
  <c r="AM49" i="30"/>
  <c r="AM63" i="30"/>
  <c r="AM68" i="30"/>
  <c r="AM83" i="30"/>
  <c r="AM87" i="30"/>
  <c r="AM88" i="30"/>
  <c r="AM91" i="30"/>
  <c r="AM119" i="30"/>
  <c r="BI57" i="30"/>
  <c r="BI61" i="30"/>
  <c r="BJ52" i="30"/>
  <c r="BJ57" i="30"/>
  <c r="BJ61" i="30"/>
  <c r="BK52" i="30"/>
  <c r="BK57" i="30"/>
  <c r="BK61" i="30"/>
  <c r="BL52" i="30"/>
  <c r="BL54" i="30"/>
  <c r="S69" i="23"/>
  <c r="S107" i="23"/>
  <c r="AA118" i="30"/>
  <c r="AA87" i="30"/>
  <c r="AA88" i="30"/>
  <c r="AA90" i="30"/>
  <c r="AL64" i="30"/>
  <c r="W132" i="4"/>
  <c r="AZ88" i="4"/>
  <c r="AZ134" i="4"/>
  <c r="AZ145" i="4"/>
  <c r="AZ170" i="4"/>
  <c r="AZ177" i="4"/>
  <c r="AW23" i="23"/>
  <c r="AW37" i="23"/>
  <c r="AW65" i="23"/>
  <c r="AW84" i="23"/>
  <c r="E177" i="4"/>
  <c r="P39" i="30"/>
  <c r="P56" i="30"/>
  <c r="P75" i="30"/>
  <c r="BE68" i="23"/>
  <c r="BE70" i="23"/>
  <c r="BE124" i="23"/>
  <c r="V23" i="30"/>
  <c r="V37" i="30"/>
  <c r="V41" i="30"/>
  <c r="V42" i="30"/>
  <c r="V96" i="30"/>
  <c r="V136" i="30"/>
  <c r="AT92" i="30"/>
  <c r="BG26" i="30"/>
  <c r="BG28" i="30"/>
  <c r="BG34" i="30"/>
  <c r="BG45" i="30"/>
  <c r="BC64" i="23"/>
  <c r="AM94" i="23"/>
  <c r="AM82" i="23"/>
  <c r="AA35" i="23"/>
  <c r="AR162" i="4"/>
  <c r="AR154" i="4"/>
  <c r="AR184" i="4"/>
  <c r="AE26" i="30"/>
  <c r="AE28" i="30"/>
  <c r="AE34" i="30"/>
  <c r="AE53" i="30"/>
  <c r="AE72" i="30"/>
  <c r="AE84" i="30"/>
  <c r="N73" i="30"/>
  <c r="AZ137" i="30"/>
  <c r="AZ135" i="30"/>
  <c r="J86" i="23"/>
  <c r="BX153" i="4"/>
  <c r="BX155" i="4"/>
  <c r="BX118" i="4"/>
  <c r="BX123" i="4"/>
  <c r="BX133" i="4"/>
  <c r="BX144" i="4"/>
  <c r="BX169" i="4"/>
  <c r="BN190" i="4"/>
  <c r="BN188" i="4"/>
  <c r="BN127" i="4"/>
  <c r="AH102" i="23"/>
  <c r="AU74" i="23"/>
  <c r="AN107" i="30"/>
  <c r="AN126" i="30"/>
  <c r="AN128" i="30"/>
  <c r="P132" i="4"/>
  <c r="AA129" i="23"/>
  <c r="AA101" i="23"/>
  <c r="AQ58" i="30"/>
  <c r="AQ59" i="30"/>
  <c r="AQ97" i="30"/>
  <c r="R78" i="30"/>
  <c r="R79" i="30"/>
  <c r="R98" i="30"/>
  <c r="O112" i="30"/>
  <c r="R113" i="4"/>
  <c r="O122" i="23"/>
  <c r="L86" i="23"/>
  <c r="AU23" i="23"/>
  <c r="AU42" i="23"/>
  <c r="AU54" i="23"/>
  <c r="AU59" i="23"/>
  <c r="AU73" i="23"/>
  <c r="AU78" i="23"/>
  <c r="AU93" i="23"/>
  <c r="AU97" i="23"/>
  <c r="AU98" i="23"/>
  <c r="AU101" i="23"/>
  <c r="AU129" i="23"/>
  <c r="AE43" i="23"/>
  <c r="AX137" i="23"/>
  <c r="AX123" i="23"/>
  <c r="AX50" i="23"/>
  <c r="AX53" i="23"/>
  <c r="J19" i="23"/>
  <c r="J26" i="23"/>
  <c r="J28" i="23"/>
  <c r="P163" i="4"/>
  <c r="P161" i="4"/>
  <c r="P185" i="4"/>
  <c r="BC23" i="30"/>
  <c r="BC44" i="30"/>
  <c r="BC49" i="30"/>
  <c r="BC63" i="30"/>
  <c r="BC68" i="30"/>
  <c r="BC83" i="30"/>
  <c r="BC87" i="30"/>
  <c r="BC88" i="30"/>
  <c r="BC89" i="30"/>
  <c r="BC99" i="30"/>
  <c r="AI58" i="30"/>
  <c r="AI59" i="30"/>
  <c r="AI97" i="30"/>
  <c r="Y83" i="23"/>
  <c r="BJ154" i="4"/>
  <c r="BJ170" i="4"/>
  <c r="BJ177" i="4"/>
  <c r="BG23" i="23"/>
  <c r="BG37" i="23"/>
  <c r="BG41" i="23"/>
  <c r="BG106" i="23"/>
  <c r="BG146" i="23"/>
  <c r="G23" i="23"/>
  <c r="G42" i="23"/>
  <c r="G51" i="23"/>
  <c r="P23" i="30"/>
  <c r="P37" i="30"/>
  <c r="P55" i="30"/>
  <c r="P74" i="30"/>
  <c r="BJ85" i="23"/>
  <c r="BJ66" i="23"/>
  <c r="BJ39" i="23"/>
  <c r="AQ144" i="4"/>
  <c r="AQ169" i="4"/>
  <c r="U86" i="23"/>
  <c r="AD51" i="23"/>
  <c r="BZ157" i="4"/>
  <c r="CA150" i="4"/>
  <c r="CA153" i="4"/>
  <c r="CA155" i="4"/>
  <c r="CA118" i="4"/>
  <c r="CA123" i="4"/>
  <c r="CA133" i="4"/>
  <c r="CA144" i="4"/>
  <c r="CA151" i="4"/>
  <c r="CA161" i="4"/>
  <c r="CA163" i="4"/>
  <c r="AO68" i="23"/>
  <c r="AO86" i="23"/>
  <c r="J70" i="23"/>
  <c r="J124" i="23"/>
  <c r="AD76" i="30"/>
  <c r="AK111" i="30"/>
  <c r="AK121" i="23"/>
  <c r="AN126" i="4"/>
  <c r="AO38" i="23"/>
  <c r="I68" i="23"/>
  <c r="I69" i="23"/>
  <c r="I107" i="23"/>
  <c r="AL48" i="23"/>
  <c r="AD88" i="23"/>
  <c r="AD90" i="23"/>
  <c r="AD126" i="23"/>
  <c r="BB37" i="30"/>
  <c r="BB41" i="30"/>
  <c r="BB42" i="30"/>
  <c r="BB96" i="30"/>
  <c r="BB136" i="30"/>
  <c r="S153" i="4"/>
  <c r="S154" i="4"/>
  <c r="S170" i="4"/>
  <c r="S177" i="4"/>
  <c r="P23" i="23"/>
  <c r="P42" i="23"/>
  <c r="P54" i="23"/>
  <c r="P59" i="23"/>
  <c r="P73" i="23"/>
  <c r="P78" i="23"/>
  <c r="P93" i="23"/>
  <c r="P97" i="23"/>
  <c r="P98" i="23"/>
  <c r="P100" i="23"/>
  <c r="P128" i="23"/>
  <c r="O44" i="30"/>
  <c r="O49" i="30"/>
  <c r="O63" i="30"/>
  <c r="O68" i="30"/>
  <c r="O83" i="30"/>
  <c r="O87" i="30"/>
  <c r="O88" i="30"/>
  <c r="O91" i="30"/>
  <c r="O119" i="30"/>
  <c r="J78" i="30"/>
  <c r="J80" i="30"/>
  <c r="J116" i="30"/>
  <c r="BG64" i="23"/>
  <c r="V78" i="30"/>
  <c r="V79" i="30"/>
  <c r="V98" i="30"/>
  <c r="Y39" i="30"/>
  <c r="Y56" i="30"/>
  <c r="Y75" i="30"/>
  <c r="BH76" i="30"/>
  <c r="S76" i="30"/>
  <c r="AG78" i="30"/>
  <c r="AG82" i="30"/>
  <c r="AG117" i="30"/>
  <c r="BF23" i="23"/>
  <c r="BF42" i="23"/>
  <c r="BF54" i="23"/>
  <c r="BF59" i="23"/>
  <c r="BF73" i="23"/>
  <c r="BF78" i="23"/>
  <c r="BF93" i="23"/>
  <c r="BF97" i="23"/>
  <c r="BF98" i="23"/>
  <c r="BF99" i="23"/>
  <c r="BF109" i="23"/>
  <c r="E19" i="30"/>
  <c r="E26" i="30"/>
  <c r="E28" i="30"/>
  <c r="E34" i="30"/>
  <c r="E45" i="30"/>
  <c r="AS127" i="30"/>
  <c r="AS113" i="30"/>
  <c r="AS37" i="30"/>
  <c r="AS41" i="30"/>
  <c r="AS42" i="30"/>
  <c r="AS43" i="30"/>
  <c r="AX153" i="4"/>
  <c r="AX155" i="4"/>
  <c r="AX118" i="4"/>
  <c r="AX123" i="4"/>
  <c r="AX133" i="4"/>
  <c r="AX136" i="4"/>
  <c r="AX143" i="4"/>
  <c r="AX168" i="4"/>
  <c r="AX173" i="4"/>
  <c r="Z49" i="23"/>
  <c r="Z52" i="23"/>
  <c r="AA46" i="23"/>
  <c r="AA49" i="23"/>
  <c r="AA52" i="23"/>
  <c r="AB46" i="23"/>
  <c r="AB49" i="23"/>
  <c r="AB52" i="23"/>
  <c r="AC46" i="23"/>
  <c r="AC49" i="23"/>
  <c r="AC52" i="23"/>
  <c r="AD46" i="23"/>
  <c r="AD49" i="23"/>
  <c r="AD52" i="23"/>
  <c r="AE46" i="23"/>
  <c r="AE49" i="23"/>
  <c r="AE52" i="23"/>
  <c r="AF46" i="23"/>
  <c r="AF49" i="23"/>
  <c r="AF52" i="23"/>
  <c r="AG46" i="23"/>
  <c r="AG49" i="23"/>
  <c r="AG52" i="23"/>
  <c r="AH46" i="23"/>
  <c r="AH49" i="23"/>
  <c r="AH52" i="23"/>
  <c r="AI46" i="23"/>
  <c r="AI49" i="23"/>
  <c r="AI52" i="23"/>
  <c r="AJ46" i="23"/>
  <c r="AJ49" i="23"/>
  <c r="AJ52" i="23"/>
  <c r="AK46" i="23"/>
  <c r="AK49" i="23"/>
  <c r="AK52" i="23"/>
  <c r="AL46" i="23"/>
  <c r="AL49" i="23"/>
  <c r="AL52" i="23"/>
  <c r="AM46" i="23"/>
  <c r="AM49" i="23"/>
  <c r="AM52" i="23"/>
  <c r="AN46" i="23"/>
  <c r="AN49" i="23"/>
  <c r="AN52" i="23"/>
  <c r="AO46" i="23"/>
  <c r="AO49" i="23"/>
  <c r="AO52" i="23"/>
  <c r="AP46" i="23"/>
  <c r="AP49" i="23"/>
  <c r="AP52" i="23"/>
  <c r="AQ46" i="23"/>
  <c r="AQ49" i="23"/>
  <c r="AQ52" i="23"/>
  <c r="AR46" i="23"/>
  <c r="AR49" i="23"/>
  <c r="AR52" i="23"/>
  <c r="AS46" i="23"/>
  <c r="AS49" i="23"/>
  <c r="AS52" i="23"/>
  <c r="AT46" i="23"/>
  <c r="AT49" i="23"/>
  <c r="AT52" i="23"/>
  <c r="AU46" i="23"/>
  <c r="AU49" i="23"/>
  <c r="AU52" i="23"/>
  <c r="AV46" i="23"/>
  <c r="AV49" i="23"/>
  <c r="AV52" i="23"/>
  <c r="AW46" i="23"/>
  <c r="AW49" i="23"/>
  <c r="AW52" i="23"/>
  <c r="AX46" i="23"/>
  <c r="AX49" i="23"/>
  <c r="AX52" i="23"/>
  <c r="AY46" i="23"/>
  <c r="AY49" i="23"/>
  <c r="AY52" i="23"/>
  <c r="AZ46" i="23"/>
  <c r="AZ49" i="23"/>
  <c r="AZ52" i="23"/>
  <c r="BA46" i="23"/>
  <c r="BA49" i="23"/>
  <c r="BA52" i="23"/>
  <c r="BB46" i="23"/>
  <c r="BB49" i="23"/>
  <c r="BB52" i="23"/>
  <c r="BC46" i="23"/>
  <c r="BC49" i="23"/>
  <c r="BC52" i="23"/>
  <c r="BD46" i="23"/>
  <c r="BD48" i="23"/>
  <c r="C82" i="5"/>
  <c r="E82" i="5"/>
  <c r="G82" i="5"/>
  <c r="D82" i="5"/>
  <c r="F82" i="5"/>
  <c r="M45" i="30"/>
  <c r="X18" i="30"/>
  <c r="X18" i="23"/>
  <c r="AA178" i="4"/>
  <c r="E63" i="23"/>
  <c r="E74" i="23"/>
  <c r="BT151" i="4"/>
  <c r="BT165" i="4"/>
  <c r="AZ169" i="4"/>
  <c r="N63" i="23"/>
  <c r="N82" i="23"/>
  <c r="N94" i="23"/>
  <c r="Q58" i="30"/>
  <c r="Q60" i="30"/>
  <c r="Q114" i="30"/>
  <c r="D62" i="30"/>
  <c r="D63" i="30"/>
  <c r="D68" i="30"/>
  <c r="D83" i="30"/>
  <c r="D92" i="30"/>
  <c r="AT68" i="23"/>
  <c r="AT69" i="23"/>
  <c r="AT107" i="23"/>
  <c r="H38" i="23"/>
  <c r="P53" i="30"/>
  <c r="P64" i="30"/>
  <c r="X27" i="30"/>
  <c r="X95" i="30"/>
  <c r="X100" i="30"/>
  <c r="Y49" i="23"/>
  <c r="Y52" i="23"/>
  <c r="Z46" i="23"/>
  <c r="Z48" i="23"/>
  <c r="AL58" i="30"/>
  <c r="AL60" i="30"/>
  <c r="AL114" i="30"/>
  <c r="N18" i="23"/>
  <c r="N18" i="30"/>
  <c r="Q178" i="4"/>
  <c r="BB54" i="30"/>
  <c r="AR44" i="30"/>
  <c r="AR49" i="30"/>
  <c r="AR63" i="30"/>
  <c r="AR68" i="30"/>
  <c r="AR83" i="30"/>
  <c r="AR87" i="30"/>
  <c r="AR88" i="30"/>
  <c r="AR89" i="30"/>
  <c r="AR99" i="30"/>
  <c r="AA124" i="23"/>
  <c r="AA70" i="23"/>
  <c r="H58" i="30"/>
  <c r="H62" i="30"/>
  <c r="H115" i="30"/>
  <c r="BB75" i="30"/>
  <c r="BB56" i="30"/>
  <c r="BB23" i="30"/>
  <c r="BB39" i="30"/>
  <c r="H86" i="23"/>
  <c r="BF35" i="30"/>
  <c r="K39" i="30"/>
  <c r="K56" i="30"/>
  <c r="K75" i="30"/>
  <c r="BE36" i="30"/>
  <c r="BE40" i="30"/>
  <c r="BF33" i="30"/>
  <c r="BF36" i="30"/>
  <c r="BF40" i="30"/>
  <c r="BG33" i="30"/>
  <c r="BG36" i="30"/>
  <c r="BG40" i="30"/>
  <c r="BH33" i="30"/>
  <c r="BH35" i="30"/>
  <c r="BH89" i="30"/>
  <c r="BH99" i="30"/>
  <c r="AG88" i="23"/>
  <c r="AG90" i="23"/>
  <c r="AG126" i="23"/>
  <c r="AB73" i="30"/>
  <c r="F11" i="23"/>
  <c r="AX162" i="4"/>
  <c r="AX154" i="4"/>
  <c r="AX184" i="4"/>
  <c r="AL26" i="30"/>
  <c r="AL28" i="30"/>
  <c r="AL34" i="30"/>
  <c r="AL53" i="30"/>
  <c r="AL72" i="30"/>
  <c r="AL84" i="30"/>
  <c r="W102" i="4"/>
  <c r="W128" i="4"/>
  <c r="W189" i="4"/>
  <c r="AN38" i="23"/>
  <c r="AL23" i="23"/>
  <c r="AL42" i="23"/>
  <c r="AL54" i="23"/>
  <c r="AL59" i="23"/>
  <c r="AL73" i="23"/>
  <c r="AL78" i="23"/>
  <c r="AL93" i="23"/>
  <c r="AL97" i="23"/>
  <c r="AL98" i="23"/>
  <c r="AL101" i="23"/>
  <c r="AL129" i="23"/>
  <c r="Z121" i="23"/>
  <c r="AC126" i="4"/>
  <c r="Z111" i="30"/>
  <c r="AH41" i="30"/>
  <c r="AH42" i="30"/>
  <c r="AH96" i="30"/>
  <c r="AH136" i="30"/>
  <c r="AI73" i="30"/>
  <c r="M35" i="30"/>
  <c r="AG23" i="30"/>
  <c r="AG39" i="30"/>
  <c r="AG56" i="30"/>
  <c r="AG75" i="30"/>
  <c r="AL185" i="4"/>
  <c r="AL161" i="4"/>
  <c r="AL163" i="4"/>
  <c r="G120" i="30"/>
  <c r="AK120" i="30"/>
  <c r="AX81" i="30"/>
  <c r="AY71" i="30"/>
  <c r="AY77" i="30"/>
  <c r="AY81" i="30"/>
  <c r="AZ71" i="30"/>
  <c r="AZ77" i="30"/>
  <c r="AZ81" i="30"/>
  <c r="BA71" i="30"/>
  <c r="BA77" i="30"/>
  <c r="BA81" i="30"/>
  <c r="BB71" i="30"/>
  <c r="BB77" i="30"/>
  <c r="BB81" i="30"/>
  <c r="BC71" i="30"/>
  <c r="BC77" i="30"/>
  <c r="BC81" i="30"/>
  <c r="BD71" i="30"/>
  <c r="BD77" i="30"/>
  <c r="BD81" i="30"/>
  <c r="BE71" i="30"/>
  <c r="BE77" i="30"/>
  <c r="BE81" i="30"/>
  <c r="BF71" i="30"/>
  <c r="BF77" i="30"/>
  <c r="BF81" i="30"/>
  <c r="BG71" i="30"/>
  <c r="BG77" i="30"/>
  <c r="BG81" i="30"/>
  <c r="BH71" i="30"/>
  <c r="BH77" i="30"/>
  <c r="BH81" i="30"/>
  <c r="BI71" i="30"/>
  <c r="BI73" i="30"/>
  <c r="AR165" i="4"/>
  <c r="J68" i="23"/>
  <c r="J69" i="23"/>
  <c r="J107" i="23"/>
  <c r="AU88" i="23"/>
  <c r="AU90" i="23"/>
  <c r="AU126" i="23"/>
  <c r="BE23" i="30"/>
  <c r="BE44" i="30"/>
  <c r="BE49" i="30"/>
  <c r="BE63" i="30"/>
  <c r="BE68" i="30"/>
  <c r="BE83" i="30"/>
  <c r="BE87" i="30"/>
  <c r="BE88" i="30"/>
  <c r="BE90" i="30"/>
  <c r="BE118" i="30"/>
  <c r="AU26" i="23"/>
  <c r="AU28" i="23"/>
  <c r="AU34" i="23"/>
  <c r="AU63" i="23"/>
  <c r="AU82" i="23"/>
  <c r="AU94" i="23"/>
  <c r="BB50" i="23"/>
  <c r="BB53" i="23"/>
  <c r="BB123" i="23"/>
  <c r="BB137" i="23"/>
  <c r="J44" i="30"/>
  <c r="J49" i="30"/>
  <c r="J63" i="30"/>
  <c r="J68" i="30"/>
  <c r="J83" i="30"/>
  <c r="J87" i="30"/>
  <c r="J88" i="30"/>
  <c r="J91" i="30"/>
  <c r="J119" i="30"/>
  <c r="BG153" i="4"/>
  <c r="BG154" i="4"/>
  <c r="BG170" i="4"/>
  <c r="BG177" i="4"/>
  <c r="BD23" i="23"/>
  <c r="BD42" i="23"/>
  <c r="BD54" i="23"/>
  <c r="BD59" i="23"/>
  <c r="BD73" i="23"/>
  <c r="BD78" i="23"/>
  <c r="BD93" i="23"/>
  <c r="BD102" i="23"/>
  <c r="Z88" i="4"/>
  <c r="Z134" i="4"/>
  <c r="Z145" i="4"/>
  <c r="Z170" i="4"/>
  <c r="Z177" i="4"/>
  <c r="W23" i="30"/>
  <c r="W44" i="30"/>
  <c r="W49" i="30"/>
  <c r="W63" i="30"/>
  <c r="W68" i="30"/>
  <c r="W83" i="30"/>
  <c r="W87" i="30"/>
  <c r="W88" i="30"/>
  <c r="W89" i="30"/>
  <c r="W99" i="30"/>
  <c r="AA158" i="4"/>
  <c r="L68" i="23"/>
  <c r="L69" i="23"/>
  <c r="L107" i="23"/>
  <c r="P151" i="4"/>
  <c r="P165" i="4"/>
  <c r="W153" i="4"/>
  <c r="W155" i="4"/>
  <c r="W118" i="4"/>
  <c r="W123" i="4"/>
  <c r="W133" i="4"/>
  <c r="W144" i="4"/>
  <c r="W151" i="4"/>
  <c r="W165" i="4"/>
  <c r="I42" i="23"/>
  <c r="I51" i="23"/>
  <c r="N38" i="30"/>
  <c r="AQ132" i="4"/>
  <c r="BH61" i="30"/>
  <c r="BI52" i="30"/>
  <c r="BI54" i="30"/>
  <c r="F114" i="30"/>
  <c r="F60" i="30"/>
  <c r="U68" i="23"/>
  <c r="U69" i="23"/>
  <c r="U107" i="23"/>
  <c r="BM170" i="4"/>
  <c r="BM177" i="4"/>
  <c r="BJ23" i="23"/>
  <c r="BJ37" i="23"/>
  <c r="BJ41" i="23"/>
  <c r="BJ106" i="23"/>
  <c r="BJ146" i="23"/>
  <c r="B28" i="23"/>
  <c r="BL42" i="23"/>
  <c r="BL50" i="23"/>
  <c r="BL53" i="23"/>
  <c r="BL123" i="23"/>
  <c r="BL137" i="23"/>
  <c r="Y23" i="30"/>
  <c r="Y37" i="30"/>
  <c r="Y41" i="30"/>
  <c r="Y42" i="30"/>
  <c r="Y96" i="30"/>
  <c r="Y136" i="30"/>
  <c r="AB43" i="23"/>
  <c r="AT100" i="30"/>
  <c r="AL88" i="23"/>
  <c r="AL90" i="23"/>
  <c r="AL126" i="23"/>
  <c r="AB102" i="4"/>
  <c r="AB132" i="4"/>
  <c r="AD58" i="30"/>
  <c r="AD60" i="30"/>
  <c r="AD114" i="30"/>
  <c r="AO134" i="4"/>
  <c r="AO145" i="4"/>
  <c r="AO170" i="4"/>
  <c r="AO177" i="4"/>
  <c r="AL23" i="30"/>
  <c r="AL37" i="30"/>
  <c r="AL41" i="30"/>
  <c r="AL42" i="30"/>
  <c r="AL96" i="30"/>
  <c r="AL136" i="30"/>
  <c r="AR23" i="23"/>
  <c r="AR37" i="23"/>
  <c r="AR41" i="23"/>
  <c r="AR106" i="23"/>
  <c r="AR146" i="23"/>
  <c r="K23" i="23"/>
  <c r="K37" i="23"/>
  <c r="K38" i="23"/>
  <c r="T94" i="23"/>
  <c r="T82" i="23"/>
  <c r="AV88" i="23"/>
  <c r="AV92" i="23"/>
  <c r="AV127" i="23"/>
  <c r="AW76" i="30"/>
  <c r="E54" i="30"/>
  <c r="E76" i="30"/>
  <c r="K119" i="30"/>
  <c r="N153" i="4"/>
  <c r="N154" i="4"/>
  <c r="N170" i="4"/>
  <c r="N177" i="4"/>
  <c r="K23" i="30"/>
  <c r="K44" i="30"/>
  <c r="K49" i="30"/>
  <c r="K63" i="30"/>
  <c r="K68" i="30"/>
  <c r="K83" i="30"/>
  <c r="K87" i="30"/>
  <c r="K88" i="30"/>
  <c r="K91" i="30"/>
  <c r="AL189" i="4"/>
  <c r="AL128" i="4"/>
  <c r="BM127" i="4"/>
  <c r="BM188" i="4"/>
  <c r="BM190" i="4"/>
  <c r="Y134" i="4"/>
  <c r="Y145" i="4"/>
  <c r="Y170" i="4"/>
  <c r="Y177" i="4"/>
  <c r="V23" i="23"/>
  <c r="V37" i="23"/>
  <c r="V38" i="23"/>
  <c r="AK117" i="23"/>
  <c r="AK130" i="23"/>
  <c r="BI37" i="30"/>
  <c r="BI41" i="30"/>
  <c r="BI42" i="30"/>
  <c r="BI96" i="30"/>
  <c r="BI136" i="30"/>
  <c r="AO132" i="4"/>
  <c r="AC78" i="30"/>
  <c r="AC80" i="30"/>
  <c r="AC116" i="30"/>
  <c r="H147" i="23"/>
  <c r="H145" i="23"/>
  <c r="AZ61" i="30"/>
  <c r="BA52" i="30"/>
  <c r="BA57" i="30"/>
  <c r="BA61" i="30"/>
  <c r="BB52" i="30"/>
  <c r="BB57" i="30"/>
  <c r="BB61" i="30"/>
  <c r="BC52" i="30"/>
  <c r="BC57" i="30"/>
  <c r="BC61" i="30"/>
  <c r="BD52" i="30"/>
  <c r="BD57" i="30"/>
  <c r="BD61" i="30"/>
  <c r="BE52" i="30"/>
  <c r="BE57" i="30"/>
  <c r="BE61" i="30"/>
  <c r="BF52" i="30"/>
  <c r="BF57" i="30"/>
  <c r="BF61" i="30"/>
  <c r="BG52" i="30"/>
  <c r="BG57" i="30"/>
  <c r="BG61" i="30"/>
  <c r="BH52" i="30"/>
  <c r="BH57" i="30"/>
  <c r="BH58" i="30"/>
  <c r="BH62" i="30"/>
  <c r="BH115" i="30"/>
  <c r="AX42" i="23"/>
  <c r="AX54" i="23"/>
  <c r="AX59" i="23"/>
  <c r="AX73" i="23"/>
  <c r="AX78" i="23"/>
  <c r="AX93" i="23"/>
  <c r="AX97" i="23"/>
  <c r="AX98" i="23"/>
  <c r="AX99" i="23"/>
  <c r="AX109" i="23"/>
  <c r="S58" i="30"/>
  <c r="S59" i="30"/>
  <c r="S97" i="30"/>
  <c r="AH128" i="23"/>
  <c r="AH100" i="23"/>
  <c r="N26" i="23"/>
  <c r="N28" i="23"/>
  <c r="N34" i="23"/>
  <c r="N105" i="23"/>
  <c r="N110" i="23"/>
  <c r="L113" i="4"/>
  <c r="L123" i="4"/>
  <c r="L133" i="4"/>
  <c r="L144" i="4"/>
  <c r="L151" i="4"/>
  <c r="L165" i="4"/>
  <c r="AP76" i="30"/>
  <c r="K110" i="23"/>
  <c r="H132" i="4"/>
  <c r="H140" i="4"/>
  <c r="H176" i="4"/>
  <c r="E19" i="23"/>
  <c r="E27" i="23"/>
  <c r="E34" i="23"/>
  <c r="E43" i="23"/>
  <c r="BT153" i="4"/>
  <c r="BT155" i="4"/>
  <c r="BT118" i="4"/>
  <c r="BT123" i="4"/>
  <c r="BT133" i="4"/>
  <c r="BT144" i="4"/>
  <c r="BT169" i="4"/>
  <c r="AS94" i="23"/>
  <c r="AS82" i="23"/>
  <c r="AO105" i="23"/>
  <c r="AO110" i="23"/>
  <c r="N35" i="30"/>
  <c r="AL73" i="30"/>
  <c r="AA76" i="30"/>
  <c r="P28" i="30"/>
  <c r="P34" i="30"/>
  <c r="P45" i="30"/>
  <c r="AY26" i="23"/>
  <c r="AY47" i="23"/>
  <c r="AY117" i="23"/>
  <c r="AY130" i="23"/>
  <c r="Z43" i="23"/>
  <c r="I54" i="30"/>
  <c r="N86" i="23"/>
  <c r="AM146" i="23"/>
  <c r="AM106" i="23"/>
  <c r="AM41" i="23"/>
  <c r="H68" i="23"/>
  <c r="H72" i="23"/>
  <c r="H125" i="23"/>
  <c r="AV110" i="23"/>
  <c r="BC37" i="23"/>
  <c r="BC38" i="23"/>
  <c r="AQ83" i="23"/>
  <c r="AC178" i="4"/>
  <c r="Z18" i="23"/>
  <c r="Z18" i="30"/>
  <c r="BK153" i="4"/>
  <c r="BK154" i="4"/>
  <c r="BK170" i="4"/>
  <c r="BK177" i="4"/>
  <c r="BH23" i="30"/>
  <c r="BH44" i="30"/>
  <c r="BH49" i="30"/>
  <c r="BH63" i="30"/>
  <c r="BH68" i="30"/>
  <c r="BH83" i="30"/>
  <c r="BH87" i="30"/>
  <c r="BH88" i="30"/>
  <c r="BH90" i="30"/>
  <c r="BH118" i="30"/>
  <c r="G45" i="30"/>
  <c r="BF88" i="23"/>
  <c r="BF92" i="23"/>
  <c r="BF127" i="23"/>
  <c r="AF78" i="30"/>
  <c r="AF80" i="30"/>
  <c r="AF116" i="30"/>
  <c r="K63" i="23"/>
  <c r="K74" i="23"/>
  <c r="AN100" i="30"/>
  <c r="AA23" i="30"/>
  <c r="AA44" i="30"/>
  <c r="AA49" i="30"/>
  <c r="AA63" i="30"/>
  <c r="AA68" i="30"/>
  <c r="AA83" i="30"/>
  <c r="AA92" i="30"/>
  <c r="E10" i="23"/>
  <c r="E11" i="23"/>
  <c r="B89" i="23"/>
  <c r="B90" i="23"/>
  <c r="X147" i="23"/>
  <c r="X145" i="23"/>
  <c r="BA26" i="30"/>
  <c r="BA28" i="30"/>
  <c r="BA34" i="30"/>
  <c r="BA45" i="30"/>
  <c r="N76" i="30"/>
  <c r="BA178" i="4"/>
  <c r="AX18" i="23"/>
  <c r="AX18" i="30"/>
  <c r="AA144" i="4"/>
  <c r="AA169" i="4"/>
  <c r="X170" i="4"/>
  <c r="X177" i="4"/>
  <c r="U23" i="23"/>
  <c r="U42" i="23"/>
  <c r="U54" i="23"/>
  <c r="U59" i="23"/>
  <c r="U73" i="23"/>
  <c r="U78" i="23"/>
  <c r="U93" i="23"/>
  <c r="U97" i="23"/>
  <c r="U98" i="23"/>
  <c r="U101" i="23"/>
  <c r="U129" i="23"/>
  <c r="E18" i="30"/>
  <c r="C18" i="30"/>
  <c r="C20" i="30"/>
  <c r="AW138" i="23"/>
  <c r="AW136" i="23"/>
  <c r="AG76" i="30"/>
  <c r="AV76" i="30"/>
  <c r="X184" i="4"/>
  <c r="X88" i="4"/>
  <c r="X134" i="4"/>
  <c r="X145" i="4"/>
  <c r="X154" i="4"/>
  <c r="X162" i="4"/>
  <c r="G76" i="30"/>
  <c r="K19" i="30"/>
  <c r="K26" i="30"/>
  <c r="K107" i="30"/>
  <c r="K120" i="30"/>
  <c r="AY107" i="30"/>
  <c r="AY120" i="30"/>
  <c r="G107" i="30"/>
  <c r="G126" i="30"/>
  <c r="G128" i="30"/>
  <c r="AP39" i="30"/>
  <c r="AP56" i="30"/>
  <c r="AP75" i="30"/>
  <c r="AK26" i="30"/>
  <c r="AK107" i="30"/>
  <c r="AK126" i="30"/>
  <c r="AK128" i="30"/>
  <c r="BI128" i="30"/>
  <c r="BI126" i="30"/>
  <c r="Q86" i="23"/>
  <c r="BI74" i="23"/>
  <c r="AL151" i="4"/>
  <c r="AL165" i="4"/>
  <c r="E118" i="30"/>
  <c r="E90" i="30"/>
  <c r="AO65" i="23"/>
  <c r="AO84" i="23"/>
  <c r="BP162" i="4"/>
  <c r="BP153" i="4"/>
  <c r="BP154" i="4"/>
  <c r="BP184" i="4"/>
  <c r="T109" i="23"/>
  <c r="W88" i="4"/>
  <c r="W134" i="4"/>
  <c r="W145" i="4"/>
  <c r="W170" i="4"/>
  <c r="W177" i="4"/>
  <c r="T23" i="23"/>
  <c r="T42" i="23"/>
  <c r="T54" i="23"/>
  <c r="T59" i="23"/>
  <c r="T73" i="23"/>
  <c r="T78" i="23"/>
  <c r="T93" i="23"/>
  <c r="T97" i="23"/>
  <c r="T98" i="23"/>
  <c r="T99" i="23"/>
  <c r="AB47" i="23"/>
  <c r="AB117" i="23"/>
  <c r="AB130" i="23"/>
  <c r="BD91" i="23"/>
  <c r="BE81" i="23"/>
  <c r="BE87" i="23"/>
  <c r="BE91" i="23"/>
  <c r="BF81" i="23"/>
  <c r="BF87" i="23"/>
  <c r="BF91" i="23"/>
  <c r="BG81" i="23"/>
  <c r="BG87" i="23"/>
  <c r="BG91" i="23"/>
  <c r="BH81" i="23"/>
  <c r="BH87" i="23"/>
  <c r="BH91" i="23"/>
  <c r="BI81" i="23"/>
  <c r="BI87" i="23"/>
  <c r="BI91" i="23"/>
  <c r="BJ81" i="23"/>
  <c r="BJ87" i="23"/>
  <c r="BJ91" i="23"/>
  <c r="BK81" i="23"/>
  <c r="BK87" i="23"/>
  <c r="BK91" i="23"/>
  <c r="BL81" i="23"/>
  <c r="BL87" i="23"/>
  <c r="BL88" i="23"/>
  <c r="BL90" i="23"/>
  <c r="BL126" i="23"/>
  <c r="AA153" i="4"/>
  <c r="AA155" i="4"/>
  <c r="AA118" i="4"/>
  <c r="AA123" i="4"/>
  <c r="AA133" i="4"/>
  <c r="AA136" i="4"/>
  <c r="AA143" i="4"/>
  <c r="AA168" i="4"/>
  <c r="AA173" i="4"/>
  <c r="AL134" i="4"/>
  <c r="AL145" i="4"/>
  <c r="AL170" i="4"/>
  <c r="AL177" i="4"/>
  <c r="AI23" i="30"/>
  <c r="AI44" i="30"/>
  <c r="AI49" i="30"/>
  <c r="AI63" i="30"/>
  <c r="AI68" i="30"/>
  <c r="AI83" i="30"/>
  <c r="AI92" i="30"/>
  <c r="AH18" i="23"/>
  <c r="AK178" i="4"/>
  <c r="AH18" i="30"/>
  <c r="AZ37" i="30"/>
  <c r="AZ55" i="30"/>
  <c r="AZ74" i="30"/>
  <c r="H10" i="30"/>
  <c r="BM155" i="4"/>
  <c r="BM118" i="4"/>
  <c r="BM123" i="4"/>
  <c r="BM133" i="4"/>
  <c r="BM144" i="4"/>
  <c r="BM169" i="4"/>
  <c r="AX73" i="30"/>
  <c r="F42" i="5"/>
  <c r="G42" i="5"/>
  <c r="E42" i="5"/>
  <c r="C42" i="5"/>
  <c r="F84" i="5"/>
  <c r="C84" i="5"/>
  <c r="G84" i="5"/>
  <c r="D84" i="5"/>
  <c r="E84" i="5"/>
  <c r="BI27" i="23"/>
  <c r="T27" i="23"/>
  <c r="Y27" i="23"/>
  <c r="AX27" i="23"/>
  <c r="AD27" i="23"/>
  <c r="AW27" i="23"/>
  <c r="V27" i="23"/>
  <c r="AJ27" i="23"/>
  <c r="AB27" i="23"/>
  <c r="AG27" i="23"/>
  <c r="BH27" i="23"/>
  <c r="BF27" i="23"/>
  <c r="AQ27" i="23"/>
  <c r="AL27" i="23"/>
  <c r="Q27" i="23"/>
  <c r="BK27" i="23"/>
  <c r="P27" i="23"/>
  <c r="AO27" i="23"/>
  <c r="M27" i="23"/>
  <c r="X27" i="23"/>
  <c r="AI27" i="23"/>
  <c r="AC27" i="23"/>
  <c r="AF27" i="23"/>
  <c r="AS27" i="23"/>
  <c r="AY27" i="23"/>
  <c r="BL27" i="23"/>
  <c r="AN27" i="23"/>
  <c r="AZ27" i="23"/>
  <c r="O27" i="23"/>
  <c r="BA27" i="23"/>
  <c r="AV27" i="23"/>
  <c r="N27" i="23"/>
  <c r="S27" i="23"/>
  <c r="AA27" i="23"/>
  <c r="BG27" i="23"/>
  <c r="AU27" i="23"/>
  <c r="AM27" i="23"/>
  <c r="W27" i="23"/>
  <c r="AK27" i="23"/>
  <c r="AR27" i="23"/>
  <c r="BE27" i="23"/>
  <c r="AP27" i="23"/>
  <c r="R27" i="23"/>
  <c r="Z27" i="23"/>
  <c r="BD27" i="23"/>
  <c r="AH27" i="23"/>
  <c r="AE27" i="23"/>
  <c r="AT27" i="23"/>
  <c r="BB27" i="23"/>
  <c r="BC27" i="23"/>
  <c r="BJ27" i="23"/>
  <c r="B27" i="23"/>
  <c r="U27" i="23"/>
  <c r="L41" i="23"/>
  <c r="L106" i="23"/>
  <c r="L146" i="23"/>
  <c r="S113" i="4"/>
  <c r="S123" i="4"/>
  <c r="S133" i="4"/>
  <c r="S144" i="4"/>
  <c r="S151" i="4"/>
  <c r="S165" i="4"/>
  <c r="P113" i="4"/>
  <c r="P123" i="4"/>
  <c r="P133" i="4"/>
  <c r="P144" i="4"/>
  <c r="P169" i="4"/>
  <c r="Q184" i="4"/>
  <c r="Q162" i="4"/>
  <c r="AC170" i="4"/>
  <c r="AC177" i="4"/>
  <c r="Z23" i="30"/>
  <c r="Z44" i="30"/>
  <c r="Z49" i="30"/>
  <c r="Z63" i="30"/>
  <c r="Z68" i="30"/>
  <c r="Z83" i="30"/>
  <c r="Z92" i="30"/>
  <c r="AT23" i="23"/>
  <c r="AT42" i="23"/>
  <c r="AT50" i="23"/>
  <c r="AT53" i="23"/>
  <c r="AT123" i="23"/>
  <c r="AT137" i="23"/>
  <c r="N23" i="30"/>
  <c r="N37" i="30"/>
  <c r="N55" i="30"/>
  <c r="N74" i="30"/>
  <c r="AQ102" i="4"/>
  <c r="AQ128" i="4"/>
  <c r="AQ189" i="4"/>
  <c r="K24" i="9"/>
  <c r="G71" i="5"/>
  <c r="G76" i="5"/>
  <c r="G80" i="5"/>
  <c r="K27" i="9"/>
  <c r="K45" i="9"/>
  <c r="H106" i="16"/>
  <c r="K34" i="9"/>
  <c r="K20" i="9"/>
  <c r="K37" i="9"/>
  <c r="E25" i="13"/>
  <c r="K36" i="9"/>
  <c r="G65" i="5"/>
  <c r="K40" i="9"/>
  <c r="G34" i="5"/>
  <c r="K33" i="9"/>
  <c r="K25" i="9"/>
  <c r="G77" i="5"/>
  <c r="K31" i="9"/>
  <c r="G83" i="5"/>
  <c r="K32" i="9"/>
  <c r="K44" i="9"/>
  <c r="E23" i="13"/>
  <c r="E24" i="13"/>
  <c r="K43" i="9"/>
  <c r="P26" i="30"/>
  <c r="P107" i="30"/>
  <c r="P120" i="30"/>
  <c r="AS87" i="30"/>
  <c r="AS88" i="30"/>
  <c r="AS90" i="30"/>
  <c r="AS118" i="30"/>
  <c r="N88" i="23"/>
  <c r="N92" i="23"/>
  <c r="N127" i="23"/>
  <c r="BI23" i="23"/>
  <c r="BI42" i="23"/>
  <c r="BI50" i="23"/>
  <c r="BI53" i="23"/>
  <c r="BI123" i="23"/>
  <c r="BI137" i="23"/>
  <c r="AJ35" i="30"/>
  <c r="BJ153" i="4"/>
  <c r="BJ155" i="4"/>
  <c r="BJ118" i="4"/>
  <c r="BJ123" i="4"/>
  <c r="BJ133" i="4"/>
  <c r="BJ144" i="4"/>
  <c r="BJ169" i="4"/>
  <c r="M26" i="30"/>
  <c r="M28" i="30"/>
  <c r="M34" i="30"/>
  <c r="M53" i="30"/>
  <c r="M64" i="30"/>
  <c r="Y26" i="23"/>
  <c r="Y47" i="23"/>
  <c r="Y55" i="23"/>
  <c r="I113" i="4"/>
  <c r="I123" i="4"/>
  <c r="I133" i="4"/>
  <c r="I144" i="4"/>
  <c r="I169" i="4"/>
  <c r="BM162" i="4"/>
  <c r="BM153" i="4"/>
  <c r="BM154" i="4"/>
  <c r="BM184" i="4"/>
  <c r="AT27" i="30"/>
  <c r="AT95" i="30"/>
  <c r="AT135" i="30"/>
  <c r="AT137" i="30"/>
  <c r="BD154" i="4"/>
  <c r="BD170" i="4"/>
  <c r="BD177" i="4"/>
  <c r="BA23" i="23"/>
  <c r="BA37" i="23"/>
  <c r="BA41" i="23"/>
  <c r="BA106" i="23"/>
  <c r="BA146" i="23"/>
  <c r="BA68" i="23"/>
  <c r="BA86" i="23"/>
  <c r="AZ36" i="23"/>
  <c r="AZ40" i="23"/>
  <c r="BA33" i="23"/>
  <c r="BA36" i="23"/>
  <c r="BA40" i="23"/>
  <c r="BB33" i="23"/>
  <c r="BB36" i="23"/>
  <c r="BB40" i="23"/>
  <c r="BC33" i="23"/>
  <c r="BC36" i="23"/>
  <c r="BC40" i="23"/>
  <c r="BD33" i="23"/>
  <c r="BD36" i="23"/>
  <c r="BD40" i="23"/>
  <c r="BE33" i="23"/>
  <c r="BE36" i="23"/>
  <c r="BE40" i="23"/>
  <c r="BF33" i="23"/>
  <c r="BF36" i="23"/>
  <c r="BF40" i="23"/>
  <c r="BG33" i="23"/>
  <c r="BG36" i="23"/>
  <c r="BG40" i="23"/>
  <c r="BH33" i="23"/>
  <c r="BH36" i="23"/>
  <c r="BH40" i="23"/>
  <c r="BI33" i="23"/>
  <c r="BI36" i="23"/>
  <c r="BI40" i="23"/>
  <c r="BJ33" i="23"/>
  <c r="BJ35" i="23"/>
  <c r="M105" i="23"/>
  <c r="M110" i="23"/>
  <c r="AD153" i="4"/>
  <c r="AD158" i="4"/>
  <c r="AO37" i="23"/>
  <c r="AO41" i="23"/>
  <c r="AO106" i="23"/>
  <c r="AO146" i="23"/>
  <c r="X63" i="23"/>
  <c r="X74" i="23"/>
  <c r="T26" i="23"/>
  <c r="T28" i="23"/>
  <c r="T34" i="23"/>
  <c r="T63" i="23"/>
  <c r="T74" i="23"/>
  <c r="H51" i="23"/>
  <c r="AW58" i="30"/>
  <c r="AW59" i="30"/>
  <c r="AW97" i="30"/>
  <c r="AA102" i="4"/>
  <c r="AA132" i="4"/>
  <c r="E58" i="30"/>
  <c r="E62" i="30"/>
  <c r="E115" i="30"/>
  <c r="AL102" i="4"/>
  <c r="AL132" i="4"/>
  <c r="BC153" i="4"/>
  <c r="BC154" i="4"/>
  <c r="BC170" i="4"/>
  <c r="BC177" i="4"/>
  <c r="AZ23" i="30"/>
  <c r="AZ44" i="30"/>
  <c r="AZ49" i="30"/>
  <c r="AZ63" i="30"/>
  <c r="AZ68" i="30"/>
  <c r="AZ83" i="30"/>
  <c r="AZ87" i="30"/>
  <c r="AZ88" i="30"/>
  <c r="AZ89" i="30"/>
  <c r="AZ99" i="30"/>
  <c r="G19" i="23"/>
  <c r="G26" i="23"/>
  <c r="G28" i="23"/>
  <c r="AK26" i="23"/>
  <c r="AK47" i="23"/>
  <c r="AK55" i="23"/>
  <c r="AW124" i="23"/>
  <c r="AW70" i="23"/>
  <c r="AO88" i="4"/>
  <c r="AO102" i="4"/>
  <c r="AO103" i="4"/>
  <c r="AO120" i="4"/>
  <c r="H105" i="23"/>
  <c r="H110" i="23"/>
  <c r="K35" i="23"/>
  <c r="AP118" i="30"/>
  <c r="AS88" i="4"/>
  <c r="AS134" i="4"/>
  <c r="AS145" i="4"/>
  <c r="AS170" i="4"/>
  <c r="AS177" i="4"/>
  <c r="AP23" i="30"/>
  <c r="AP44" i="30"/>
  <c r="AP49" i="30"/>
  <c r="AP63" i="30"/>
  <c r="AP68" i="30"/>
  <c r="AP83" i="30"/>
  <c r="AP87" i="30"/>
  <c r="AP88" i="30"/>
  <c r="AP90" i="30"/>
  <c r="U136" i="4"/>
  <c r="U143" i="4"/>
  <c r="U168" i="4"/>
  <c r="U173" i="4"/>
  <c r="AR54" i="30"/>
  <c r="AH23" i="30"/>
  <c r="AH37" i="30"/>
  <c r="AH38" i="30"/>
  <c r="AE26" i="23"/>
  <c r="AE28" i="23"/>
  <c r="AE34" i="23"/>
  <c r="AE105" i="23"/>
  <c r="AE110" i="23"/>
  <c r="AB78" i="30"/>
  <c r="AB80" i="30"/>
  <c r="AB116" i="30"/>
  <c r="AX178" i="4"/>
  <c r="AU18" i="23"/>
  <c r="AU18" i="30"/>
  <c r="AO153" i="4"/>
  <c r="AO155" i="4"/>
  <c r="AO118" i="4"/>
  <c r="AO123" i="4"/>
  <c r="AO133" i="4"/>
  <c r="AO144" i="4"/>
  <c r="AO169" i="4"/>
  <c r="AT153" i="4"/>
  <c r="AT155" i="4"/>
  <c r="AT118" i="4"/>
  <c r="AT123" i="4"/>
  <c r="AT127" i="4"/>
  <c r="AT188" i="4"/>
  <c r="AT190" i="4"/>
  <c r="AP58" i="30"/>
  <c r="AP62" i="30"/>
  <c r="AP115" i="30"/>
  <c r="K105" i="23"/>
  <c r="K145" i="23"/>
  <c r="K147" i="23"/>
  <c r="AB26" i="30"/>
  <c r="AB107" i="30"/>
  <c r="AB120" i="30"/>
  <c r="U26" i="30"/>
  <c r="U107" i="30"/>
  <c r="U120" i="30"/>
  <c r="AS26" i="23"/>
  <c r="AS28" i="23"/>
  <c r="AS34" i="23"/>
  <c r="AS63" i="23"/>
  <c r="AS74" i="23"/>
  <c r="BK27" i="30"/>
  <c r="BK95" i="30"/>
  <c r="BK100" i="30"/>
  <c r="AW54" i="30"/>
  <c r="N54" i="30"/>
  <c r="BL43" i="23"/>
  <c r="AF23" i="23"/>
  <c r="AF42" i="23"/>
  <c r="AF54" i="23"/>
  <c r="AF59" i="23"/>
  <c r="AF73" i="23"/>
  <c r="AF78" i="23"/>
  <c r="AF93" i="23"/>
  <c r="AF102" i="23"/>
  <c r="AA58" i="30"/>
  <c r="AA60" i="30"/>
  <c r="AA114" i="30"/>
  <c r="H37" i="23"/>
  <c r="H41" i="23"/>
  <c r="H106" i="23"/>
  <c r="H146" i="23"/>
  <c r="BE178" i="4"/>
  <c r="BB18" i="30"/>
  <c r="BB18" i="23"/>
  <c r="BZ169" i="4"/>
  <c r="AD102" i="23"/>
  <c r="AD42" i="23"/>
  <c r="AD54" i="23"/>
  <c r="AD59" i="23"/>
  <c r="AD73" i="23"/>
  <c r="AD78" i="23"/>
  <c r="AD93" i="23"/>
  <c r="AD97" i="23"/>
  <c r="AD98" i="23"/>
  <c r="AD101" i="23"/>
  <c r="AD129" i="23"/>
  <c r="N68" i="23"/>
  <c r="N70" i="23"/>
  <c r="N124" i="23"/>
  <c r="T34" i="1"/>
  <c r="T31" i="1"/>
  <c r="T15" i="1"/>
  <c r="T29" i="1"/>
  <c r="T30" i="1"/>
  <c r="T28" i="1"/>
  <c r="T27" i="1"/>
  <c r="N4" i="1"/>
  <c r="N12" i="1"/>
  <c r="AV26" i="23"/>
  <c r="AV28" i="23"/>
  <c r="AV34" i="23"/>
  <c r="AV105" i="23"/>
  <c r="AV145" i="23"/>
  <c r="AV147" i="23"/>
  <c r="AF18" i="30"/>
  <c r="AI178" i="4"/>
  <c r="AF18" i="23"/>
  <c r="AB26" i="23"/>
  <c r="AB28" i="23"/>
  <c r="AB34" i="23"/>
  <c r="AB63" i="23"/>
  <c r="AB74" i="23"/>
  <c r="AI121" i="23"/>
  <c r="AI111" i="30"/>
  <c r="AL88" i="4"/>
  <c r="AL126" i="4"/>
  <c r="D58" i="30"/>
  <c r="D76" i="30"/>
  <c r="Q26" i="23"/>
  <c r="Q47" i="23"/>
  <c r="Q117" i="23"/>
  <c r="Q130" i="23"/>
  <c r="G38" i="30"/>
  <c r="AP178" i="4"/>
  <c r="AM18" i="23"/>
  <c r="AM18" i="30"/>
  <c r="AQ88" i="23"/>
  <c r="AQ92" i="23"/>
  <c r="AQ127" i="23"/>
  <c r="N113" i="4"/>
  <c r="N123" i="4"/>
  <c r="N132" i="4"/>
  <c r="N140" i="4"/>
  <c r="N176" i="4"/>
  <c r="K19" i="23"/>
  <c r="K27" i="23"/>
  <c r="K34" i="23"/>
  <c r="K43" i="23"/>
  <c r="AN27" i="30"/>
  <c r="AN95" i="30"/>
  <c r="AN135" i="30"/>
  <c r="AN137" i="30"/>
  <c r="AF63" i="23"/>
  <c r="AF74" i="23"/>
  <c r="BB39" i="23"/>
  <c r="BB66" i="23"/>
  <c r="BB85" i="23"/>
  <c r="X26" i="23"/>
  <c r="X28" i="23"/>
  <c r="X34" i="23"/>
  <c r="X105" i="23"/>
  <c r="X110" i="23"/>
  <c r="AE184" i="4"/>
  <c r="AE154" i="4"/>
  <c r="AE162" i="4"/>
  <c r="N58" i="30"/>
  <c r="N59" i="30"/>
  <c r="N97" i="30"/>
  <c r="AN23" i="23"/>
  <c r="AN37" i="23"/>
  <c r="AN41" i="23"/>
  <c r="AN106" i="23"/>
  <c r="AN146" i="23"/>
  <c r="BB147" i="23"/>
  <c r="BB145" i="23"/>
  <c r="AV26" i="30"/>
  <c r="AV107" i="30"/>
  <c r="AV120" i="30"/>
  <c r="Y58" i="30"/>
  <c r="Y76" i="30"/>
  <c r="BB88" i="23"/>
  <c r="BB89" i="23"/>
  <c r="BB108" i="23"/>
  <c r="BF37" i="30"/>
  <c r="BF41" i="30"/>
  <c r="BF42" i="30"/>
  <c r="BF96" i="30"/>
  <c r="BF136" i="30"/>
  <c r="AG58" i="30"/>
  <c r="AG60" i="30"/>
  <c r="AG114" i="30"/>
  <c r="AV58" i="30"/>
  <c r="AV59" i="30"/>
  <c r="AV97" i="30"/>
  <c r="AX102" i="4"/>
  <c r="AX132" i="4"/>
  <c r="J153" i="4"/>
  <c r="J154" i="4"/>
  <c r="J170" i="4"/>
  <c r="J177" i="4"/>
  <c r="G23" i="30"/>
  <c r="G37" i="30"/>
  <c r="G41" i="30"/>
  <c r="G42" i="30"/>
  <c r="G96" i="30"/>
  <c r="G136" i="30"/>
  <c r="G58" i="30"/>
  <c r="G62" i="30"/>
  <c r="G115" i="30"/>
  <c r="BD153" i="4"/>
  <c r="BD155" i="4"/>
  <c r="BD118" i="4"/>
  <c r="BD123" i="4"/>
  <c r="BD127" i="4"/>
  <c r="BD188" i="4"/>
  <c r="BD190" i="4"/>
  <c r="BN170" i="4"/>
  <c r="BN177" i="4"/>
  <c r="BK23" i="30"/>
  <c r="BK44" i="30"/>
  <c r="BK49" i="30"/>
  <c r="BK63" i="30"/>
  <c r="BK68" i="30"/>
  <c r="BK83" i="30"/>
  <c r="BK92" i="30"/>
  <c r="L83" i="23"/>
  <c r="BN155" i="4"/>
  <c r="BN118" i="4"/>
  <c r="BN123" i="4"/>
  <c r="BN133" i="4"/>
  <c r="BN144" i="4"/>
  <c r="BN151" i="4"/>
  <c r="BN165" i="4"/>
  <c r="BB105" i="23"/>
  <c r="BB110" i="23"/>
  <c r="Q68" i="23"/>
  <c r="Q72" i="23"/>
  <c r="Q125" i="23"/>
  <c r="BI26" i="23"/>
  <c r="BI28" i="23"/>
  <c r="BI34" i="23"/>
  <c r="BI63" i="23"/>
  <c r="BI82" i="23"/>
  <c r="BI94" i="23"/>
  <c r="AU184" i="4"/>
  <c r="AU154" i="4"/>
  <c r="AU162" i="4"/>
  <c r="AZ27" i="30"/>
  <c r="AZ95" i="30"/>
  <c r="AZ100" i="30"/>
  <c r="M63" i="23"/>
  <c r="M74" i="23"/>
  <c r="H23" i="30"/>
  <c r="H44" i="30"/>
  <c r="H49" i="30"/>
  <c r="H63" i="30"/>
  <c r="H68" i="30"/>
  <c r="H83" i="30"/>
  <c r="H87" i="30"/>
  <c r="H88" i="30"/>
  <c r="H90" i="30"/>
  <c r="H118" i="30"/>
  <c r="AG93" i="4"/>
  <c r="J43" i="1"/>
  <c r="D92" i="4"/>
  <c r="AG92" i="4"/>
  <c r="E92" i="4"/>
  <c r="D49" i="23"/>
  <c r="D52" i="23"/>
  <c r="E46" i="23"/>
  <c r="E49" i="23"/>
  <c r="E52" i="23"/>
  <c r="F46" i="23"/>
  <c r="F49" i="23"/>
  <c r="F52" i="23"/>
  <c r="G46" i="23"/>
  <c r="G49" i="23"/>
  <c r="G52" i="23"/>
  <c r="H46" i="23"/>
  <c r="H49" i="23"/>
  <c r="H52" i="23"/>
  <c r="I46" i="23"/>
  <c r="I49" i="23"/>
  <c r="I52" i="23"/>
  <c r="J46" i="23"/>
  <c r="J49" i="23"/>
  <c r="J52" i="23"/>
  <c r="K46" i="23"/>
  <c r="K49" i="23"/>
  <c r="K52" i="23"/>
  <c r="L46" i="23"/>
  <c r="L49" i="23"/>
  <c r="L52" i="23"/>
  <c r="M46" i="23"/>
  <c r="M49" i="23"/>
  <c r="M52" i="23"/>
  <c r="N46" i="23"/>
  <c r="N49" i="23"/>
  <c r="N52" i="23"/>
  <c r="O46" i="23"/>
  <c r="O49" i="23"/>
  <c r="O52" i="23"/>
  <c r="P46" i="23"/>
  <c r="P49" i="23"/>
  <c r="P52" i="23"/>
  <c r="Q46" i="23"/>
  <c r="Q49" i="23"/>
  <c r="Q52" i="23"/>
  <c r="R46" i="23"/>
  <c r="R49" i="23"/>
  <c r="R52" i="23"/>
  <c r="S46" i="23"/>
  <c r="S49" i="23"/>
  <c r="S52" i="23"/>
  <c r="T46" i="23"/>
  <c r="T49" i="23"/>
  <c r="T52" i="23"/>
  <c r="U46" i="23"/>
  <c r="U49" i="23"/>
  <c r="U52" i="23"/>
  <c r="V46" i="23"/>
  <c r="V49" i="23"/>
  <c r="V52" i="23"/>
  <c r="W46" i="23"/>
  <c r="W49" i="23"/>
  <c r="W52" i="23"/>
  <c r="X46" i="23"/>
  <c r="X49" i="23"/>
  <c r="X52" i="23"/>
  <c r="Y46" i="23"/>
  <c r="Y48" i="23"/>
  <c r="AE38" i="30"/>
  <c r="A82" i="30"/>
  <c r="AC132" i="4"/>
  <c r="AY26" i="30"/>
  <c r="AY28" i="30"/>
  <c r="AY34" i="30"/>
  <c r="AY45" i="30"/>
  <c r="BH26" i="30"/>
  <c r="BH28" i="30"/>
  <c r="BH34" i="30"/>
  <c r="BH45" i="30"/>
  <c r="R68" i="23"/>
  <c r="R69" i="23"/>
  <c r="R107" i="23"/>
  <c r="AW81" i="30"/>
  <c r="AX71" i="30"/>
  <c r="AX77" i="30"/>
  <c r="AX78" i="30"/>
  <c r="AX80" i="30"/>
  <c r="AX116" i="30"/>
  <c r="Q153" i="4"/>
  <c r="Q154" i="4"/>
  <c r="Q170" i="4"/>
  <c r="Q177" i="4"/>
  <c r="N23" i="23"/>
  <c r="N42" i="23"/>
  <c r="N54" i="23"/>
  <c r="N59" i="23"/>
  <c r="N73" i="23"/>
  <c r="N78" i="23"/>
  <c r="N93" i="23"/>
  <c r="N102" i="23"/>
  <c r="M78" i="30"/>
  <c r="M82" i="30"/>
  <c r="M117" i="30"/>
  <c r="AP26" i="23"/>
  <c r="AP28" i="23"/>
  <c r="AP34" i="23"/>
  <c r="AP105" i="23"/>
  <c r="AP145" i="23"/>
  <c r="AP147" i="23"/>
  <c r="AR169" i="4"/>
  <c r="AR81" i="30"/>
  <c r="AS71" i="30"/>
  <c r="AS77" i="30"/>
  <c r="AS81" i="30"/>
  <c r="AT71" i="30"/>
  <c r="AT77" i="30"/>
  <c r="AT81" i="30"/>
  <c r="AU71" i="30"/>
  <c r="AU77" i="30"/>
  <c r="AU81" i="30"/>
  <c r="AV71" i="30"/>
  <c r="AV77" i="30"/>
  <c r="AV81" i="30"/>
  <c r="AW71" i="30"/>
  <c r="AW77" i="30"/>
  <c r="AW78" i="30"/>
  <c r="AW82" i="30"/>
  <c r="AW117" i="30"/>
  <c r="AI83" i="23"/>
  <c r="AQ78" i="30"/>
  <c r="AQ79" i="30"/>
  <c r="AQ98" i="30"/>
  <c r="BI153" i="4"/>
  <c r="BI154" i="4"/>
  <c r="BI170" i="4"/>
  <c r="BI177" i="4"/>
  <c r="BF23" i="30"/>
  <c r="BF44" i="30"/>
  <c r="BF49" i="30"/>
  <c r="BF63" i="30"/>
  <c r="BF68" i="30"/>
  <c r="BF83" i="30"/>
  <c r="BF92" i="30"/>
  <c r="AG88" i="4"/>
  <c r="AG134" i="4"/>
  <c r="AG145" i="4"/>
  <c r="AG170" i="4"/>
  <c r="AG177" i="4"/>
  <c r="AD23" i="23"/>
  <c r="AD37" i="23"/>
  <c r="AD38" i="23"/>
  <c r="AJ54" i="30"/>
  <c r="AM51" i="23"/>
  <c r="Z54" i="30"/>
  <c r="AF26" i="23"/>
  <c r="AF28" i="23"/>
  <c r="AF34" i="23"/>
  <c r="AF43" i="23"/>
  <c r="AU121" i="23"/>
  <c r="AX126" i="4"/>
  <c r="AU111" i="30"/>
  <c r="AW71" i="23"/>
  <c r="AX62" i="23"/>
  <c r="AX67" i="23"/>
  <c r="AX71" i="23"/>
  <c r="AY62" i="23"/>
  <c r="AY67" i="23"/>
  <c r="AY71" i="23"/>
  <c r="AZ62" i="23"/>
  <c r="AZ67" i="23"/>
  <c r="AZ71" i="23"/>
  <c r="BA62" i="23"/>
  <c r="BA67" i="23"/>
  <c r="BA71" i="23"/>
  <c r="BB62" i="23"/>
  <c r="BB67" i="23"/>
  <c r="BB71" i="23"/>
  <c r="BC62" i="23"/>
  <c r="BC67" i="23"/>
  <c r="BC71" i="23"/>
  <c r="BD62" i="23"/>
  <c r="BD67" i="23"/>
  <c r="BD71" i="23"/>
  <c r="BE62" i="23"/>
  <c r="BE67" i="23"/>
  <c r="BE71" i="23"/>
  <c r="BF62" i="23"/>
  <c r="BF67" i="23"/>
  <c r="BF71" i="23"/>
  <c r="BG62" i="23"/>
  <c r="BG67" i="23"/>
  <c r="BG71" i="23"/>
  <c r="BH62" i="23"/>
  <c r="BH67" i="23"/>
  <c r="BH68" i="23"/>
  <c r="BH69" i="23"/>
  <c r="BH107" i="23"/>
  <c r="BL110" i="23"/>
  <c r="AD64" i="23"/>
  <c r="AO42" i="23"/>
  <c r="AO54" i="23"/>
  <c r="AO59" i="23"/>
  <c r="AO73" i="23"/>
  <c r="AO78" i="23"/>
  <c r="AO93" i="23"/>
  <c r="AO102" i="23"/>
  <c r="O151" i="4"/>
  <c r="O165" i="4"/>
  <c r="BH154" i="4"/>
  <c r="BH170" i="4"/>
  <c r="BH177" i="4"/>
  <c r="BE23" i="23"/>
  <c r="BE37" i="23"/>
  <c r="BE38" i="23"/>
  <c r="O132" i="4"/>
  <c r="O140" i="4"/>
  <c r="O176" i="4"/>
  <c r="L19" i="30"/>
  <c r="L26" i="30"/>
  <c r="L28" i="30"/>
  <c r="L34" i="30"/>
  <c r="L45" i="30"/>
  <c r="R162" i="4"/>
  <c r="R184" i="4"/>
  <c r="AH41" i="23"/>
  <c r="AH106" i="23"/>
  <c r="AH146" i="23"/>
  <c r="G100" i="30"/>
  <c r="M26" i="23"/>
  <c r="M28" i="23"/>
  <c r="M34" i="23"/>
  <c r="M43" i="23"/>
  <c r="AO85" i="23"/>
  <c r="AO66" i="23"/>
  <c r="AR88" i="4"/>
  <c r="AR134" i="4"/>
  <c r="AR145" i="4"/>
  <c r="AR170" i="4"/>
  <c r="AR177" i="4"/>
  <c r="AO23" i="23"/>
  <c r="AO39" i="23"/>
  <c r="AY51" i="23"/>
  <c r="AA86" i="23"/>
  <c r="G32" i="5"/>
  <c r="D25" i="13"/>
  <c r="Q70" i="13"/>
  <c r="D23" i="13"/>
  <c r="D24" i="13"/>
  <c r="G74" i="5"/>
  <c r="AC76" i="30"/>
  <c r="AD83" i="23"/>
  <c r="AQ153" i="4"/>
  <c r="AQ155" i="4"/>
  <c r="AQ118" i="4"/>
  <c r="AQ123" i="4"/>
  <c r="AQ133" i="4"/>
  <c r="AQ136" i="4"/>
  <c r="AQ143" i="4"/>
  <c r="AQ168" i="4"/>
  <c r="AQ173" i="4"/>
  <c r="BR170" i="4"/>
  <c r="BR177" i="4"/>
  <c r="BR178" i="4"/>
  <c r="L38" i="23"/>
  <c r="U74" i="23"/>
  <c r="AF132" i="4"/>
  <c r="AM42" i="23"/>
  <c r="AM54" i="23"/>
  <c r="AM59" i="23"/>
  <c r="AM73" i="23"/>
  <c r="AM78" i="23"/>
  <c r="AM93" i="23"/>
  <c r="AM97" i="23"/>
  <c r="AM98" i="23"/>
  <c r="AM101" i="23"/>
  <c r="AM129" i="23"/>
  <c r="AS83" i="23"/>
  <c r="BG26" i="23"/>
  <c r="BG47" i="23"/>
  <c r="BG55" i="23"/>
  <c r="AN88" i="4"/>
  <c r="AN134" i="4"/>
  <c r="AN145" i="4"/>
  <c r="AN170" i="4"/>
  <c r="AN177" i="4"/>
  <c r="AK23" i="23"/>
  <c r="AK42" i="23"/>
  <c r="AK54" i="23"/>
  <c r="AK59" i="23"/>
  <c r="AK73" i="23"/>
  <c r="AK78" i="23"/>
  <c r="AK93" i="23"/>
  <c r="AK97" i="23"/>
  <c r="AK98" i="23"/>
  <c r="AK101" i="23"/>
  <c r="AK129" i="23"/>
  <c r="F65" i="5"/>
  <c r="C13" i="13"/>
  <c r="F76" i="5"/>
  <c r="F80" i="5"/>
  <c r="E13" i="13"/>
  <c r="F77" i="5"/>
  <c r="F71" i="5"/>
  <c r="F34" i="5"/>
  <c r="F83" i="5"/>
  <c r="C12" i="5"/>
  <c r="F17" i="5"/>
  <c r="C13" i="5"/>
  <c r="E17" i="5"/>
  <c r="C17" i="5"/>
  <c r="G17" i="5"/>
  <c r="C14" i="5"/>
  <c r="S68" i="23"/>
  <c r="S70" i="23"/>
  <c r="S124" i="23"/>
  <c r="BD64" i="30"/>
  <c r="AI169" i="4"/>
  <c r="H11" i="30"/>
  <c r="AI165" i="4"/>
  <c r="AS23" i="30"/>
  <c r="AS44" i="30"/>
  <c r="AS49" i="30"/>
  <c r="AS63" i="30"/>
  <c r="AS68" i="30"/>
  <c r="AS83" i="30"/>
  <c r="AS92" i="30"/>
  <c r="AE23" i="30"/>
  <c r="AE37" i="30"/>
  <c r="AE55" i="30"/>
  <c r="AE74" i="30"/>
  <c r="AC102" i="4"/>
  <c r="AC128" i="4"/>
  <c r="AC189" i="4"/>
  <c r="F23" i="23"/>
  <c r="F37" i="23"/>
  <c r="F38" i="23"/>
  <c r="AR36" i="23"/>
  <c r="AR40" i="23"/>
  <c r="AS33" i="23"/>
  <c r="AS36" i="23"/>
  <c r="AS40" i="23"/>
  <c r="AT33" i="23"/>
  <c r="AT36" i="23"/>
  <c r="AT40" i="23"/>
  <c r="AU33" i="23"/>
  <c r="AU36" i="23"/>
  <c r="AU40" i="23"/>
  <c r="AV33" i="23"/>
  <c r="AV36" i="23"/>
  <c r="AV40" i="23"/>
  <c r="AW33" i="23"/>
  <c r="AW36" i="23"/>
  <c r="AW40" i="23"/>
  <c r="AX33" i="23"/>
  <c r="AX36" i="23"/>
  <c r="AX40" i="23"/>
  <c r="AY33" i="23"/>
  <c r="AY36" i="23"/>
  <c r="AY40" i="23"/>
  <c r="AZ33" i="23"/>
  <c r="AZ35" i="23"/>
  <c r="E87" i="30"/>
  <c r="E88" i="30"/>
  <c r="E91" i="30"/>
  <c r="E119" i="30"/>
  <c r="AT39" i="30"/>
  <c r="AT56" i="30"/>
  <c r="AT75" i="30"/>
  <c r="Y88" i="23"/>
  <c r="Y92" i="23"/>
  <c r="Y127" i="23"/>
  <c r="R88" i="23"/>
  <c r="R92" i="23"/>
  <c r="R127" i="23"/>
  <c r="AR130" i="23"/>
  <c r="AO76" i="30"/>
  <c r="AH42" i="23"/>
  <c r="AH54" i="23"/>
  <c r="AH59" i="23"/>
  <c r="AH73" i="23"/>
  <c r="AH78" i="23"/>
  <c r="AH93" i="23"/>
  <c r="AH97" i="23"/>
  <c r="AH98" i="23"/>
  <c r="AH99" i="23"/>
  <c r="AH109" i="23"/>
  <c r="AE178" i="4"/>
  <c r="AB18" i="30"/>
  <c r="AE88" i="4"/>
  <c r="AE134" i="4"/>
  <c r="AE145" i="4"/>
  <c r="AE170" i="4"/>
  <c r="AE177" i="4"/>
  <c r="AB18" i="23"/>
  <c r="AO74" i="23"/>
  <c r="AQ75" i="30"/>
  <c r="AQ56" i="30"/>
  <c r="AT88" i="4"/>
  <c r="AT134" i="4"/>
  <c r="AT145" i="4"/>
  <c r="AT170" i="4"/>
  <c r="AT177" i="4"/>
  <c r="AQ23" i="30"/>
  <c r="AQ39" i="30"/>
  <c r="V137" i="30"/>
  <c r="V135" i="30"/>
  <c r="AO47" i="23"/>
  <c r="AO117" i="23"/>
  <c r="AO130" i="23"/>
  <c r="Z26" i="23"/>
  <c r="Z28" i="23"/>
  <c r="Z34" i="23"/>
  <c r="Z105" i="23"/>
  <c r="Z110" i="23"/>
  <c r="O110" i="23"/>
  <c r="AN53" i="30"/>
  <c r="AN64" i="30"/>
  <c r="S83" i="23"/>
  <c r="BL28" i="23"/>
  <c r="BL34" i="23"/>
  <c r="BL105" i="23"/>
  <c r="BL145" i="23"/>
  <c r="BL147" i="23"/>
  <c r="AI158" i="4"/>
  <c r="T113" i="4"/>
  <c r="T123" i="4"/>
  <c r="T132" i="4"/>
  <c r="O113" i="4"/>
  <c r="O123" i="4"/>
  <c r="O133" i="4"/>
  <c r="O144" i="4"/>
  <c r="O169" i="4"/>
  <c r="F87" i="30"/>
  <c r="F88" i="30"/>
  <c r="F89" i="30"/>
  <c r="F99" i="30"/>
  <c r="I146" i="23"/>
  <c r="I106" i="23"/>
  <c r="I41" i="23"/>
  <c r="AP185" i="4"/>
  <c r="AP161" i="4"/>
  <c r="AP163" i="4"/>
  <c r="AD78" i="30"/>
  <c r="AD82" i="30"/>
  <c r="AD117" i="30"/>
  <c r="G27" i="30"/>
  <c r="G95" i="30"/>
  <c r="G135" i="30"/>
  <c r="G137" i="30"/>
  <c r="P86" i="23"/>
  <c r="V88" i="4"/>
  <c r="V134" i="4"/>
  <c r="V145" i="4"/>
  <c r="V170" i="4"/>
  <c r="V177" i="4"/>
  <c r="S23" i="30"/>
  <c r="S44" i="30"/>
  <c r="S49" i="30"/>
  <c r="S63" i="30"/>
  <c r="S68" i="30"/>
  <c r="S83" i="30"/>
  <c r="S87" i="30"/>
  <c r="S88" i="30"/>
  <c r="S91" i="30"/>
  <c r="S119" i="30"/>
  <c r="AA68" i="23"/>
  <c r="AA72" i="23"/>
  <c r="AA125" i="23"/>
  <c r="E37" i="30"/>
  <c r="E41" i="30"/>
  <c r="E42" i="30"/>
  <c r="E43" i="30"/>
  <c r="E113" i="30"/>
  <c r="E127" i="30"/>
  <c r="AC58" i="30"/>
  <c r="AC59" i="30"/>
  <c r="AC97" i="30"/>
  <c r="AZ91" i="23"/>
  <c r="BA81" i="23"/>
  <c r="BA87" i="23"/>
  <c r="BA91" i="23"/>
  <c r="BB81" i="23"/>
  <c r="BB87" i="23"/>
  <c r="BB91" i="23"/>
  <c r="BC81" i="23"/>
  <c r="BC87" i="23"/>
  <c r="BC91" i="23"/>
  <c r="BD81" i="23"/>
  <c r="BD87" i="23"/>
  <c r="BD88" i="23"/>
  <c r="BD92" i="23"/>
  <c r="BD127" i="23"/>
  <c r="AC86" i="23"/>
  <c r="BL138" i="23"/>
  <c r="BL136" i="23"/>
  <c r="L23" i="23"/>
  <c r="L37" i="23"/>
  <c r="L65" i="23"/>
  <c r="L84" i="23"/>
  <c r="U63" i="23"/>
  <c r="U82" i="23"/>
  <c r="U94" i="23"/>
  <c r="AF88" i="4"/>
  <c r="AF102" i="4"/>
  <c r="AF128" i="4"/>
  <c r="AF189" i="4"/>
  <c r="O153" i="4"/>
  <c r="O154" i="4"/>
  <c r="O170" i="4"/>
  <c r="O177" i="4"/>
  <c r="L23" i="30"/>
  <c r="L37" i="30"/>
  <c r="L41" i="30"/>
  <c r="L42" i="30"/>
  <c r="L43" i="30"/>
  <c r="L113" i="30"/>
  <c r="L127" i="30"/>
  <c r="F76" i="30"/>
  <c r="BZ165" i="4"/>
  <c r="X153" i="4"/>
  <c r="X155" i="4"/>
  <c r="X118" i="4"/>
  <c r="X123" i="4"/>
  <c r="X133" i="4"/>
  <c r="X136" i="4"/>
  <c r="X143" i="4"/>
  <c r="X168" i="4"/>
  <c r="X173" i="4"/>
  <c r="X137" i="23"/>
  <c r="X123" i="23"/>
  <c r="AA88" i="4"/>
  <c r="AA134" i="4"/>
  <c r="AA145" i="4"/>
  <c r="AA170" i="4"/>
  <c r="AA177" i="4"/>
  <c r="X23" i="23"/>
  <c r="X42" i="23"/>
  <c r="X50" i="23"/>
  <c r="X53" i="23"/>
  <c r="AI127" i="4"/>
  <c r="AI188" i="4"/>
  <c r="AI190" i="4"/>
  <c r="BB109" i="23"/>
  <c r="BB99" i="23"/>
  <c r="BD28" i="30"/>
  <c r="BD34" i="30"/>
  <c r="BD53" i="30"/>
  <c r="BD72" i="30"/>
  <c r="BD84" i="30"/>
  <c r="U76" i="30"/>
  <c r="G11" i="30"/>
  <c r="A88" i="30"/>
  <c r="A91" i="30"/>
  <c r="D26" i="23"/>
  <c r="D47" i="23"/>
  <c r="D117" i="23"/>
  <c r="D136" i="23"/>
  <c r="D138" i="23"/>
  <c r="A140" i="23"/>
  <c r="M9" i="23"/>
  <c r="AI163" i="4"/>
  <c r="AI153" i="4"/>
  <c r="AI155" i="4"/>
  <c r="AI118" i="4"/>
  <c r="AI123" i="4"/>
  <c r="AI133" i="4"/>
  <c r="AI144" i="4"/>
  <c r="AI151" i="4"/>
  <c r="AI161" i="4"/>
  <c r="AI185" i="4"/>
  <c r="AY91" i="23"/>
  <c r="AZ81" i="23"/>
  <c r="AZ87" i="23"/>
  <c r="AZ88" i="23"/>
  <c r="AZ92" i="23"/>
  <c r="AZ127" i="23"/>
  <c r="BL153" i="4"/>
  <c r="BL154" i="4"/>
  <c r="BL170" i="4"/>
  <c r="BL177" i="4"/>
  <c r="BI23" i="30"/>
  <c r="BI44" i="30"/>
  <c r="BI49" i="30"/>
  <c r="BI63" i="30"/>
  <c r="BI68" i="30"/>
  <c r="BI83" i="30"/>
  <c r="BI87" i="30"/>
  <c r="BI88" i="30"/>
  <c r="BI89" i="30"/>
  <c r="BI99" i="30"/>
  <c r="V169" i="4"/>
  <c r="AH64" i="23"/>
  <c r="BL38" i="23"/>
  <c r="G10" i="30"/>
  <c r="A78" i="30"/>
  <c r="D82" i="30"/>
  <c r="D117" i="30"/>
  <c r="B117" i="30"/>
  <c r="AB64" i="23"/>
  <c r="AX88" i="4"/>
  <c r="AX134" i="4"/>
  <c r="AX145" i="4"/>
  <c r="AX170" i="4"/>
  <c r="AX177" i="4"/>
  <c r="AU23" i="30"/>
  <c r="AU44" i="30"/>
  <c r="AU49" i="30"/>
  <c r="AU63" i="30"/>
  <c r="AU68" i="30"/>
  <c r="AU83" i="30"/>
  <c r="AU87" i="30"/>
  <c r="AU88" i="30"/>
  <c r="AU91" i="30"/>
  <c r="AU119" i="30"/>
  <c r="H19" i="23"/>
  <c r="H27" i="23"/>
  <c r="H34" i="23"/>
  <c r="H43" i="23"/>
  <c r="AM87" i="23"/>
  <c r="AM91" i="23"/>
  <c r="AN81" i="23"/>
  <c r="AN87" i="23"/>
  <c r="AN91" i="23"/>
  <c r="AO81" i="23"/>
  <c r="AO87" i="23"/>
  <c r="AO91" i="23"/>
  <c r="AP81" i="23"/>
  <c r="AP87" i="23"/>
  <c r="AP91" i="23"/>
  <c r="AQ81" i="23"/>
  <c r="AQ87" i="23"/>
  <c r="AQ91" i="23"/>
  <c r="AR81" i="23"/>
  <c r="AR87" i="23"/>
  <c r="AR91" i="23"/>
  <c r="AS81" i="23"/>
  <c r="AS87" i="23"/>
  <c r="AS91" i="23"/>
  <c r="AT81" i="23"/>
  <c r="AT87" i="23"/>
  <c r="AT91" i="23"/>
  <c r="AU81" i="23"/>
  <c r="AU87" i="23"/>
  <c r="AU91" i="23"/>
  <c r="AV81" i="23"/>
  <c r="AV87" i="23"/>
  <c r="AV91" i="23"/>
  <c r="AW81" i="23"/>
  <c r="AW87" i="23"/>
  <c r="AW91" i="23"/>
  <c r="AX81" i="23"/>
  <c r="AX87" i="23"/>
  <c r="AX91" i="23"/>
  <c r="AY81" i="23"/>
  <c r="AY87" i="23"/>
  <c r="AY88" i="23"/>
  <c r="AY92" i="23"/>
  <c r="AY127" i="23"/>
  <c r="BH153" i="4"/>
  <c r="BH155" i="4"/>
  <c r="BH118" i="4"/>
  <c r="BH123" i="4"/>
  <c r="BH133" i="4"/>
  <c r="BH144" i="4"/>
  <c r="BH169" i="4"/>
  <c r="BE27" i="30"/>
  <c r="BE95" i="30"/>
  <c r="BE100" i="30"/>
  <c r="Y132" i="4"/>
  <c r="BS178" i="4"/>
  <c r="BS153" i="4"/>
  <c r="BS154" i="4"/>
  <c r="BS170" i="4"/>
  <c r="BS177" i="4"/>
  <c r="AD86" i="23"/>
  <c r="AZ165" i="4"/>
  <c r="AR26" i="23"/>
  <c r="AR47" i="23"/>
  <c r="AR117" i="23"/>
  <c r="AR136" i="23"/>
  <c r="AR138" i="23"/>
  <c r="AO58" i="30"/>
  <c r="AO59" i="30"/>
  <c r="AO97" i="30"/>
  <c r="AH38" i="23"/>
  <c r="AR185" i="4"/>
  <c r="AR153" i="4"/>
  <c r="AR155" i="4"/>
  <c r="AR118" i="4"/>
  <c r="AR123" i="4"/>
  <c r="AR133" i="4"/>
  <c r="AR144" i="4"/>
  <c r="AR151" i="4"/>
  <c r="AR161" i="4"/>
  <c r="AR163" i="4"/>
  <c r="AO26" i="23"/>
  <c r="AO28" i="23"/>
  <c r="AO34" i="23"/>
  <c r="AO63" i="23"/>
  <c r="AO82" i="23"/>
  <c r="AO94" i="23"/>
  <c r="Z120" i="30"/>
  <c r="AA88" i="23"/>
  <c r="AA90" i="23"/>
  <c r="AA126" i="23"/>
  <c r="AB170" i="4"/>
  <c r="AB177" i="4"/>
  <c r="Y23" i="23"/>
  <c r="Y42" i="23"/>
  <c r="Y50" i="23"/>
  <c r="Y53" i="23"/>
  <c r="Y123" i="23"/>
  <c r="Y137" i="23"/>
  <c r="B27" i="30"/>
  <c r="V27" i="30"/>
  <c r="V95" i="30"/>
  <c r="V100" i="30"/>
  <c r="AH86" i="23"/>
  <c r="U26" i="23"/>
  <c r="U28" i="23"/>
  <c r="U34" i="23"/>
  <c r="U105" i="23"/>
  <c r="U110" i="23"/>
  <c r="BC74" i="23"/>
  <c r="O26" i="23"/>
  <c r="O28" i="23"/>
  <c r="O34" i="23"/>
  <c r="O105" i="23"/>
  <c r="O145" i="23"/>
  <c r="O147" i="23"/>
  <c r="R153" i="4"/>
  <c r="R154" i="4"/>
  <c r="R170" i="4"/>
  <c r="R177" i="4"/>
  <c r="O23" i="30"/>
  <c r="O37" i="30"/>
  <c r="O41" i="30"/>
  <c r="O42" i="30"/>
  <c r="O96" i="30"/>
  <c r="O136" i="30"/>
  <c r="H188" i="4"/>
  <c r="E188" i="4"/>
  <c r="D36" i="23"/>
  <c r="D40" i="23"/>
  <c r="E33" i="23"/>
  <c r="E36" i="23"/>
  <c r="E40" i="23"/>
  <c r="F33" i="23"/>
  <c r="F36" i="23"/>
  <c r="F40" i="23"/>
  <c r="G33" i="23"/>
  <c r="G36" i="23"/>
  <c r="G40" i="23"/>
  <c r="H33" i="23"/>
  <c r="H36" i="23"/>
  <c r="H40" i="23"/>
  <c r="I33" i="23"/>
  <c r="I36" i="23"/>
  <c r="I40" i="23"/>
  <c r="J33" i="23"/>
  <c r="J36" i="23"/>
  <c r="J40" i="23"/>
  <c r="K33" i="23"/>
  <c r="K36" i="23"/>
  <c r="K40" i="23"/>
  <c r="L33" i="23"/>
  <c r="L36" i="23"/>
  <c r="L40" i="23"/>
  <c r="M33" i="23"/>
  <c r="M36" i="23"/>
  <c r="M40" i="23"/>
  <c r="N33" i="23"/>
  <c r="N36" i="23"/>
  <c r="N40" i="23"/>
  <c r="O33" i="23"/>
  <c r="O36" i="23"/>
  <c r="O40" i="23"/>
  <c r="P33" i="23"/>
  <c r="P36" i="23"/>
  <c r="P40" i="23"/>
  <c r="Q33" i="23"/>
  <c r="Q36" i="23"/>
  <c r="Q40" i="23"/>
  <c r="R33" i="23"/>
  <c r="R36" i="23"/>
  <c r="R40" i="23"/>
  <c r="S33" i="23"/>
  <c r="S36" i="23"/>
  <c r="S40" i="23"/>
  <c r="T33" i="23"/>
  <c r="T36" i="23"/>
  <c r="T40" i="23"/>
  <c r="U33" i="23"/>
  <c r="U36" i="23"/>
  <c r="U40" i="23"/>
  <c r="V33" i="23"/>
  <c r="V36" i="23"/>
  <c r="V40" i="23"/>
  <c r="W33" i="23"/>
  <c r="W36" i="23"/>
  <c r="W40" i="23"/>
  <c r="X33" i="23"/>
  <c r="X36" i="23"/>
  <c r="X40" i="23"/>
  <c r="Y33" i="23"/>
  <c r="Y36" i="23"/>
  <c r="Y40" i="23"/>
  <c r="Z33" i="23"/>
  <c r="Z36" i="23"/>
  <c r="Z40" i="23"/>
  <c r="AA33" i="23"/>
  <c r="AA36" i="23"/>
  <c r="AA40" i="23"/>
  <c r="AB33" i="23"/>
  <c r="AB36" i="23"/>
  <c r="AB40" i="23"/>
  <c r="AC33" i="23"/>
  <c r="AC36" i="23"/>
  <c r="AC40" i="23"/>
  <c r="AD33" i="23"/>
  <c r="AD36" i="23"/>
  <c r="AD40" i="23"/>
  <c r="AE33" i="23"/>
  <c r="AE36" i="23"/>
  <c r="AE40" i="23"/>
  <c r="AF33" i="23"/>
  <c r="AF36" i="23"/>
  <c r="AF40" i="23"/>
  <c r="AG33" i="23"/>
  <c r="AG36" i="23"/>
  <c r="AG40" i="23"/>
  <c r="AH33" i="23"/>
  <c r="AH36" i="23"/>
  <c r="AH40" i="23"/>
  <c r="AI33" i="23"/>
  <c r="AI36" i="23"/>
  <c r="AI40" i="23"/>
  <c r="AJ33" i="23"/>
  <c r="AJ36" i="23"/>
  <c r="AJ40" i="23"/>
  <c r="AK33" i="23"/>
  <c r="AK36" i="23"/>
  <c r="AK40" i="23"/>
  <c r="AL33" i="23"/>
  <c r="AL36" i="23"/>
  <c r="AL40" i="23"/>
  <c r="AM33" i="23"/>
  <c r="AM36" i="23"/>
  <c r="AM40" i="23"/>
  <c r="AN33" i="23"/>
  <c r="AN36" i="23"/>
  <c r="AN40" i="23"/>
  <c r="AO33" i="23"/>
  <c r="AO36" i="23"/>
  <c r="AO40" i="23"/>
  <c r="AP33" i="23"/>
  <c r="AP36" i="23"/>
  <c r="AP40" i="23"/>
  <c r="AQ33" i="23"/>
  <c r="AQ36" i="23"/>
  <c r="AQ40" i="23"/>
  <c r="AR33" i="23"/>
  <c r="AR35" i="23"/>
  <c r="B64" i="30"/>
  <c r="D64" i="30"/>
  <c r="F37" i="30"/>
  <c r="F41" i="30"/>
  <c r="F42" i="30"/>
  <c r="F96" i="30"/>
  <c r="F136" i="30"/>
  <c r="D82" i="23"/>
  <c r="D87" i="23"/>
  <c r="D91" i="23"/>
  <c r="E81" i="23"/>
  <c r="E87" i="23"/>
  <c r="E91" i="23"/>
  <c r="F81" i="23"/>
  <c r="F87" i="23"/>
  <c r="F91" i="23"/>
  <c r="G81" i="23"/>
  <c r="G87" i="23"/>
  <c r="G91" i="23"/>
  <c r="H81" i="23"/>
  <c r="H87" i="23"/>
  <c r="H91" i="23"/>
  <c r="I81" i="23"/>
  <c r="I87" i="23"/>
  <c r="I91" i="23"/>
  <c r="J81" i="23"/>
  <c r="J87" i="23"/>
  <c r="J91" i="23"/>
  <c r="K81" i="23"/>
  <c r="K87" i="23"/>
  <c r="K91" i="23"/>
  <c r="L81" i="23"/>
  <c r="L87" i="23"/>
  <c r="L91" i="23"/>
  <c r="M81" i="23"/>
  <c r="M87" i="23"/>
  <c r="M91" i="23"/>
  <c r="N81" i="23"/>
  <c r="N87" i="23"/>
  <c r="N91" i="23"/>
  <c r="O81" i="23"/>
  <c r="O87" i="23"/>
  <c r="O91" i="23"/>
  <c r="P81" i="23"/>
  <c r="P87" i="23"/>
  <c r="P91" i="23"/>
  <c r="Q81" i="23"/>
  <c r="Q87" i="23"/>
  <c r="Q91" i="23"/>
  <c r="R81" i="23"/>
  <c r="R87" i="23"/>
  <c r="R91" i="23"/>
  <c r="S81" i="23"/>
  <c r="S87" i="23"/>
  <c r="S91" i="23"/>
  <c r="T81" i="23"/>
  <c r="T87" i="23"/>
  <c r="T91" i="23"/>
  <c r="U81" i="23"/>
  <c r="U87" i="23"/>
  <c r="U91" i="23"/>
  <c r="V81" i="23"/>
  <c r="V87" i="23"/>
  <c r="V91" i="23"/>
  <c r="W81" i="23"/>
  <c r="W87" i="23"/>
  <c r="W91" i="23"/>
  <c r="X81" i="23"/>
  <c r="X87" i="23"/>
  <c r="X91" i="23"/>
  <c r="Y81" i="23"/>
  <c r="Y87" i="23"/>
  <c r="Y91" i="23"/>
  <c r="Z81" i="23"/>
  <c r="Z87" i="23"/>
  <c r="Z91" i="23"/>
  <c r="AA81" i="23"/>
  <c r="AA87" i="23"/>
  <c r="AA91" i="23"/>
  <c r="AB81" i="23"/>
  <c r="AB87" i="23"/>
  <c r="AB91" i="23"/>
  <c r="AC81" i="23"/>
  <c r="AC87" i="23"/>
  <c r="AC91" i="23"/>
  <c r="AD81" i="23"/>
  <c r="AD87" i="23"/>
  <c r="AD91" i="23"/>
  <c r="AE81" i="23"/>
  <c r="AE87" i="23"/>
  <c r="AE91" i="23"/>
  <c r="AF81" i="23"/>
  <c r="AF87" i="23"/>
  <c r="AF91" i="23"/>
  <c r="AG81" i="23"/>
  <c r="AG87" i="23"/>
  <c r="AG91" i="23"/>
  <c r="AH81" i="23"/>
  <c r="AH87" i="23"/>
  <c r="AH91" i="23"/>
  <c r="AI81" i="23"/>
  <c r="AI87" i="23"/>
  <c r="AI91" i="23"/>
  <c r="AJ81" i="23"/>
  <c r="AJ87" i="23"/>
  <c r="AJ91" i="23"/>
  <c r="AK81" i="23"/>
  <c r="AK87" i="23"/>
  <c r="AK91" i="23"/>
  <c r="AL81" i="23"/>
  <c r="AL87" i="23"/>
  <c r="AL91" i="23"/>
  <c r="AM81" i="23"/>
  <c r="AM83" i="23"/>
  <c r="N26" i="30"/>
  <c r="N28" i="30"/>
  <c r="N34" i="30"/>
  <c r="N45" i="30"/>
  <c r="P68" i="23"/>
  <c r="P72" i="23"/>
  <c r="P125" i="23"/>
  <c r="Q54" i="30"/>
  <c r="J38" i="30"/>
  <c r="BC137" i="23"/>
  <c r="BF153" i="4"/>
  <c r="BF154" i="4"/>
  <c r="BF170" i="4"/>
  <c r="BF177" i="4"/>
  <c r="BC23" i="23"/>
  <c r="BC42" i="23"/>
  <c r="BC50" i="23"/>
  <c r="BC53" i="23"/>
  <c r="BC123" i="23"/>
  <c r="W147" i="23"/>
  <c r="W145" i="23"/>
  <c r="BV153" i="4"/>
  <c r="BV155" i="4"/>
  <c r="BV118" i="4"/>
  <c r="BV123" i="4"/>
  <c r="BV133" i="4"/>
  <c r="BV144" i="4"/>
  <c r="BV151" i="4"/>
  <c r="BV165" i="4"/>
  <c r="AC162" i="4"/>
  <c r="AC88" i="4"/>
  <c r="AC134" i="4"/>
  <c r="AC145" i="4"/>
  <c r="AC154" i="4"/>
  <c r="AC184" i="4"/>
  <c r="AU88" i="4"/>
  <c r="AU134" i="4"/>
  <c r="AU145" i="4"/>
  <c r="AU170" i="4"/>
  <c r="AU177" i="4"/>
  <c r="AR23" i="30"/>
  <c r="AR37" i="30"/>
  <c r="AR41" i="30"/>
  <c r="AR42" i="30"/>
  <c r="AR96" i="30"/>
  <c r="AR136" i="30"/>
  <c r="AC68" i="23"/>
  <c r="AC69" i="23"/>
  <c r="AC107" i="23"/>
  <c r="BI26" i="30"/>
  <c r="BI107" i="30"/>
  <c r="BI120" i="30"/>
  <c r="AA110" i="23"/>
  <c r="F58" i="30"/>
  <c r="F62" i="30"/>
  <c r="F115" i="30"/>
  <c r="BR157" i="4"/>
  <c r="BS150" i="4"/>
  <c r="BS157" i="4"/>
  <c r="BT150" i="4"/>
  <c r="BT157" i="4"/>
  <c r="BU150" i="4"/>
  <c r="BU157" i="4"/>
  <c r="BV150" i="4"/>
  <c r="BV157" i="4"/>
  <c r="BW150" i="4"/>
  <c r="BW157" i="4"/>
  <c r="BX150" i="4"/>
  <c r="BX157" i="4"/>
  <c r="BY150" i="4"/>
  <c r="BY157" i="4"/>
  <c r="BZ150" i="4"/>
  <c r="BZ153" i="4"/>
  <c r="BZ155" i="4"/>
  <c r="BZ118" i="4"/>
  <c r="BZ123" i="4"/>
  <c r="BZ133" i="4"/>
  <c r="BZ144" i="4"/>
  <c r="BZ151" i="4"/>
  <c r="BZ161" i="4"/>
  <c r="BZ163" i="4"/>
  <c r="P26" i="23"/>
  <c r="P28" i="23"/>
  <c r="P34" i="23"/>
  <c r="P105" i="23"/>
  <c r="P110" i="23"/>
  <c r="AW107" i="23"/>
  <c r="AW69" i="23"/>
  <c r="AD88" i="4"/>
  <c r="AD134" i="4"/>
  <c r="AD145" i="4"/>
  <c r="AD170" i="4"/>
  <c r="AD177" i="4"/>
  <c r="AA23" i="23"/>
  <c r="AA42" i="23"/>
  <c r="AA54" i="23"/>
  <c r="AA59" i="23"/>
  <c r="AA73" i="23"/>
  <c r="AA78" i="23"/>
  <c r="AA93" i="23"/>
  <c r="AA97" i="23"/>
  <c r="AA98" i="23"/>
  <c r="AA99" i="23"/>
  <c r="AA109" i="23"/>
  <c r="AF64" i="23"/>
  <c r="U58" i="30"/>
  <c r="U60" i="30"/>
  <c r="U114" i="30"/>
  <c r="AZ76" i="30"/>
  <c r="AB162" i="4"/>
  <c r="AB88" i="4"/>
  <c r="AB134" i="4"/>
  <c r="AB145" i="4"/>
  <c r="AB154" i="4"/>
  <c r="AB184" i="4"/>
  <c r="I153" i="4"/>
  <c r="I154" i="4"/>
  <c r="I170" i="4"/>
  <c r="I177" i="4"/>
  <c r="F23" i="30"/>
  <c r="F44" i="30"/>
  <c r="F49" i="30"/>
  <c r="F63" i="30"/>
  <c r="F68" i="30"/>
  <c r="F83" i="30"/>
  <c r="F92" i="30"/>
  <c r="BO153" i="4"/>
  <c r="BO154" i="4"/>
  <c r="BO170" i="4"/>
  <c r="BO177" i="4"/>
  <c r="BL23" i="23"/>
  <c r="BL37" i="23"/>
  <c r="BL65" i="23"/>
  <c r="BL84" i="23"/>
  <c r="K113" i="4"/>
  <c r="K123" i="4"/>
  <c r="K132" i="4"/>
  <c r="K140" i="4"/>
  <c r="K176" i="4"/>
  <c r="K178" i="4"/>
  <c r="BB43" i="23"/>
  <c r="BD26" i="30"/>
  <c r="BD107" i="30"/>
  <c r="BD120" i="30"/>
  <c r="BB26" i="23"/>
  <c r="BB28" i="23"/>
  <c r="BB34" i="23"/>
  <c r="BB63" i="23"/>
  <c r="BB74" i="23"/>
  <c r="B28" i="30"/>
  <c r="B43" i="30"/>
  <c r="AW26" i="23"/>
  <c r="AW47" i="23"/>
  <c r="AW117" i="23"/>
  <c r="AW130" i="23"/>
  <c r="X58" i="30"/>
  <c r="X76" i="30"/>
  <c r="Y88" i="4"/>
  <c r="Y102" i="4"/>
  <c r="Y103" i="4"/>
  <c r="Y120" i="4"/>
  <c r="AD68" i="23"/>
  <c r="AD70" i="23"/>
  <c r="AD124" i="23"/>
  <c r="AZ185" i="4"/>
  <c r="AZ153" i="4"/>
  <c r="AZ155" i="4"/>
  <c r="AZ118" i="4"/>
  <c r="AZ123" i="4"/>
  <c r="AZ133" i="4"/>
  <c r="AZ144" i="4"/>
  <c r="AZ151" i="4"/>
  <c r="AZ161" i="4"/>
  <c r="AZ163" i="4"/>
  <c r="AJ184" i="4"/>
  <c r="AJ154" i="4"/>
  <c r="AJ162" i="4"/>
  <c r="AG42" i="23"/>
  <c r="AG51" i="23"/>
  <c r="AE68" i="23"/>
  <c r="AE86" i="23"/>
  <c r="AK88" i="4"/>
  <c r="AK134" i="4"/>
  <c r="AK145" i="4"/>
  <c r="AK170" i="4"/>
  <c r="AK177" i="4"/>
  <c r="AH23" i="23"/>
  <c r="AH37" i="23"/>
  <c r="AH65" i="23"/>
  <c r="AH84" i="23"/>
  <c r="AI88" i="4"/>
  <c r="AI134" i="4"/>
  <c r="AI145" i="4"/>
  <c r="AI170" i="4"/>
  <c r="AI177" i="4"/>
  <c r="AF23" i="30"/>
  <c r="AF44" i="30"/>
  <c r="AF49" i="30"/>
  <c r="AF63" i="30"/>
  <c r="AF68" i="30"/>
  <c r="AF83" i="30"/>
  <c r="AF87" i="30"/>
  <c r="AF88" i="30"/>
  <c r="AF91" i="30"/>
  <c r="AF119" i="30"/>
  <c r="AQ68" i="23"/>
  <c r="AQ86" i="23"/>
  <c r="Z68" i="23"/>
  <c r="Z86" i="23"/>
  <c r="Z26" i="30"/>
  <c r="Z107" i="30"/>
  <c r="Z126" i="30"/>
  <c r="Z128" i="30"/>
  <c r="C4" i="30"/>
  <c r="C5" i="30"/>
  <c r="D2" i="30"/>
  <c r="B26" i="30"/>
  <c r="AN26" i="30"/>
  <c r="AN28" i="30"/>
  <c r="AN34" i="30"/>
  <c r="AN45" i="30"/>
  <c r="AJ88" i="4"/>
  <c r="AJ134" i="4"/>
  <c r="AJ145" i="4"/>
  <c r="AJ170" i="4"/>
  <c r="AJ177" i="4"/>
  <c r="AG23" i="23"/>
  <c r="AG37" i="23"/>
  <c r="AG38" i="23"/>
  <c r="AH68" i="23"/>
  <c r="AH72" i="23"/>
  <c r="AH125" i="23"/>
  <c r="E36" i="30"/>
  <c r="E40" i="30"/>
  <c r="F33" i="30"/>
  <c r="F36" i="30"/>
  <c r="F40" i="30"/>
  <c r="G33" i="30"/>
  <c r="G36" i="30"/>
  <c r="G40" i="30"/>
  <c r="H33" i="30"/>
  <c r="H36" i="30"/>
  <c r="H40" i="30"/>
  <c r="I33" i="30"/>
  <c r="I36" i="30"/>
  <c r="I40" i="30"/>
  <c r="J33" i="30"/>
  <c r="J36" i="30"/>
  <c r="J40" i="30"/>
  <c r="K33" i="30"/>
  <c r="K36" i="30"/>
  <c r="K40" i="30"/>
  <c r="L33" i="30"/>
  <c r="L36" i="30"/>
  <c r="L40" i="30"/>
  <c r="M33" i="30"/>
  <c r="M36" i="30"/>
  <c r="M40" i="30"/>
  <c r="N33" i="30"/>
  <c r="N36" i="30"/>
  <c r="N40" i="30"/>
  <c r="O33" i="30"/>
  <c r="O36" i="30"/>
  <c r="O40" i="30"/>
  <c r="P33" i="30"/>
  <c r="P36" i="30"/>
  <c r="P40" i="30"/>
  <c r="Q33" i="30"/>
  <c r="Q36" i="30"/>
  <c r="Q40" i="30"/>
  <c r="R33" i="30"/>
  <c r="R36" i="30"/>
  <c r="R40" i="30"/>
  <c r="S33" i="30"/>
  <c r="S36" i="30"/>
  <c r="S40" i="30"/>
  <c r="T33" i="30"/>
  <c r="T36" i="30"/>
  <c r="T40" i="30"/>
  <c r="U33" i="30"/>
  <c r="U36" i="30"/>
  <c r="U40" i="30"/>
  <c r="V33" i="30"/>
  <c r="V36" i="30"/>
  <c r="V40" i="30"/>
  <c r="W33" i="30"/>
  <c r="W36" i="30"/>
  <c r="W40" i="30"/>
  <c r="X33" i="30"/>
  <c r="X36" i="30"/>
  <c r="X40" i="30"/>
  <c r="Y33" i="30"/>
  <c r="Y36" i="30"/>
  <c r="Y40" i="30"/>
  <c r="Z33" i="30"/>
  <c r="Z36" i="30"/>
  <c r="Z40" i="30"/>
  <c r="AA33" i="30"/>
  <c r="AA36" i="30"/>
  <c r="AA40" i="30"/>
  <c r="AB33" i="30"/>
  <c r="AB36" i="30"/>
  <c r="AB40" i="30"/>
  <c r="AC33" i="30"/>
  <c r="AC36" i="30"/>
  <c r="AC40" i="30"/>
  <c r="AD33" i="30"/>
  <c r="AD36" i="30"/>
  <c r="AD40" i="30"/>
  <c r="AE33" i="30"/>
  <c r="AE36" i="30"/>
  <c r="AE40" i="30"/>
  <c r="AF33" i="30"/>
  <c r="AF36" i="30"/>
  <c r="AF40" i="30"/>
  <c r="AG33" i="30"/>
  <c r="AG36" i="30"/>
  <c r="AG40" i="30"/>
  <c r="AH33" i="30"/>
  <c r="AH36" i="30"/>
  <c r="AH40" i="30"/>
  <c r="AI33" i="30"/>
  <c r="AI36" i="30"/>
  <c r="AI40" i="30"/>
  <c r="AJ33" i="30"/>
  <c r="AJ36" i="30"/>
  <c r="AJ40" i="30"/>
  <c r="AK33" i="30"/>
  <c r="AK36" i="30"/>
  <c r="AK40" i="30"/>
  <c r="AL33" i="30"/>
  <c r="AL36" i="30"/>
  <c r="AL40" i="30"/>
  <c r="AM33" i="30"/>
  <c r="AM36" i="30"/>
  <c r="AM40" i="30"/>
  <c r="AN33" i="30"/>
  <c r="AN36" i="30"/>
  <c r="AN40" i="30"/>
  <c r="AO33" i="30"/>
  <c r="AO36" i="30"/>
  <c r="AO40" i="30"/>
  <c r="AP33" i="30"/>
  <c r="AP36" i="30"/>
  <c r="AP40" i="30"/>
  <c r="AQ33" i="30"/>
  <c r="AQ36" i="30"/>
  <c r="AQ40" i="30"/>
  <c r="AR33" i="30"/>
  <c r="AR36" i="30"/>
  <c r="AR40" i="30"/>
  <c r="AS33" i="30"/>
  <c r="AS36" i="30"/>
  <c r="AS40" i="30"/>
  <c r="AT33" i="30"/>
  <c r="AT36" i="30"/>
  <c r="AT40" i="30"/>
  <c r="AU33" i="30"/>
  <c r="AU36" i="30"/>
  <c r="AU40" i="30"/>
  <c r="AV33" i="30"/>
  <c r="AV36" i="30"/>
  <c r="AV40" i="30"/>
  <c r="AW33" i="30"/>
  <c r="AW36" i="30"/>
  <c r="AW40" i="30"/>
  <c r="AX33" i="30"/>
  <c r="AX36" i="30"/>
  <c r="AX40" i="30"/>
  <c r="AY33" i="30"/>
  <c r="AY36" i="30"/>
  <c r="AY40" i="30"/>
  <c r="AZ33" i="30"/>
  <c r="AZ36" i="30"/>
  <c r="AZ40" i="30"/>
  <c r="BA33" i="30"/>
  <c r="BA36" i="30"/>
  <c r="BA40" i="30"/>
  <c r="BB33" i="30"/>
  <c r="BB36" i="30"/>
  <c r="BB40" i="30"/>
  <c r="BC33" i="30"/>
  <c r="BC36" i="30"/>
  <c r="BC40" i="30"/>
  <c r="BD33" i="30"/>
  <c r="BD36" i="30"/>
  <c r="BD40" i="30"/>
  <c r="BE33" i="30"/>
  <c r="BE35" i="30"/>
  <c r="BC26" i="23"/>
  <c r="BC28" i="23"/>
  <c r="BC34" i="23"/>
  <c r="BC63" i="23"/>
  <c r="BC82" i="23"/>
  <c r="BC94" i="23"/>
  <c r="AE18" i="23"/>
  <c r="AH178" i="4"/>
  <c r="AE18" i="30"/>
  <c r="J113" i="4"/>
  <c r="J123" i="4"/>
  <c r="J132" i="4"/>
  <c r="J140" i="4"/>
  <c r="J176" i="4"/>
  <c r="G19" i="30"/>
  <c r="G26" i="30"/>
  <c r="G28" i="30"/>
  <c r="G34" i="30"/>
  <c r="G53" i="30"/>
  <c r="G64" i="30"/>
  <c r="M122" i="4"/>
  <c r="O122" i="4"/>
  <c r="Q122" i="4"/>
  <c r="R122" i="4"/>
  <c r="K122" i="4"/>
  <c r="Z122" i="4"/>
  <c r="AE122" i="4"/>
  <c r="AC122" i="4"/>
  <c r="S122" i="4"/>
  <c r="U122" i="4"/>
  <c r="AD122" i="4"/>
  <c r="V122" i="4"/>
  <c r="N122" i="4"/>
  <c r="P122" i="4"/>
  <c r="T122" i="4"/>
  <c r="W122" i="4"/>
  <c r="AB122" i="4"/>
  <c r="J122" i="4"/>
  <c r="Y122" i="4"/>
  <c r="X122" i="4"/>
  <c r="I122" i="4"/>
  <c r="L122" i="4"/>
  <c r="D48" i="5"/>
  <c r="C122" i="4"/>
  <c r="AA122" i="4"/>
  <c r="AJ153" i="4"/>
  <c r="AJ155" i="4"/>
  <c r="AJ118" i="4"/>
  <c r="AJ123" i="4"/>
  <c r="AJ133" i="4"/>
  <c r="AJ144" i="4"/>
  <c r="AJ169" i="4"/>
  <c r="H113" i="4"/>
  <c r="H123" i="4"/>
  <c r="H127" i="4"/>
  <c r="E127" i="4"/>
  <c r="Y68" i="23"/>
  <c r="Y86" i="23"/>
  <c r="AX23" i="30"/>
  <c r="AX37" i="30"/>
  <c r="AX41" i="30"/>
  <c r="AX42" i="30"/>
  <c r="AX96" i="30"/>
  <c r="AX136" i="30"/>
  <c r="BN162" i="4"/>
  <c r="BN153" i="4"/>
  <c r="BN154" i="4"/>
  <c r="BN184" i="4"/>
  <c r="AW88" i="4"/>
  <c r="AW134" i="4"/>
  <c r="AW145" i="4"/>
  <c r="AW170" i="4"/>
  <c r="AW177" i="4"/>
  <c r="AT23" i="30"/>
  <c r="AT44" i="30"/>
  <c r="AT49" i="30"/>
  <c r="AT63" i="30"/>
  <c r="AT68" i="30"/>
  <c r="AT83" i="30"/>
  <c r="AT87" i="30"/>
  <c r="AT88" i="30"/>
  <c r="AT91" i="30"/>
  <c r="AT119" i="30"/>
  <c r="BR162" i="4"/>
  <c r="BE157" i="4"/>
  <c r="BF150" i="4"/>
  <c r="BF157" i="4"/>
  <c r="BG150" i="4"/>
  <c r="BG157" i="4"/>
  <c r="BH150" i="4"/>
  <c r="BH157" i="4"/>
  <c r="BI150" i="4"/>
  <c r="BI157" i="4"/>
  <c r="BJ150" i="4"/>
  <c r="BJ157" i="4"/>
  <c r="BK150" i="4"/>
  <c r="BK157" i="4"/>
  <c r="BL150" i="4"/>
  <c r="BL157" i="4"/>
  <c r="BM150" i="4"/>
  <c r="BM157" i="4"/>
  <c r="BN150" i="4"/>
  <c r="BN157" i="4"/>
  <c r="BO150" i="4"/>
  <c r="BO157" i="4"/>
  <c r="BP150" i="4"/>
  <c r="BP157" i="4"/>
  <c r="BQ150" i="4"/>
  <c r="BQ157" i="4"/>
  <c r="BR150" i="4"/>
  <c r="BR153" i="4"/>
  <c r="BR154" i="4"/>
  <c r="BR184" i="4"/>
  <c r="L153" i="4"/>
  <c r="L154" i="4"/>
  <c r="L170" i="4"/>
  <c r="L177" i="4"/>
  <c r="I23" i="23"/>
  <c r="I37" i="23"/>
  <c r="I38" i="23"/>
  <c r="V163" i="4"/>
  <c r="V153" i="4"/>
  <c r="V155" i="4"/>
  <c r="V118" i="4"/>
  <c r="V123" i="4"/>
  <c r="V133" i="4"/>
  <c r="V144" i="4"/>
  <c r="V151" i="4"/>
  <c r="V161" i="4"/>
  <c r="V185" i="4"/>
  <c r="AP169" i="4"/>
  <c r="H154" i="4"/>
  <c r="H170" i="4"/>
  <c r="H177" i="4"/>
  <c r="E23" i="30"/>
  <c r="E44" i="30"/>
  <c r="E49" i="30"/>
  <c r="E63" i="30"/>
  <c r="E68" i="30"/>
  <c r="E83" i="30"/>
  <c r="E92" i="30"/>
  <c r="BL26" i="23"/>
  <c r="BL47" i="23"/>
  <c r="BL117" i="23"/>
  <c r="BL130" i="23"/>
  <c r="X68" i="23"/>
  <c r="X86" i="23"/>
  <c r="AP88" i="4"/>
  <c r="AP134" i="4"/>
  <c r="AP145" i="4"/>
  <c r="AP170" i="4"/>
  <c r="AP177" i="4"/>
  <c r="AM23" i="23"/>
  <c r="AM37" i="23"/>
  <c r="AM38" i="23"/>
  <c r="M113" i="4"/>
  <c r="M123" i="4"/>
  <c r="M132" i="4"/>
  <c r="M140" i="4"/>
  <c r="M176" i="4"/>
  <c r="M178" i="4"/>
  <c r="BB88" i="4"/>
  <c r="BB134" i="4"/>
  <c r="BB145" i="4"/>
  <c r="BB170" i="4"/>
  <c r="BB177" i="4"/>
  <c r="AY23" i="23"/>
  <c r="AY42" i="23"/>
  <c r="AY50" i="23"/>
  <c r="AY53" i="23"/>
  <c r="AY123" i="23"/>
  <c r="AY137" i="23"/>
  <c r="M153" i="4"/>
  <c r="M154" i="4"/>
  <c r="M170" i="4"/>
  <c r="M177" i="4"/>
  <c r="J23" i="30"/>
  <c r="J37" i="30"/>
  <c r="J55" i="30"/>
  <c r="J74" i="30"/>
  <c r="W26" i="23"/>
  <c r="W28" i="23"/>
  <c r="W34" i="23"/>
  <c r="W105" i="23"/>
  <c r="W110" i="23"/>
  <c r="K153" i="4"/>
  <c r="K154" i="4"/>
  <c r="K170" i="4"/>
  <c r="K177" i="4"/>
  <c r="H23" i="23"/>
  <c r="H42" i="23"/>
  <c r="H50" i="23"/>
  <c r="H53" i="23"/>
  <c r="H123" i="23"/>
  <c r="H137" i="23"/>
  <c r="AL153" i="4"/>
  <c r="AL155" i="4"/>
  <c r="AL118" i="4"/>
  <c r="AL123" i="4"/>
  <c r="AL133" i="4"/>
  <c r="AL144" i="4"/>
  <c r="AL169" i="4"/>
  <c r="AH88" i="4"/>
  <c r="AH134" i="4"/>
  <c r="AH145" i="4"/>
  <c r="AH170" i="4"/>
  <c r="AH177" i="4"/>
  <c r="AE23" i="23"/>
  <c r="AE42" i="23"/>
  <c r="AE54" i="23"/>
  <c r="AE59" i="23"/>
  <c r="AE73" i="23"/>
  <c r="AE78" i="23"/>
  <c r="AE93" i="23"/>
  <c r="AE97" i="23"/>
  <c r="AE98" i="23"/>
  <c r="AE101" i="23"/>
  <c r="AE129" i="23"/>
  <c r="BA88" i="4"/>
  <c r="BA134" i="4"/>
  <c r="BA145" i="4"/>
  <c r="BA170" i="4"/>
  <c r="BA177" i="4"/>
  <c r="AX23" i="23"/>
  <c r="AX39" i="23"/>
  <c r="AX66" i="23"/>
  <c r="AX85" i="23"/>
  <c r="AV88" i="4"/>
  <c r="AV134" i="4"/>
  <c r="AV145" i="4"/>
  <c r="AV170" i="4"/>
  <c r="AV177" i="4"/>
  <c r="AS23" i="23"/>
  <c r="AS42" i="23"/>
  <c r="AS54" i="23"/>
  <c r="AS59" i="23"/>
  <c r="AS73" i="23"/>
  <c r="AS78" i="23"/>
  <c r="AS93" i="23"/>
  <c r="AS97" i="23"/>
  <c r="AS98" i="23"/>
  <c r="AS100" i="23"/>
  <c r="AS128" i="23"/>
  <c r="D36" i="30"/>
  <c r="D40" i="30"/>
  <c r="E33" i="30"/>
  <c r="E35" i="30"/>
  <c r="B35" i="30"/>
  <c r="AA26" i="23"/>
  <c r="AA28" i="23"/>
  <c r="AA34" i="23"/>
  <c r="AA105" i="23"/>
  <c r="AA145" i="23"/>
  <c r="AA147" i="23"/>
  <c r="C4" i="23"/>
  <c r="C5" i="23"/>
  <c r="D2" i="23"/>
  <c r="B26" i="23"/>
  <c r="AM26" i="23"/>
  <c r="AM28" i="23"/>
  <c r="AM34" i="23"/>
  <c r="AM63" i="23"/>
  <c r="AM74" i="23"/>
  <c r="U163" i="4"/>
  <c r="U113" i="4"/>
  <c r="U123" i="4"/>
  <c r="U133" i="4"/>
  <c r="U144" i="4"/>
  <c r="U151" i="4"/>
  <c r="U161" i="4"/>
  <c r="U185" i="4"/>
  <c r="AP153" i="4"/>
  <c r="AP155" i="4"/>
  <c r="AP118" i="4"/>
  <c r="AP123" i="4"/>
  <c r="AP133" i="4"/>
  <c r="AP144" i="4"/>
  <c r="AP151" i="4"/>
  <c r="AP165" i="4"/>
  <c r="BA153" i="4"/>
  <c r="BA155" i="4"/>
  <c r="BA118" i="4"/>
  <c r="BA123" i="4"/>
  <c r="BA133" i="4"/>
  <c r="BA144" i="4"/>
  <c r="BA151" i="4"/>
  <c r="BA165" i="4"/>
  <c r="F35" i="5"/>
  <c r="F38" i="5"/>
  <c r="F45" i="5"/>
  <c r="F8" i="5"/>
  <c r="F40" i="5"/>
  <c r="F9" i="5"/>
  <c r="F43" i="5"/>
  <c r="F39" i="5"/>
  <c r="F14" i="5"/>
  <c r="F41" i="5"/>
  <c r="F13" i="5"/>
  <c r="F26" i="5"/>
  <c r="F24" i="5"/>
  <c r="F12" i="5"/>
  <c r="F27" i="5"/>
  <c r="F25" i="5"/>
  <c r="F28" i="5"/>
  <c r="F46" i="5"/>
  <c r="F47" i="5"/>
  <c r="F23" i="5"/>
  <c r="O70" i="13"/>
  <c r="D11" i="13"/>
  <c r="E11" i="13"/>
  <c r="E12" i="13"/>
  <c r="E9" i="1"/>
  <c r="F29" i="5"/>
  <c r="C19" i="5"/>
  <c r="G19" i="5"/>
  <c r="E19" i="5"/>
  <c r="F19" i="5"/>
  <c r="D19" i="5"/>
  <c r="C8" i="5"/>
  <c r="D19" i="23"/>
  <c r="D27" i="23"/>
  <c r="D34" i="23"/>
  <c r="D63" i="23"/>
  <c r="D67" i="23"/>
  <c r="D71" i="23"/>
  <c r="E62" i="23"/>
  <c r="E67" i="23"/>
  <c r="E71" i="23"/>
  <c r="F62" i="23"/>
  <c r="F67" i="23"/>
  <c r="F71" i="23"/>
  <c r="G62" i="23"/>
  <c r="G67" i="23"/>
  <c r="G71" i="23"/>
  <c r="H62" i="23"/>
  <c r="H67" i="23"/>
  <c r="H71" i="23"/>
  <c r="I62" i="23"/>
  <c r="I67" i="23"/>
  <c r="I71" i="23"/>
  <c r="J62" i="23"/>
  <c r="J67" i="23"/>
  <c r="J71" i="23"/>
  <c r="K62" i="23"/>
  <c r="K67" i="23"/>
  <c r="K71" i="23"/>
  <c r="L62" i="23"/>
  <c r="L67" i="23"/>
  <c r="L71" i="23"/>
  <c r="M62" i="23"/>
  <c r="M67" i="23"/>
  <c r="M71" i="23"/>
  <c r="N62" i="23"/>
  <c r="N67" i="23"/>
  <c r="N71" i="23"/>
  <c r="O62" i="23"/>
  <c r="O67" i="23"/>
  <c r="O71" i="23"/>
  <c r="P62" i="23"/>
  <c r="P67" i="23"/>
  <c r="P71" i="23"/>
  <c r="Q62" i="23"/>
  <c r="Q67" i="23"/>
  <c r="Q71" i="23"/>
  <c r="R62" i="23"/>
  <c r="R67" i="23"/>
  <c r="R71" i="23"/>
  <c r="S62" i="23"/>
  <c r="S67" i="23"/>
  <c r="S71" i="23"/>
  <c r="T62" i="23"/>
  <c r="T67" i="23"/>
  <c r="T71" i="23"/>
  <c r="U62" i="23"/>
  <c r="U67" i="23"/>
  <c r="U71" i="23"/>
  <c r="V62" i="23"/>
  <c r="V67" i="23"/>
  <c r="V71" i="23"/>
  <c r="W62" i="23"/>
  <c r="W67" i="23"/>
  <c r="W71" i="23"/>
  <c r="X62" i="23"/>
  <c r="X67" i="23"/>
  <c r="X71" i="23"/>
  <c r="Y62" i="23"/>
  <c r="Y67" i="23"/>
  <c r="Y71" i="23"/>
  <c r="Z62" i="23"/>
  <c r="Z67" i="23"/>
  <c r="Z71" i="23"/>
  <c r="AA62" i="23"/>
  <c r="AA67" i="23"/>
  <c r="AA71" i="23"/>
  <c r="AB62" i="23"/>
  <c r="AB67" i="23"/>
  <c r="AB71" i="23"/>
  <c r="AC62" i="23"/>
  <c r="AC67" i="23"/>
  <c r="AC71" i="23"/>
  <c r="AD62" i="23"/>
  <c r="AD67" i="23"/>
  <c r="AD71" i="23"/>
  <c r="AE62" i="23"/>
  <c r="AE67" i="23"/>
  <c r="AE71" i="23"/>
  <c r="AF62" i="23"/>
  <c r="AF67" i="23"/>
  <c r="AF71" i="23"/>
  <c r="AG62" i="23"/>
  <c r="AG67" i="23"/>
  <c r="AG71" i="23"/>
  <c r="AH62" i="23"/>
  <c r="AH67" i="23"/>
  <c r="AH71" i="23"/>
  <c r="AI62" i="23"/>
  <c r="AI67" i="23"/>
  <c r="AI71" i="23"/>
  <c r="AJ62" i="23"/>
  <c r="AJ67" i="23"/>
  <c r="AJ71" i="23"/>
  <c r="AK62" i="23"/>
  <c r="AK67" i="23"/>
  <c r="AK71" i="23"/>
  <c r="AL62" i="23"/>
  <c r="AL67" i="23"/>
  <c r="AL71" i="23"/>
  <c r="AM62" i="23"/>
  <c r="AM67" i="23"/>
  <c r="AM71" i="23"/>
  <c r="AN62" i="23"/>
  <c r="AN67" i="23"/>
  <c r="AN71" i="23"/>
  <c r="AO62" i="23"/>
  <c r="AO67" i="23"/>
  <c r="AO71" i="23"/>
  <c r="AP62" i="23"/>
  <c r="AP67" i="23"/>
  <c r="AP71" i="23"/>
  <c r="AQ62" i="23"/>
  <c r="AQ67" i="23"/>
  <c r="AQ71" i="23"/>
  <c r="AR62" i="23"/>
  <c r="AR67" i="23"/>
  <c r="AR71" i="23"/>
  <c r="AS62" i="23"/>
  <c r="AS67" i="23"/>
  <c r="AS71" i="23"/>
  <c r="AT62" i="23"/>
  <c r="AT67" i="23"/>
  <c r="AT71" i="23"/>
  <c r="AU62" i="23"/>
  <c r="AU67" i="23"/>
  <c r="AU71" i="23"/>
  <c r="AV62" i="23"/>
  <c r="AV67" i="23"/>
  <c r="AV71" i="23"/>
  <c r="AW62" i="23"/>
  <c r="AW67" i="23"/>
  <c r="AW68" i="23"/>
  <c r="AW86" i="23"/>
  <c r="D72" i="30"/>
  <c r="D77" i="30"/>
  <c r="D81" i="30"/>
  <c r="E71" i="30"/>
  <c r="E77" i="30"/>
  <c r="E81" i="30"/>
  <c r="F71" i="30"/>
  <c r="F77" i="30"/>
  <c r="F81" i="30"/>
  <c r="G71" i="30"/>
  <c r="G77" i="30"/>
  <c r="G81" i="30"/>
  <c r="H71" i="30"/>
  <c r="H77" i="30"/>
  <c r="H81" i="30"/>
  <c r="I71" i="30"/>
  <c r="I77" i="30"/>
  <c r="I81" i="30"/>
  <c r="J71" i="30"/>
  <c r="J77" i="30"/>
  <c r="J81" i="30"/>
  <c r="K71" i="30"/>
  <c r="K77" i="30"/>
  <c r="K81" i="30"/>
  <c r="L71" i="30"/>
  <c r="L77" i="30"/>
  <c r="L81" i="30"/>
  <c r="M71" i="30"/>
  <c r="M77" i="30"/>
  <c r="M81" i="30"/>
  <c r="N71" i="30"/>
  <c r="N77" i="30"/>
  <c r="N81" i="30"/>
  <c r="O71" i="30"/>
  <c r="O77" i="30"/>
  <c r="O81" i="30"/>
  <c r="P71" i="30"/>
  <c r="P77" i="30"/>
  <c r="P81" i="30"/>
  <c r="Q71" i="30"/>
  <c r="Q77" i="30"/>
  <c r="Q81" i="30"/>
  <c r="R71" i="30"/>
  <c r="R77" i="30"/>
  <c r="R81" i="30"/>
  <c r="S71" i="30"/>
  <c r="S77" i="30"/>
  <c r="S81" i="30"/>
  <c r="T71" i="30"/>
  <c r="T77" i="30"/>
  <c r="T81" i="30"/>
  <c r="U71" i="30"/>
  <c r="U77" i="30"/>
  <c r="U81" i="30"/>
  <c r="V71" i="30"/>
  <c r="V77" i="30"/>
  <c r="V81" i="30"/>
  <c r="W71" i="30"/>
  <c r="W77" i="30"/>
  <c r="W81" i="30"/>
  <c r="X71" i="30"/>
  <c r="X77" i="30"/>
  <c r="X81" i="30"/>
  <c r="Y71" i="30"/>
  <c r="Y77" i="30"/>
  <c r="Y81" i="30"/>
  <c r="Z71" i="30"/>
  <c r="Z77" i="30"/>
  <c r="Z81" i="30"/>
  <c r="AA71" i="30"/>
  <c r="AA77" i="30"/>
  <c r="AA81" i="30"/>
  <c r="AB71" i="30"/>
  <c r="AB77" i="30"/>
  <c r="AB81" i="30"/>
  <c r="AC71" i="30"/>
  <c r="AC77" i="30"/>
  <c r="AC81" i="30"/>
  <c r="AD71" i="30"/>
  <c r="AD77" i="30"/>
  <c r="AD81" i="30"/>
  <c r="AE71" i="30"/>
  <c r="AE77" i="30"/>
  <c r="AE81" i="30"/>
  <c r="AF71" i="30"/>
  <c r="AF77" i="30"/>
  <c r="AF81" i="30"/>
  <c r="AG71" i="30"/>
  <c r="AG77" i="30"/>
  <c r="AG81" i="30"/>
  <c r="AH71" i="30"/>
  <c r="AH77" i="30"/>
  <c r="AH81" i="30"/>
  <c r="AI71" i="30"/>
  <c r="AI77" i="30"/>
  <c r="AI81" i="30"/>
  <c r="AJ71" i="30"/>
  <c r="AJ77" i="30"/>
  <c r="AJ81" i="30"/>
  <c r="AK71" i="30"/>
  <c r="AK77" i="30"/>
  <c r="AK81" i="30"/>
  <c r="AL71" i="30"/>
  <c r="AL77" i="30"/>
  <c r="AL81" i="30"/>
  <c r="AM71" i="30"/>
  <c r="AM77" i="30"/>
  <c r="AM81" i="30"/>
  <c r="AN71" i="30"/>
  <c r="AN77" i="30"/>
  <c r="AN81" i="30"/>
  <c r="AO71" i="30"/>
  <c r="AO77" i="30"/>
  <c r="AO81" i="30"/>
  <c r="AP71" i="30"/>
  <c r="AP77" i="30"/>
  <c r="AP81" i="30"/>
  <c r="AQ71" i="30"/>
  <c r="AQ77" i="30"/>
  <c r="AQ81" i="30"/>
  <c r="AR71" i="30"/>
  <c r="AR77" i="30"/>
  <c r="AR78" i="30"/>
  <c r="AR82" i="30"/>
  <c r="AR117" i="30"/>
  <c r="J20" i="1"/>
  <c r="AQ88" i="4"/>
  <c r="AQ134" i="4"/>
  <c r="AQ145" i="4"/>
  <c r="AQ170" i="4"/>
  <c r="AQ177" i="4"/>
  <c r="AN23" i="30"/>
  <c r="AN39" i="30"/>
  <c r="AN56" i="30"/>
  <c r="AN75" i="30"/>
  <c r="G176" i="4"/>
  <c r="D19" i="30"/>
  <c r="D26" i="30"/>
  <c r="D28" i="30"/>
  <c r="D34" i="30"/>
  <c r="D53" i="30"/>
  <c r="D57" i="30"/>
  <c r="D61" i="30"/>
  <c r="E52" i="30"/>
  <c r="E57" i="30"/>
  <c r="E61" i="30"/>
  <c r="F52" i="30"/>
  <c r="F57" i="30"/>
  <c r="F61" i="30"/>
  <c r="G52" i="30"/>
  <c r="G57" i="30"/>
  <c r="G61" i="30"/>
  <c r="H52" i="30"/>
  <c r="H57" i="30"/>
  <c r="H61" i="30"/>
  <c r="I52" i="30"/>
  <c r="I57" i="30"/>
  <c r="I61" i="30"/>
  <c r="J52" i="30"/>
  <c r="J57" i="30"/>
  <c r="J61" i="30"/>
  <c r="K52" i="30"/>
  <c r="K57" i="30"/>
  <c r="K61" i="30"/>
  <c r="L52" i="30"/>
  <c r="L57" i="30"/>
  <c r="L61" i="30"/>
  <c r="M52" i="30"/>
  <c r="M57" i="30"/>
  <c r="M61" i="30"/>
  <c r="N52" i="30"/>
  <c r="N57" i="30"/>
  <c r="N61" i="30"/>
  <c r="O52" i="30"/>
  <c r="O57" i="30"/>
  <c r="O61" i="30"/>
  <c r="P52" i="30"/>
  <c r="P57" i="30"/>
  <c r="P61" i="30"/>
  <c r="Q52" i="30"/>
  <c r="Q57" i="30"/>
  <c r="Q61" i="30"/>
  <c r="R52" i="30"/>
  <c r="R57" i="30"/>
  <c r="R61" i="30"/>
  <c r="S52" i="30"/>
  <c r="S57" i="30"/>
  <c r="S61" i="30"/>
  <c r="T52" i="30"/>
  <c r="T57" i="30"/>
  <c r="T61" i="30"/>
  <c r="U52" i="30"/>
  <c r="U57" i="30"/>
  <c r="U61" i="30"/>
  <c r="V52" i="30"/>
  <c r="V57" i="30"/>
  <c r="V61" i="30"/>
  <c r="W52" i="30"/>
  <c r="W57" i="30"/>
  <c r="W61" i="30"/>
  <c r="X52" i="30"/>
  <c r="X57" i="30"/>
  <c r="X61" i="30"/>
  <c r="Y52" i="30"/>
  <c r="Y57" i="30"/>
  <c r="Y61" i="30"/>
  <c r="Z52" i="30"/>
  <c r="Z57" i="30"/>
  <c r="Z61" i="30"/>
  <c r="AA52" i="30"/>
  <c r="AA57" i="30"/>
  <c r="AA61" i="30"/>
  <c r="AB52" i="30"/>
  <c r="AB57" i="30"/>
  <c r="AB61" i="30"/>
  <c r="AC52" i="30"/>
  <c r="AC57" i="30"/>
  <c r="AC61" i="30"/>
  <c r="AD52" i="30"/>
  <c r="AD57" i="30"/>
  <c r="AD61" i="30"/>
  <c r="AE52" i="30"/>
  <c r="AE57" i="30"/>
  <c r="AE61" i="30"/>
  <c r="AF52" i="30"/>
  <c r="AF57" i="30"/>
  <c r="AF61" i="30"/>
  <c r="AG52" i="30"/>
  <c r="AG57" i="30"/>
  <c r="AG61" i="30"/>
  <c r="AH52" i="30"/>
  <c r="AH57" i="30"/>
  <c r="AH61" i="30"/>
  <c r="AI52" i="30"/>
  <c r="AI57" i="30"/>
  <c r="AI61" i="30"/>
  <c r="AJ52" i="30"/>
  <c r="AJ57" i="30"/>
  <c r="AJ61" i="30"/>
  <c r="AK52" i="30"/>
  <c r="AK57" i="30"/>
  <c r="AK61" i="30"/>
  <c r="AL52" i="30"/>
  <c r="AL57" i="30"/>
  <c r="AL61" i="30"/>
  <c r="AM52" i="30"/>
  <c r="AM57" i="30"/>
  <c r="AM61" i="30"/>
  <c r="AN52" i="30"/>
  <c r="AN57" i="30"/>
  <c r="AN61" i="30"/>
  <c r="AO52" i="30"/>
  <c r="AO57" i="30"/>
  <c r="AO61" i="30"/>
  <c r="AP52" i="30"/>
  <c r="AP57" i="30"/>
  <c r="AP61" i="30"/>
  <c r="AQ52" i="30"/>
  <c r="AQ57" i="30"/>
  <c r="AQ61" i="30"/>
  <c r="AR52" i="30"/>
  <c r="AR57" i="30"/>
  <c r="AR61" i="30"/>
  <c r="AS52" i="30"/>
  <c r="AS57" i="30"/>
  <c r="AS61" i="30"/>
  <c r="AT52" i="30"/>
  <c r="AT57" i="30"/>
  <c r="AT61" i="30"/>
  <c r="AU52" i="30"/>
  <c r="AU57" i="30"/>
  <c r="AU61" i="30"/>
  <c r="AV52" i="30"/>
  <c r="AV57" i="30"/>
  <c r="AV61" i="30"/>
  <c r="AW52" i="30"/>
  <c r="AW57" i="30"/>
  <c r="AW61" i="30"/>
  <c r="AX52" i="30"/>
  <c r="AX57" i="30"/>
  <c r="AX61" i="30"/>
  <c r="AY52" i="30"/>
  <c r="AY57" i="30"/>
  <c r="AY61" i="30"/>
  <c r="AZ52" i="30"/>
  <c r="AZ57" i="30"/>
  <c r="AZ58" i="30"/>
  <c r="AZ62" i="30"/>
  <c r="AZ115" i="30"/>
  <c r="H153" i="4"/>
  <c r="H155" i="4"/>
  <c r="H118" i="4"/>
  <c r="E118" i="4"/>
  <c r="D42" i="5"/>
  <c r="D37" i="5"/>
  <c r="D49" i="5"/>
  <c r="D51" i="5"/>
  <c r="D16" i="5"/>
  <c r="D17" i="5"/>
  <c r="C140" i="4"/>
  <c r="G140" i="4"/>
  <c r="G144" i="4"/>
  <c r="G151" i="4"/>
  <c r="G157" i="4"/>
  <c r="H150" i="4"/>
  <c r="H157" i="4"/>
  <c r="I150" i="4"/>
  <c r="I157" i="4"/>
  <c r="J150" i="4"/>
  <c r="J157" i="4"/>
  <c r="K150" i="4"/>
  <c r="K157" i="4"/>
  <c r="L150" i="4"/>
  <c r="L157" i="4"/>
  <c r="M150" i="4"/>
  <c r="M157" i="4"/>
  <c r="N150" i="4"/>
  <c r="N157" i="4"/>
  <c r="O150" i="4"/>
  <c r="O157" i="4"/>
  <c r="P150" i="4"/>
  <c r="P157" i="4"/>
  <c r="Q150" i="4"/>
  <c r="Q157" i="4"/>
  <c r="R150" i="4"/>
  <c r="R157" i="4"/>
  <c r="S150" i="4"/>
  <c r="S157" i="4"/>
  <c r="T150" i="4"/>
  <c r="T157" i="4"/>
  <c r="U150" i="4"/>
  <c r="U157" i="4"/>
  <c r="V150" i="4"/>
  <c r="V157" i="4"/>
  <c r="W150" i="4"/>
  <c r="W157" i="4"/>
  <c r="X150" i="4"/>
  <c r="X157" i="4"/>
  <c r="Y150" i="4"/>
  <c r="Y157" i="4"/>
  <c r="Z150" i="4"/>
  <c r="Z157" i="4"/>
  <c r="AA150" i="4"/>
  <c r="AA157" i="4"/>
  <c r="AB150" i="4"/>
  <c r="AB157" i="4"/>
  <c r="AC150" i="4"/>
  <c r="AC157" i="4"/>
  <c r="AD150" i="4"/>
  <c r="AD157" i="4"/>
  <c r="AE150" i="4"/>
  <c r="AE157" i="4"/>
  <c r="AF150" i="4"/>
  <c r="AF157" i="4"/>
  <c r="AG150" i="4"/>
  <c r="AG157" i="4"/>
  <c r="AH150" i="4"/>
  <c r="AH157" i="4"/>
  <c r="AI150" i="4"/>
  <c r="AI157" i="4"/>
  <c r="AJ150" i="4"/>
  <c r="AJ157" i="4"/>
  <c r="AK150" i="4"/>
  <c r="AK157" i="4"/>
  <c r="AL150" i="4"/>
  <c r="AL157" i="4"/>
  <c r="AM150" i="4"/>
  <c r="AM157" i="4"/>
  <c r="AN150" i="4"/>
  <c r="AN157" i="4"/>
  <c r="AO150" i="4"/>
  <c r="AO157" i="4"/>
  <c r="AP150" i="4"/>
  <c r="AP157" i="4"/>
  <c r="AQ150" i="4"/>
  <c r="AQ157" i="4"/>
  <c r="AR150" i="4"/>
  <c r="AR157" i="4"/>
  <c r="AS150" i="4"/>
  <c r="AS157" i="4"/>
  <c r="AT150" i="4"/>
  <c r="AT157" i="4"/>
  <c r="AU150" i="4"/>
  <c r="AU157" i="4"/>
  <c r="AV150" i="4"/>
  <c r="AV157" i="4"/>
  <c r="AW150" i="4"/>
  <c r="AW157" i="4"/>
  <c r="AX150" i="4"/>
  <c r="AX157" i="4"/>
  <c r="AY150" i="4"/>
  <c r="AY157" i="4"/>
  <c r="AZ150" i="4"/>
  <c r="AZ157" i="4"/>
  <c r="BA150" i="4"/>
  <c r="BA157" i="4"/>
  <c r="BB150" i="4"/>
  <c r="BB157" i="4"/>
  <c r="BC150" i="4"/>
  <c r="BC157" i="4"/>
  <c r="BD150" i="4"/>
  <c r="BD157" i="4"/>
  <c r="BE150" i="4"/>
  <c r="BE153" i="4"/>
  <c r="BE154" i="4"/>
  <c r="BE170" i="4"/>
  <c r="BE177" i="4"/>
  <c r="BB23" i="23"/>
  <c r="BB42" i="23"/>
  <c r="BB54" i="23"/>
  <c r="BB59" i="23"/>
  <c r="BB73" i="23"/>
  <c r="BB78" i="23"/>
  <c r="BB93" i="23"/>
  <c r="BB97" i="23"/>
  <c r="BB98" i="23"/>
  <c r="BB100" i="23"/>
  <c r="BB128"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casper koretke</author>
  </authors>
  <commentList>
    <comment ref="F122" authorId="0" shapeId="0" xr:uid="{2EEB37F2-5DE0-4883-8CA0-44E7401F15AA}">
      <text>
        <r>
          <rPr>
            <b/>
            <sz val="9"/>
            <color indexed="81"/>
            <rFont val="Tahoma"/>
            <family val="2"/>
          </rPr>
          <t>casper koretke:</t>
        </r>
        <r>
          <rPr>
            <sz val="9"/>
            <color indexed="81"/>
            <rFont val="Tahoma"/>
            <family val="2"/>
          </rPr>
          <t xml:space="preserve">
Material cost + tax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<sst xmlns="http://schemas.openxmlformats.org/spreadsheetml/2006/main" count="1815" uniqueCount="1028">
  <si>
    <t>Analysis Start Date</t>
  </si>
  <si>
    <t>Construction Assumptions</t>
  </si>
  <si>
    <t>Duration</t>
  </si>
  <si>
    <t>Storage SF</t>
  </si>
  <si>
    <t>1st Floor SF</t>
  </si>
  <si>
    <t>2nd Floor SF</t>
  </si>
  <si>
    <t>General Assumptions</t>
  </si>
  <si>
    <t>Project Name</t>
  </si>
  <si>
    <t>Project Address</t>
  </si>
  <si>
    <t>Start Date</t>
  </si>
  <si>
    <t>Completion Date</t>
  </si>
  <si>
    <t>Phase I</t>
  </si>
  <si>
    <t>Net Rentable SF</t>
  </si>
  <si>
    <t>Avg. SF/Unit</t>
  </si>
  <si>
    <t># Units</t>
  </si>
  <si>
    <t>Phase II</t>
  </si>
  <si>
    <t>Net Rentable SF (Storage)</t>
  </si>
  <si>
    <t>Storage</t>
  </si>
  <si>
    <t>Lease-up Month</t>
  </si>
  <si>
    <t>Revenue Assumptions</t>
  </si>
  <si>
    <t>Rental Rate Increases</t>
  </si>
  <si>
    <t>Rental Income</t>
  </si>
  <si>
    <t>Property Insurance*</t>
  </si>
  <si>
    <t>Total Expenses</t>
  </si>
  <si>
    <t>Net Operating Income</t>
  </si>
  <si>
    <t>INCOME</t>
  </si>
  <si>
    <t>SQUARE FEET</t>
  </si>
  <si>
    <t>Revenue Forecast</t>
  </si>
  <si>
    <t>Occupancy Percentage</t>
  </si>
  <si>
    <t>TOTAL RENTAL INCOME</t>
  </si>
  <si>
    <t>Real Estate Taxes</t>
  </si>
  <si>
    <t>Total Operating Expenses</t>
  </si>
  <si>
    <t>Sale Proceeds</t>
  </si>
  <si>
    <t>Less: Cost of Sale</t>
  </si>
  <si>
    <t>Net Sale Proceeds</t>
  </si>
  <si>
    <t>Project Draw Schedule</t>
  </si>
  <si>
    <t>Acquisition Price</t>
  </si>
  <si>
    <t>Closing Costs</t>
  </si>
  <si>
    <t>Hard Costs - Phase I</t>
  </si>
  <si>
    <t>Hard Cost - Phase II</t>
  </si>
  <si>
    <t>Soft Costs</t>
  </si>
  <si>
    <t>Interest Carry - Construction Loan</t>
  </si>
  <si>
    <t>Operating Carry</t>
  </si>
  <si>
    <t>AuM Fee</t>
  </si>
  <si>
    <t>Contingency</t>
  </si>
  <si>
    <t>Total Capital Costs</t>
  </si>
  <si>
    <t>Cumulative Total</t>
  </si>
  <si>
    <t>UNLEVERED CASH FLOWS</t>
  </si>
  <si>
    <t>Cash Investment</t>
  </si>
  <si>
    <t>Cash Flow</t>
  </si>
  <si>
    <t>Unlevered IRR</t>
  </si>
  <si>
    <t>Multiple</t>
  </si>
  <si>
    <t>LEVERAGE CASH FLOW FOR WATERFALL</t>
  </si>
  <si>
    <t>1) Equity</t>
  </si>
  <si>
    <t>Equity Beginning Balance</t>
  </si>
  <si>
    <t>Advances</t>
  </si>
  <si>
    <t>Equity Ending Balance</t>
  </si>
  <si>
    <t>Cash Flow After Equity</t>
  </si>
  <si>
    <t>Const. Loan Beginning Balance</t>
  </si>
  <si>
    <t>Loan Advances</t>
  </si>
  <si>
    <t>Interest Due - Interest Rate</t>
  </si>
  <si>
    <t>Interest Due</t>
  </si>
  <si>
    <t>Current Interest - Paid from Cash Flow</t>
  </si>
  <si>
    <t>Current Interest - Paid Thru Interest Reserve</t>
  </si>
  <si>
    <t>Loan Repayment - Capital Event</t>
  </si>
  <si>
    <t>Const. Loan Ending Balance</t>
  </si>
  <si>
    <t>Construction Lender Cash Flow</t>
  </si>
  <si>
    <t>Proceeds</t>
  </si>
  <si>
    <t>Net Cash Flow</t>
  </si>
  <si>
    <t>Construction Check</t>
  </si>
  <si>
    <t>Total Return to Construction Lender:</t>
  </si>
  <si>
    <t>Cash Flow After Senior Construction Loan</t>
  </si>
  <si>
    <t>4) Project Cash Flow (Levered)</t>
  </si>
  <si>
    <t>Equity Advances</t>
  </si>
  <si>
    <t>Total Cash Flow</t>
  </si>
  <si>
    <t>Math Check (Total Interest Paid)</t>
  </si>
  <si>
    <t>Total Interest Paid plus Total Profit (Should equal Unlevered Total Profit Below)</t>
  </si>
  <si>
    <t>5) Project Level Returns (Unlevered)</t>
  </si>
  <si>
    <t>Phase I - Climate Controlled SS</t>
  </si>
  <si>
    <t>Phase II - Climate Controlled SS</t>
  </si>
  <si>
    <t>RETAIL/OFFICE INCOME</t>
  </si>
  <si>
    <t>UNIT LEASE UP</t>
  </si>
  <si>
    <t>1st Floor Retail SF Leased</t>
  </si>
  <si>
    <t>1st Floor $/SF</t>
  </si>
  <si>
    <t>1st Floor Retail</t>
  </si>
  <si>
    <t>2nd Floor Retail/Office</t>
  </si>
  <si>
    <t>Lease Rate</t>
  </si>
  <si>
    <t>Leasing Commissions</t>
  </si>
  <si>
    <t>Commercial</t>
  </si>
  <si>
    <t>2nd Floor $/SF</t>
  </si>
  <si>
    <t>2nd Floor SF Leased</t>
  </si>
  <si>
    <t>Total Gross Rental Income (Commercial)</t>
  </si>
  <si>
    <t>Vacancy Allowance (Commerial</t>
  </si>
  <si>
    <t>Vacancy Allowance (Self Storage)</t>
  </si>
  <si>
    <t>Vacancy Allowance (Commercial)</t>
  </si>
  <si>
    <t>Project City</t>
  </si>
  <si>
    <t>Bahlmann Group SS Model</t>
  </si>
  <si>
    <t>Global Inflation Rate</t>
  </si>
  <si>
    <t>1st Floor (NNN) CAM Income</t>
  </si>
  <si>
    <t>2nd Floor (NNN) CAM Income</t>
  </si>
  <si>
    <t>Capital/Exit Event</t>
  </si>
  <si>
    <t>Exit Cap Rate</t>
  </si>
  <si>
    <t>Hold Period (Months)</t>
  </si>
  <si>
    <t>Reversion Date</t>
  </si>
  <si>
    <t>Less: Project Cost</t>
  </si>
  <si>
    <t>Deal Level Profit (Excl. Cash Flow)</t>
  </si>
  <si>
    <t>Return on Cost</t>
  </si>
  <si>
    <t>Construction Financing</t>
  </si>
  <si>
    <t>Construction Loan</t>
  </si>
  <si>
    <t>Loan Proceeds</t>
  </si>
  <si>
    <t>I/O Period</t>
  </si>
  <si>
    <t>Amortization</t>
  </si>
  <si>
    <t>Stabilized Value</t>
  </si>
  <si>
    <t>Loan-to-Stabilized Value</t>
  </si>
  <si>
    <t>Reversion Month</t>
  </si>
  <si>
    <t>Commercial Lease-up Assumptions</t>
  </si>
  <si>
    <t>Unit Mix &amp; Leasing</t>
  </si>
  <si>
    <t>SOURCES AND USES OF FUNDS</t>
  </si>
  <si>
    <t>Math Check</t>
  </si>
  <si>
    <t>SOURCES OF FUNDS</t>
  </si>
  <si>
    <t>Dollars</t>
  </si>
  <si>
    <t>Per Unit</t>
  </si>
  <si>
    <t>Equity</t>
  </si>
  <si>
    <t>Sources</t>
  </si>
  <si>
    <t>%</t>
  </si>
  <si>
    <t>Senior Loan</t>
  </si>
  <si>
    <t>Total Equity</t>
  </si>
  <si>
    <t xml:space="preserve">Total Debt Financing </t>
  </si>
  <si>
    <t>Total</t>
  </si>
  <si>
    <t>Capital Groups - Monthly Pro Forma</t>
  </si>
  <si>
    <t>USES OF FUNDS</t>
  </si>
  <si>
    <t>Uses</t>
  </si>
  <si>
    <t>Interest Carry Contingency</t>
  </si>
  <si>
    <t>Phase I Construction Budget</t>
  </si>
  <si>
    <t>Phase II Construction Budget</t>
  </si>
  <si>
    <t>Legal</t>
  </si>
  <si>
    <t>Title Insurance</t>
  </si>
  <si>
    <t xml:space="preserve">Working Capital </t>
  </si>
  <si>
    <t>Misc DD and Closing Items</t>
  </si>
  <si>
    <t>Working Capital</t>
  </si>
  <si>
    <t>Financing Origination Fees</t>
  </si>
  <si>
    <t>Operating Expense Carry</t>
  </si>
  <si>
    <t>OpEx Carry</t>
  </si>
  <si>
    <t>Development Costs</t>
  </si>
  <si>
    <t xml:space="preserve">Total </t>
  </si>
  <si>
    <t>Developer Fees - Deferred Portion</t>
  </si>
  <si>
    <t>Closing Cost Items</t>
  </si>
  <si>
    <t>Appraisal Update</t>
  </si>
  <si>
    <t>Environmental</t>
  </si>
  <si>
    <t>Cost Seg Study</t>
  </si>
  <si>
    <t>Inspection</t>
  </si>
  <si>
    <t>Recording Fees &amp; Misc</t>
  </si>
  <si>
    <t>Deal Sourcing (Paid from Reversion)</t>
  </si>
  <si>
    <t>Soft Cost Items</t>
  </si>
  <si>
    <t>Deferred Developer Fee</t>
  </si>
  <si>
    <t>Per NRSF</t>
  </si>
  <si>
    <t xml:space="preserve">Total Leasing Costs </t>
  </si>
  <si>
    <t>NRSF</t>
  </si>
  <si>
    <t>Total project Sf</t>
  </si>
  <si>
    <t>Price/Sf</t>
  </si>
  <si>
    <t>Job Name</t>
  </si>
  <si>
    <t xml:space="preserve">Estimate Prepared by - </t>
  </si>
  <si>
    <t>CB</t>
  </si>
  <si>
    <t>Job Location</t>
  </si>
  <si>
    <t xml:space="preserve">Estimate Reviewed by - </t>
  </si>
  <si>
    <t>JB</t>
  </si>
  <si>
    <t>Date</t>
  </si>
  <si>
    <t>DESCRIPTION</t>
  </si>
  <si>
    <t>Contractor</t>
  </si>
  <si>
    <t>Unit of Measure</t>
  </si>
  <si>
    <t>QUANTITY</t>
  </si>
  <si>
    <t>Cost/Per</t>
  </si>
  <si>
    <t xml:space="preserve"> AMOUNT</t>
  </si>
  <si>
    <t>Total Budget</t>
  </si>
  <si>
    <t>SF Price</t>
  </si>
  <si>
    <t>Notes</t>
  </si>
  <si>
    <t>Div 0</t>
  </si>
  <si>
    <t>Div 2</t>
  </si>
  <si>
    <t>Site Work</t>
  </si>
  <si>
    <t xml:space="preserve">Landscaping </t>
  </si>
  <si>
    <t>Irrigation</t>
  </si>
  <si>
    <t xml:space="preserve">Bollards </t>
  </si>
  <si>
    <t>pc</t>
  </si>
  <si>
    <t>Excavation and concrete prep</t>
  </si>
  <si>
    <t>Dumpster enclosoure</t>
  </si>
  <si>
    <t>Demolition</t>
  </si>
  <si>
    <t>In sitework number</t>
  </si>
  <si>
    <t>Div 3</t>
  </si>
  <si>
    <t>Concrete</t>
  </si>
  <si>
    <t>Site concrete</t>
  </si>
  <si>
    <t>Concrete foundation</t>
  </si>
  <si>
    <t>Div 4</t>
  </si>
  <si>
    <t>Masonry</t>
  </si>
  <si>
    <t xml:space="preserve">New Masonry </t>
  </si>
  <si>
    <t>Div 5</t>
  </si>
  <si>
    <t>Misc Metals</t>
  </si>
  <si>
    <t xml:space="preserve">Insulted panels and siding </t>
  </si>
  <si>
    <t>Structural Steel</t>
  </si>
  <si>
    <t>Framing</t>
  </si>
  <si>
    <t>Div 6</t>
  </si>
  <si>
    <t>Rough Carpentry</t>
  </si>
  <si>
    <t>Millwork</t>
  </si>
  <si>
    <t>Allowance</t>
  </si>
  <si>
    <t>Div 7</t>
  </si>
  <si>
    <t>Moisture and Damproofing</t>
  </si>
  <si>
    <t>Roofing</t>
  </si>
  <si>
    <t>New roof</t>
  </si>
  <si>
    <t>Insulation</t>
  </si>
  <si>
    <t>Spray foam</t>
  </si>
  <si>
    <t>Air and Vapor Barrier</t>
  </si>
  <si>
    <t>Joint Sealants</t>
  </si>
  <si>
    <t>Applied Fireproofing</t>
  </si>
  <si>
    <t>Div 8</t>
  </si>
  <si>
    <t>Doors, Frames, Hardware</t>
  </si>
  <si>
    <t>Sliding door</t>
  </si>
  <si>
    <t>Interior doors</t>
  </si>
  <si>
    <t>Overhead Doors</t>
  </si>
  <si>
    <t>Glass and Glazing</t>
  </si>
  <si>
    <t>New windows as per design</t>
  </si>
  <si>
    <t>Div 9</t>
  </si>
  <si>
    <t>Drywall/Framing/Insulation</t>
  </si>
  <si>
    <t>Metal stud and drywall</t>
  </si>
  <si>
    <t>Acoustical Cilings</t>
  </si>
  <si>
    <t>Office</t>
  </si>
  <si>
    <t>Flooring</t>
  </si>
  <si>
    <t>lvl</t>
  </si>
  <si>
    <t>Painting and Coatings</t>
  </si>
  <si>
    <t>Div 10</t>
  </si>
  <si>
    <t>Misc Specialties</t>
  </si>
  <si>
    <t>Div 11</t>
  </si>
  <si>
    <t>Appliances</t>
  </si>
  <si>
    <t>Div 12</t>
  </si>
  <si>
    <t>Signage</t>
  </si>
  <si>
    <t>Window Treatments</t>
  </si>
  <si>
    <t>Window Film</t>
  </si>
  <si>
    <t>Div 14</t>
  </si>
  <si>
    <t>Conveying Systems</t>
  </si>
  <si>
    <t>Div 21</t>
  </si>
  <si>
    <t>Fire Protection</t>
  </si>
  <si>
    <t>New</t>
  </si>
  <si>
    <t>Div 22</t>
  </si>
  <si>
    <t>Plumbing</t>
  </si>
  <si>
    <t>Div 23</t>
  </si>
  <si>
    <t>HVAC</t>
  </si>
  <si>
    <t>Install new HVAC system</t>
  </si>
  <si>
    <t>Div 26</t>
  </si>
  <si>
    <t>Electrical</t>
  </si>
  <si>
    <t>New system</t>
  </si>
  <si>
    <t>Div 27</t>
  </si>
  <si>
    <t>Tel/Data/Security/Low Voltage</t>
  </si>
  <si>
    <t>Camera and entry system</t>
  </si>
  <si>
    <t>Misc</t>
  </si>
  <si>
    <t>Construction Total Cost</t>
  </si>
  <si>
    <t>Site Services</t>
  </si>
  <si>
    <t>Safety/Signage</t>
  </si>
  <si>
    <t>LS</t>
  </si>
  <si>
    <t>Temp Fence</t>
  </si>
  <si>
    <t>Conex</t>
  </si>
  <si>
    <t>MO</t>
  </si>
  <si>
    <t>Porta Johns</t>
  </si>
  <si>
    <t>MO/EA</t>
  </si>
  <si>
    <t>In Storage Budget</t>
  </si>
  <si>
    <t>Surveying and Layout</t>
  </si>
  <si>
    <t>Testing and Inspections</t>
  </si>
  <si>
    <t xml:space="preserve">Allowance </t>
  </si>
  <si>
    <t xml:space="preserve">Laborers </t>
  </si>
  <si>
    <t>HR</t>
  </si>
  <si>
    <t>Final Cleaning</t>
  </si>
  <si>
    <t>Temp Utilities</t>
  </si>
  <si>
    <t>Temp Trailer</t>
  </si>
  <si>
    <t>Trailer Supplies</t>
  </si>
  <si>
    <t>Small Tools</t>
  </si>
  <si>
    <t>Equipment Rentals</t>
  </si>
  <si>
    <t>Subs to provide</t>
  </si>
  <si>
    <t>Scaffolding</t>
  </si>
  <si>
    <t>Dumpsters</t>
  </si>
  <si>
    <t>EA</t>
  </si>
  <si>
    <t>Technology</t>
  </si>
  <si>
    <t>Traffic Control</t>
  </si>
  <si>
    <t>Temp Construction</t>
  </si>
  <si>
    <t>Lift</t>
  </si>
  <si>
    <t>Rigger</t>
  </si>
  <si>
    <t>Permit</t>
  </si>
  <si>
    <t xml:space="preserve"> General Conditions </t>
  </si>
  <si>
    <t>Legal and Professional Fees</t>
  </si>
  <si>
    <t>Business Development</t>
  </si>
  <si>
    <t>Design (A&amp;E)</t>
  </si>
  <si>
    <t>Pre-Con Services</t>
  </si>
  <si>
    <t>Plans and Specs</t>
  </si>
  <si>
    <t>Travel Expense/Airfare</t>
  </si>
  <si>
    <t>Principal</t>
  </si>
  <si>
    <t>WK</t>
  </si>
  <si>
    <t>In fee</t>
  </si>
  <si>
    <t>Project Executive</t>
  </si>
  <si>
    <t>Project Manager</t>
  </si>
  <si>
    <t>Project Superintendent</t>
  </si>
  <si>
    <t>Majority attributed to Storage budget</t>
  </si>
  <si>
    <t>Project Engineer</t>
  </si>
  <si>
    <t>Accounting</t>
  </si>
  <si>
    <t>Estimating</t>
  </si>
  <si>
    <t>Field Support</t>
  </si>
  <si>
    <t>Quality</t>
  </si>
  <si>
    <t>Scheduling</t>
  </si>
  <si>
    <t>Owners rep</t>
  </si>
  <si>
    <t>Total Project Cost</t>
  </si>
  <si>
    <t>Payment and Performance Bond</t>
  </si>
  <si>
    <t>Insurance G/L</t>
  </si>
  <si>
    <t>Rate</t>
  </si>
  <si>
    <t>Builders Risk</t>
  </si>
  <si>
    <t>Total Building Expense W/O fee</t>
  </si>
  <si>
    <t>OH &amp; Profit</t>
  </si>
  <si>
    <t>Total Building Expense W/ fee</t>
  </si>
  <si>
    <t>Total cost with contingency</t>
  </si>
  <si>
    <t>Total Cost with Leasing Expenses</t>
  </si>
  <si>
    <t>Fencing + Gates</t>
  </si>
  <si>
    <t xml:space="preserve">Paving and striping </t>
  </si>
  <si>
    <t xml:space="preserve">Excavation </t>
  </si>
  <si>
    <t>Interior</t>
  </si>
  <si>
    <t>Façade repair</t>
  </si>
  <si>
    <t>sf</t>
  </si>
  <si>
    <t>Infill for windows</t>
  </si>
  <si>
    <t>Insulted panels</t>
  </si>
  <si>
    <t>Canopy</t>
  </si>
  <si>
    <t>Bathrooms</t>
  </si>
  <si>
    <t>Blue Skin behind metal panels</t>
  </si>
  <si>
    <t xml:space="preserve">Epoxy </t>
  </si>
  <si>
    <t xml:space="preserve">Ceiling </t>
  </si>
  <si>
    <t>Storage Units</t>
  </si>
  <si>
    <t>Directional and unit</t>
  </si>
  <si>
    <t>Pedistal</t>
  </si>
  <si>
    <t>On building</t>
  </si>
  <si>
    <t>New 4500lbs</t>
  </si>
  <si>
    <t>Site work</t>
  </si>
  <si>
    <t>Rework of existing</t>
  </si>
  <si>
    <t>Cut and cap</t>
  </si>
  <si>
    <t>Lighting</t>
  </si>
  <si>
    <t>Modification to panel</t>
  </si>
  <si>
    <t>Power to MEP</t>
  </si>
  <si>
    <t xml:space="preserve">Firealarm </t>
  </si>
  <si>
    <t>Handrails</t>
  </si>
  <si>
    <t>Office set up in building</t>
  </si>
  <si>
    <t>Dumpsters for demolition in demo price</t>
  </si>
  <si>
    <t>Total Unit Count</t>
  </si>
  <si>
    <t>Refinance for Lease-Up</t>
  </si>
  <si>
    <t>Int. Rate Override</t>
  </si>
  <si>
    <t>Refinance Date</t>
  </si>
  <si>
    <t>Index</t>
  </si>
  <si>
    <t>Spread</t>
  </si>
  <si>
    <t>Un-Levered Deal Level Returns</t>
  </si>
  <si>
    <t>Deal IRR</t>
  </si>
  <si>
    <t>Deal Profit</t>
  </si>
  <si>
    <t>Deal Multiple</t>
  </si>
  <si>
    <t>Levered Returns</t>
  </si>
  <si>
    <t>Levered IRR</t>
  </si>
  <si>
    <t>Profit</t>
  </si>
  <si>
    <t>Yield on Cost</t>
  </si>
  <si>
    <t>Monthly Pro Forma CF Inputs</t>
  </si>
  <si>
    <t>Working Capital Duration</t>
  </si>
  <si>
    <t>Interest Reserve Contingency Duration</t>
  </si>
  <si>
    <t>Contingency Duration</t>
  </si>
  <si>
    <t>XIRR Calc</t>
  </si>
  <si>
    <t>Monthly IRR</t>
  </si>
  <si>
    <t>Total Profit</t>
  </si>
  <si>
    <t>$/Unit</t>
  </si>
  <si>
    <t>AUM Fee</t>
  </si>
  <si>
    <t>Annual CAMS</t>
  </si>
  <si>
    <t>Other Third Parties</t>
  </si>
  <si>
    <t>Going in Cost</t>
  </si>
  <si>
    <t>$ Total</t>
  </si>
  <si>
    <t>PRO FORMA</t>
  </si>
  <si>
    <t>Square Feet</t>
  </si>
  <si>
    <t>U/W Avg. Ann. Square Feet Leased</t>
  </si>
  <si>
    <t>U/W Year-End Square Feet Leased</t>
  </si>
  <si>
    <t>Occupancy</t>
  </si>
  <si>
    <t>U/W Avg. Ann. Occupancy</t>
  </si>
  <si>
    <t>U/W Year-End Occupancy</t>
  </si>
  <si>
    <t>Rent</t>
  </si>
  <si>
    <t>U/W Annual Rent/ Square Foot/ Month</t>
  </si>
  <si>
    <t>Total Storage Rental Income</t>
  </si>
  <si>
    <t>Other Income</t>
  </si>
  <si>
    <t>Total Other Income</t>
  </si>
  <si>
    <t>Effective Gross Income</t>
  </si>
  <si>
    <t>Less: Operating Expenses</t>
  </si>
  <si>
    <t>Operating Expenses</t>
  </si>
  <si>
    <t>Plus: Reversion</t>
  </si>
  <si>
    <t>Cost of Sale</t>
  </si>
  <si>
    <t>Totals</t>
  </si>
  <si>
    <t>Deferred Fees</t>
  </si>
  <si>
    <t>Building SF</t>
  </si>
  <si>
    <t>Common Area</t>
  </si>
  <si>
    <t>Total Rental Income</t>
  </si>
  <si>
    <t>Defer Fee Timing to Exit Event?</t>
  </si>
  <si>
    <t>Stabilization Month</t>
  </si>
  <si>
    <t>Stabilized NOI (annualized)</t>
  </si>
  <si>
    <t>Exit Value</t>
  </si>
  <si>
    <t>$/SF</t>
  </si>
  <si>
    <t>Self Storage</t>
  </si>
  <si>
    <t>Boston Seaport Self Storage</t>
  </si>
  <si>
    <t>Prime Storage</t>
  </si>
  <si>
    <t>Cubesmart</t>
  </si>
  <si>
    <t>Life Storage</t>
  </si>
  <si>
    <t>Name</t>
  </si>
  <si>
    <t>Address</t>
  </si>
  <si>
    <t>Extra Space Storage</t>
  </si>
  <si>
    <t>Sale Price</t>
  </si>
  <si>
    <t>Sale Year</t>
  </si>
  <si>
    <t>$/NRSF</t>
  </si>
  <si>
    <t>High value attributed to location</t>
  </si>
  <si>
    <t>Mixed use with office</t>
  </si>
  <si>
    <t>Min:</t>
  </si>
  <si>
    <t>Average:</t>
  </si>
  <si>
    <t>Max:</t>
  </si>
  <si>
    <t>Storage Rental Income (Post Discounts &amp; Write-Offs)</t>
  </si>
  <si>
    <t>Building Breakdown</t>
  </si>
  <si>
    <t>Existing Building</t>
  </si>
  <si>
    <t>New Ground Up Building</t>
  </si>
  <si>
    <t>Self Storage Units</t>
  </si>
  <si>
    <t>Self -Storage Office</t>
  </si>
  <si>
    <t>Ground Floor Retail</t>
  </si>
  <si>
    <t>Second Floor Office</t>
  </si>
  <si>
    <t>Building Gross Square Feet</t>
  </si>
  <si>
    <t>Building Rentable Square Feet</t>
  </si>
  <si>
    <t>Efficiency</t>
  </si>
  <si>
    <t>Ratio of Units in New vs. Existing</t>
  </si>
  <si>
    <t>Total Project</t>
  </si>
  <si>
    <t>Self-Storage Unit Breakdown</t>
  </si>
  <si>
    <t>Per GSF</t>
  </si>
  <si>
    <t>Developer Overhead</t>
  </si>
  <si>
    <t>Total Self Storage Units</t>
  </si>
  <si>
    <t>Leased SS Units at Stabilization</t>
  </si>
  <si>
    <t>Leased SS Occupancy Percentage</t>
  </si>
  <si>
    <t>Retail Space Square Footage</t>
  </si>
  <si>
    <t>Office Space Square Footage</t>
  </si>
  <si>
    <t>SELF-STORAGE INCOME</t>
  </si>
  <si>
    <t>LESS: SELF-STORAGE EXPENSES</t>
  </si>
  <si>
    <t>Total Self-Storage Income</t>
  </si>
  <si>
    <t>Total Reimbursement Income</t>
  </si>
  <si>
    <t>Retail - First Floor Space</t>
  </si>
  <si>
    <t>Office - Second Floor Space</t>
  </si>
  <si>
    <t>LESS: COMMERCIAL EXPENSES</t>
  </si>
  <si>
    <t xml:space="preserve">    Retail - Floor 1 Expenses</t>
  </si>
  <si>
    <t xml:space="preserve">    Office - Floor 2 Expenses</t>
  </si>
  <si>
    <t>NET OPERATING INCOME - COMMERCIAL SPACE</t>
  </si>
  <si>
    <t>NET OPERATING INCOME - SELF-STORAGE UNITS</t>
  </si>
  <si>
    <t>NET OPERATING INCOME - ENTIRE PROPERTY</t>
  </si>
  <si>
    <t>ECONOMIC VALUATION</t>
  </si>
  <si>
    <t>Gross Sale Proceeds</t>
  </si>
  <si>
    <t>Commercial Space Leased</t>
  </si>
  <si>
    <t>TOTAL PROPERTY RENTABLE SQUARE FEET</t>
  </si>
  <si>
    <t>PROJECT COST</t>
  </si>
  <si>
    <t>PROFIT</t>
  </si>
  <si>
    <t>UNTRENDED PRO FORMA OPERATING STATEMENT</t>
  </si>
  <si>
    <t>Monthly</t>
  </si>
  <si>
    <t>Annual $$</t>
  </si>
  <si>
    <t>Monthly $$</t>
  </si>
  <si>
    <t>$$ /SF</t>
  </si>
  <si>
    <t>Operator</t>
  </si>
  <si>
    <t>Land value</t>
  </si>
  <si>
    <t>Building value</t>
  </si>
  <si>
    <t>Bldg value/GSF</t>
  </si>
  <si>
    <t>Total Value</t>
  </si>
  <si>
    <t>Gross sf</t>
  </si>
  <si>
    <t>Total Tax</t>
  </si>
  <si>
    <t>Tax/NRSF</t>
  </si>
  <si>
    <t>Tax/GSF</t>
  </si>
  <si>
    <t>964 Massachusetts Ave, Boston, MA 02118-2921, United States</t>
  </si>
  <si>
    <t>CubeSmart</t>
  </si>
  <si>
    <t>100 Southampton St, Boston, MA 02118-2711, United States</t>
  </si>
  <si>
    <t>Prime</t>
  </si>
  <si>
    <t>290 Southampton St, Boston, MA 02118-2726, United States</t>
  </si>
  <si>
    <t>Public</t>
  </si>
  <si>
    <t>59 Haverford St, Jamaica Plain, MA 02130-2376, United States</t>
  </si>
  <si>
    <t>ESS</t>
  </si>
  <si>
    <t>49 Mahler Rd, Roslindale, MA 02131-1111, United States</t>
  </si>
  <si>
    <t>141 McBride St, Jamaica Plain, MA 02130-2658, United States</t>
  </si>
  <si>
    <t>Average</t>
  </si>
  <si>
    <t>Commercial Tax Rate</t>
  </si>
  <si>
    <t>SUBJECT</t>
  </si>
  <si>
    <t xml:space="preserve">High </t>
  </si>
  <si>
    <t>Low</t>
  </si>
  <si>
    <t>Annual</t>
  </si>
  <si>
    <t>REAL ESTATE TAX UNDERWRITING</t>
  </si>
  <si>
    <t>Facility</t>
  </si>
  <si>
    <t>Square Ft.</t>
  </si>
  <si>
    <t>Distance (miles)</t>
  </si>
  <si>
    <t>Aggregate</t>
  </si>
  <si>
    <t>CC - 5x5</t>
  </si>
  <si>
    <t>CC - 5x10</t>
  </si>
  <si>
    <t>CC - 10x10</t>
  </si>
  <si>
    <t>CC - 10x15</t>
  </si>
  <si>
    <t>CC - 10x20</t>
  </si>
  <si>
    <t>CC - 10x30</t>
  </si>
  <si>
    <t>U-Haul Moving &amp; Storage</t>
  </si>
  <si>
    <t>985 Massachusetts Ave, Boston, MA 02118, USA</t>
  </si>
  <si>
    <t>Cubesmart Self Storage</t>
  </si>
  <si>
    <t>968 Massachusetts Ave, Boston, MA 02118, USA</t>
  </si>
  <si>
    <t>Public Storage</t>
  </si>
  <si>
    <t>290 Southampton St, Boston, MA 02118, USA</t>
  </si>
  <si>
    <t>33 Traveler Street, Boston, MA 02118, USA</t>
  </si>
  <si>
    <t>380 E St, Boston, MA 02127, USA</t>
  </si>
  <si>
    <t>3175 Washington St, Boston, MA 02130, USA</t>
  </si>
  <si>
    <t>12 Month avarage 82sf extrapolated</t>
  </si>
  <si>
    <t>MARKET RENT</t>
  </si>
  <si>
    <t>Unit Breakdown</t>
  </si>
  <si>
    <t>Market Average</t>
  </si>
  <si>
    <t>120-134 HAMPDEN STREET - EXISTING VS NEW BREAKDOWN</t>
  </si>
  <si>
    <t>LEVEL 1</t>
  </si>
  <si>
    <t>SF</t>
  </si>
  <si>
    <t>TOTAL</t>
  </si>
  <si>
    <t>Existing Building Gross</t>
  </si>
  <si>
    <t>Proposed Addition Gross</t>
  </si>
  <si>
    <t>Self Storage (new)</t>
  </si>
  <si>
    <t>Lobby</t>
  </si>
  <si>
    <t>Total:</t>
  </si>
  <si>
    <t>Bike Room</t>
  </si>
  <si>
    <t>Retail</t>
  </si>
  <si>
    <t>Pump</t>
  </si>
  <si>
    <t>Mech New</t>
  </si>
  <si>
    <t>Existing Building Adjusted</t>
  </si>
  <si>
    <t>Mech Old</t>
  </si>
  <si>
    <t>Proposed Addition Adjusted</t>
  </si>
  <si>
    <t>Stair 1</t>
  </si>
  <si>
    <t>Stair 2 (north)</t>
  </si>
  <si>
    <t>Total Gross</t>
  </si>
  <si>
    <t>Freight 1</t>
  </si>
  <si>
    <t>Freight 2 (new)</t>
  </si>
  <si>
    <t xml:space="preserve">Adjusted Total </t>
  </si>
  <si>
    <t>Shaft</t>
  </si>
  <si>
    <t>LEVEL 2</t>
  </si>
  <si>
    <t>LEVEL 3</t>
  </si>
  <si>
    <t>LEVEL 4</t>
  </si>
  <si>
    <t>LEVEL 5</t>
  </si>
  <si>
    <t>LEVEL 6</t>
  </si>
  <si>
    <t>SS New</t>
  </si>
  <si>
    <t>ADJUSTED TOTAL</t>
  </si>
  <si>
    <t>SS Conversion</t>
  </si>
  <si>
    <t>GROSS</t>
  </si>
  <si>
    <t>Total Project GSF</t>
  </si>
  <si>
    <t>Total Project NRSF</t>
  </si>
  <si>
    <t>GROSS BUILDING SQUARE FEET</t>
  </si>
  <si>
    <t>SS New Office</t>
  </si>
  <si>
    <t>Subtotal</t>
  </si>
  <si>
    <t>SS Stair &amp; Freight</t>
  </si>
  <si>
    <t>STORAGE UNITS</t>
  </si>
  <si>
    <t>Self-Storage Office</t>
  </si>
  <si>
    <t>Per RSF</t>
  </si>
  <si>
    <t>Based on Phased SF</t>
  </si>
  <si>
    <t>USED BY FINANCING PRESENTATION</t>
  </si>
  <si>
    <t>Total Hard Costs</t>
  </si>
  <si>
    <t>Interior insulation</t>
  </si>
  <si>
    <t>Allowance for Tarriff</t>
  </si>
  <si>
    <t>%of</t>
  </si>
  <si>
    <t>Pinnacle</t>
  </si>
  <si>
    <t>Outdoor seating</t>
  </si>
  <si>
    <t>Asphalt</t>
  </si>
  <si>
    <t>Concrete slabs</t>
  </si>
  <si>
    <t>Bath</t>
  </si>
  <si>
    <t>Exterior</t>
  </si>
  <si>
    <t>Building</t>
  </si>
  <si>
    <t>Elevator New</t>
  </si>
  <si>
    <t>Prep</t>
  </si>
  <si>
    <t>Underground, roof drain and interior</t>
  </si>
  <si>
    <t>Camera system</t>
  </si>
  <si>
    <t>BDA Allowance</t>
  </si>
  <si>
    <t>Total Soft Costs</t>
  </si>
  <si>
    <t>Office - Tenenant Improv. &amp; Leasing Comm.</t>
  </si>
  <si>
    <t>Based on Office SF</t>
  </si>
  <si>
    <t>Community Benefits</t>
  </si>
  <si>
    <t>Hard Costs - Conversion</t>
  </si>
  <si>
    <t>Hard Cost - Ground Up</t>
  </si>
  <si>
    <t>Office Leasing Costs</t>
  </si>
  <si>
    <t xml:space="preserve">Developer Overhead </t>
  </si>
  <si>
    <t>FINANCING</t>
  </si>
  <si>
    <t>Loan Amount</t>
  </si>
  <si>
    <t>Annual Payment</t>
  </si>
  <si>
    <t>Debt Constant</t>
  </si>
  <si>
    <t>Debt Yield</t>
  </si>
  <si>
    <t>Debt Service Coverage Ratio</t>
  </si>
  <si>
    <t>Full Project</t>
  </si>
  <si>
    <t>Storage Only</t>
  </si>
  <si>
    <t>U/W Interest Rate</t>
  </si>
  <si>
    <t>U/W Amortization</t>
  </si>
  <si>
    <t>Interest Rate (u/w for Int. Carry)</t>
  </si>
  <si>
    <t>Hard bid number</t>
  </si>
  <si>
    <t xml:space="preserve">New roof membrane </t>
  </si>
  <si>
    <t>Extrapolated number</t>
  </si>
  <si>
    <t>Hard bid</t>
  </si>
  <si>
    <t>Seller Credits and Cell Tower Sale</t>
  </si>
  <si>
    <t>Value Atrributed to Permitting</t>
  </si>
  <si>
    <t>"As-Is" Property Value</t>
  </si>
  <si>
    <t>Subtotal Property Basis</t>
  </si>
  <si>
    <t>Property Purchase Price</t>
  </si>
  <si>
    <t>Total GP equity</t>
  </si>
  <si>
    <t>LP Equity</t>
  </si>
  <si>
    <t>GP - Equity (Cash)</t>
  </si>
  <si>
    <t>Entitlement Costs Refunded to GP</t>
  </si>
  <si>
    <t>Tenant Improvements (Retail &amp; Office)</t>
  </si>
  <si>
    <t>Cost/SF</t>
  </si>
  <si>
    <t>Leasing Commissions - Office</t>
  </si>
  <si>
    <t>Leasing Commissions - Retail</t>
  </si>
  <si>
    <t>Total Cost</t>
  </si>
  <si>
    <t>Lease Term</t>
  </si>
  <si>
    <t>Value for Self-Storage only</t>
  </si>
  <si>
    <t>Value for Commerical only</t>
  </si>
  <si>
    <t>Combined Value</t>
  </si>
  <si>
    <t>UW Annual Rent / Square Foot / Year</t>
  </si>
  <si>
    <t>Interest Rate</t>
  </si>
  <si>
    <t>DSCR</t>
  </si>
  <si>
    <t>Constant</t>
  </si>
  <si>
    <t>STABILIZED FINANCING</t>
  </si>
  <si>
    <t>EQUITY</t>
  </si>
  <si>
    <t>Cash Flow After Debt</t>
  </si>
  <si>
    <t>Return on Equity</t>
  </si>
  <si>
    <t>Potential Profit (Excluding Cash Flow)</t>
  </si>
  <si>
    <t>Entitlement Cost</t>
  </si>
  <si>
    <t>Defferred Land Value - Due to Entitlements</t>
  </si>
  <si>
    <t>Loan-to-Value</t>
  </si>
  <si>
    <t>ARCHITECT'S BREAKDOWN</t>
  </si>
  <si>
    <t>120-134 HAMPDEN STREET - PROGRAM &amp; ZONING SF</t>
  </si>
  <si>
    <t>Debt Service Coverage</t>
  </si>
  <si>
    <t>2) Senior Construction Loan</t>
  </si>
  <si>
    <t>Closing Costs - Building Purchase</t>
  </si>
  <si>
    <t>Perm Int. Rate</t>
  </si>
  <si>
    <t>Unleveraged Multiple - Excludes Cash Flow</t>
  </si>
  <si>
    <t>Unleveraged Deal Multiple</t>
  </si>
  <si>
    <t>Pinnacle Construction</t>
  </si>
  <si>
    <t xml:space="preserve">Jack Arrow - was with Spartin </t>
  </si>
  <si>
    <t>Project Mngt. Arrow Construction Mngt</t>
  </si>
  <si>
    <t>General Partner</t>
  </si>
  <si>
    <t>First Tier</t>
  </si>
  <si>
    <t>Limited Partner</t>
  </si>
  <si>
    <t>Second Tier</t>
  </si>
  <si>
    <t>Third Tier</t>
  </si>
  <si>
    <t>GP Equity Investment</t>
  </si>
  <si>
    <t>LP Equity Investment</t>
  </si>
  <si>
    <t>CAPITAL DISTRIBUTIONS:</t>
  </si>
  <si>
    <t>Preferred Return</t>
  </si>
  <si>
    <t>Beginning Balance</t>
  </si>
  <si>
    <t>Equity Invested</t>
  </si>
  <si>
    <t>Preferred Return Paid</t>
  </si>
  <si>
    <t>Return of Equity</t>
  </si>
  <si>
    <t>Ending Equity</t>
  </si>
  <si>
    <t>Total Distribution</t>
  </si>
  <si>
    <t>Cash Flow after Pref</t>
  </si>
  <si>
    <t>Check</t>
  </si>
  <si>
    <t>Equity Investment</t>
  </si>
  <si>
    <t>Ending Balance</t>
  </si>
  <si>
    <t>Equity Draws</t>
  </si>
  <si>
    <t>First Tier Paid</t>
  </si>
  <si>
    <t>Cash Flow After Pref</t>
  </si>
  <si>
    <t>1st Hurdle Cash Flow</t>
  </si>
  <si>
    <t>2nd Hurdle Cash Flow</t>
  </si>
  <si>
    <t>Residual Cash Flow</t>
  </si>
  <si>
    <t>Total LP Cash Flow</t>
  </si>
  <si>
    <t>1st Hurdle Promote</t>
  </si>
  <si>
    <t>2nd Hurdle Promote</t>
  </si>
  <si>
    <t>Residual Promote</t>
  </si>
  <si>
    <t>Deal Level Cash Flow</t>
  </si>
  <si>
    <t>Year 1</t>
  </si>
  <si>
    <t>Year 2</t>
  </si>
  <si>
    <t>Year 3</t>
  </si>
  <si>
    <t>Year 4</t>
  </si>
  <si>
    <t>Year 5</t>
  </si>
  <si>
    <t>Hurdle Rate       (up to)</t>
  </si>
  <si>
    <t>Deal Level</t>
  </si>
  <si>
    <t>GP Preferred Return</t>
  </si>
  <si>
    <t>LP IRR</t>
  </si>
  <si>
    <t>GP IRR</t>
  </si>
  <si>
    <t>LP Preferred Return</t>
  </si>
  <si>
    <t>LP Profit</t>
  </si>
  <si>
    <t>GP Profit</t>
  </si>
  <si>
    <t>LP Multiple</t>
  </si>
  <si>
    <t>GP Multiple</t>
  </si>
  <si>
    <t>Thereafter</t>
  </si>
  <si>
    <t>Initial</t>
  </si>
  <si>
    <t>LP Share</t>
  </si>
  <si>
    <t>GP Share</t>
  </si>
  <si>
    <t>Third Tier - Residual CF</t>
  </si>
  <si>
    <t>LP Cash Flow Summary</t>
  </si>
  <si>
    <t>GP Cash Flow Summary</t>
  </si>
  <si>
    <t>Cash Flow Available for Distribution</t>
  </si>
  <si>
    <t>Cash Flow after Pref Return to LP</t>
  </si>
  <si>
    <t>Cash Flow after Pref Return to GP</t>
  </si>
  <si>
    <t>Promote to      GP</t>
  </si>
  <si>
    <t>GP Equity</t>
  </si>
  <si>
    <t xml:space="preserve">Step up Value in Land Contributed at Closing </t>
  </si>
  <si>
    <t>Paid to GP</t>
  </si>
  <si>
    <t>Cash Flow after Land Payment</t>
  </si>
  <si>
    <t>Step Up Basis in Land Value</t>
  </si>
  <si>
    <t>Paid at Closing</t>
  </si>
  <si>
    <t>Paid after Preferred Return</t>
  </si>
  <si>
    <t xml:space="preserve">Annual Payment </t>
  </si>
  <si>
    <t xml:space="preserve">Monthly Payment </t>
  </si>
  <si>
    <t>Profit On Sale</t>
  </si>
  <si>
    <t>Untrended NOI</t>
  </si>
  <si>
    <t>Untrended Yield on Cost</t>
  </si>
  <si>
    <t>Trended Yield on Cost</t>
  </si>
  <si>
    <t>Total GP Participation</t>
  </si>
  <si>
    <t>GP Equity - Step up in Land Basis taken as Fee vs Promote</t>
  </si>
  <si>
    <t>LTC minus Step Up in Land</t>
  </si>
  <si>
    <t>Development Fee</t>
  </si>
  <si>
    <t>Reimbursement of Entitlement Costs</t>
  </si>
  <si>
    <t>Total GP Cash Flow - Including Fees</t>
  </si>
  <si>
    <t>GP RETURNS EXCLUDING FEES</t>
  </si>
  <si>
    <t xml:space="preserve">Equity Investment </t>
  </si>
  <si>
    <t>Returns</t>
  </si>
  <si>
    <t>Total GP Cash Flow - Excluding Fees</t>
  </si>
  <si>
    <t>Current Return</t>
  </si>
  <si>
    <t>Total Deal Cash Flows</t>
  </si>
  <si>
    <t>Mini/Locker/Parking</t>
  </si>
  <si>
    <t>Net rentable sq ft</t>
  </si>
  <si>
    <t>Number of units</t>
  </si>
  <si>
    <t>Move-in sq ft</t>
  </si>
  <si>
    <t>Move-out sq ft</t>
  </si>
  <si>
    <t>Sq ft occupancy</t>
  </si>
  <si>
    <t>Sq ft occupancy %</t>
  </si>
  <si>
    <t>Move-in units</t>
  </si>
  <si>
    <t>Move-out units</t>
  </si>
  <si>
    <t>Unit occupancy</t>
  </si>
  <si>
    <t>Unit occupancy %</t>
  </si>
  <si>
    <t>Projected rent per occupied sq ft</t>
  </si>
  <si>
    <t>Projected rent</t>
  </si>
  <si>
    <t>Less - Discount to $1 special</t>
  </si>
  <si>
    <t>Less - Bad debt</t>
  </si>
  <si>
    <t>Mini Rental Income</t>
  </si>
  <si>
    <t>Existing tenant base rate increase %</t>
  </si>
  <si>
    <t>First rate increase %</t>
  </si>
  <si>
    <t>Second rate increase %</t>
  </si>
  <si>
    <t>Third rate increase %</t>
  </si>
  <si>
    <t xml:space="preserve">Overall existing tenant rate increase % </t>
  </si>
  <si>
    <t>Average unit size</t>
  </si>
  <si>
    <t>Beg sq ft occupancy</t>
  </si>
  <si>
    <t>End sq ft occupancy</t>
  </si>
  <si>
    <t>Beg unit occupancy</t>
  </si>
  <si>
    <t>End unit occupancy</t>
  </si>
  <si>
    <t>Rate per sq ft</t>
  </si>
  <si>
    <t>Adjusted market rate</t>
  </si>
  <si>
    <t>Move-in rate as % of market *</t>
  </si>
  <si>
    <t>Move-in rate</t>
  </si>
  <si>
    <t>Projected Rent</t>
  </si>
  <si>
    <t>Beg projected rent</t>
  </si>
  <si>
    <t>Move-in rent</t>
  </si>
  <si>
    <t>Rate increase on pre-existing tenant base</t>
  </si>
  <si>
    <t>First rate increase on fillup move-ins</t>
  </si>
  <si>
    <t>Second rate increase on fillup move-ins</t>
  </si>
  <si>
    <t>Third rate increase on fillup move-ins</t>
  </si>
  <si>
    <t>Overall rate increase after fillup</t>
  </si>
  <si>
    <t>Move outs</t>
  </si>
  <si>
    <t>End projected rent</t>
  </si>
  <si>
    <t xml:space="preserve">Rental income - Mini </t>
  </si>
  <si>
    <t>Total rental income - Mini</t>
  </si>
  <si>
    <t>Month 1</t>
  </si>
  <si>
    <t>Month 2</t>
  </si>
  <si>
    <t>Month 3</t>
  </si>
  <si>
    <t>Month 4</t>
  </si>
  <si>
    <t>Month 5</t>
  </si>
  <si>
    <t>Month 6</t>
  </si>
  <si>
    <t>Month 7</t>
  </si>
  <si>
    <t>Month 8</t>
  </si>
  <si>
    <t>Month 9</t>
  </si>
  <si>
    <t>Month 10</t>
  </si>
  <si>
    <t>Month 11</t>
  </si>
  <si>
    <t>Month 12</t>
  </si>
  <si>
    <t>Month 13</t>
  </si>
  <si>
    <t>Month 14</t>
  </si>
  <si>
    <t>Month 15</t>
  </si>
  <si>
    <t>Month 16</t>
  </si>
  <si>
    <t>Month 17</t>
  </si>
  <si>
    <t>Month 18</t>
  </si>
  <si>
    <t>Month 19</t>
  </si>
  <si>
    <t>Month 20</t>
  </si>
  <si>
    <t>Month 21</t>
  </si>
  <si>
    <t>Month 22</t>
  </si>
  <si>
    <t>Month 23</t>
  </si>
  <si>
    <t>Month 24</t>
  </si>
  <si>
    <t>Month 25</t>
  </si>
  <si>
    <t>Month 26</t>
  </si>
  <si>
    <t>Month 27</t>
  </si>
  <si>
    <t>Month 28</t>
  </si>
  <si>
    <t>Month 29</t>
  </si>
  <si>
    <t>Month 30</t>
  </si>
  <si>
    <t>Month 31</t>
  </si>
  <si>
    <t>Month 32</t>
  </si>
  <si>
    <t>Month 33</t>
  </si>
  <si>
    <t>Month 34</t>
  </si>
  <si>
    <t>Month 35</t>
  </si>
  <si>
    <t>Month 36</t>
  </si>
  <si>
    <t>Month 37</t>
  </si>
  <si>
    <t>Month 38</t>
  </si>
  <si>
    <t>Month 39</t>
  </si>
  <si>
    <t>Month 40</t>
  </si>
  <si>
    <t>Month 41</t>
  </si>
  <si>
    <t>Month 42</t>
  </si>
  <si>
    <t>Month 43</t>
  </si>
  <si>
    <t>Month 44</t>
  </si>
  <si>
    <t>Month 45</t>
  </si>
  <si>
    <t>Month 46</t>
  </si>
  <si>
    <t>Month 47</t>
  </si>
  <si>
    <t>Month 48</t>
  </si>
  <si>
    <t>Month 49</t>
  </si>
  <si>
    <t>Month 50</t>
  </si>
  <si>
    <t>Month 51</t>
  </si>
  <si>
    <t>Month 52</t>
  </si>
  <si>
    <t>Month 53</t>
  </si>
  <si>
    <t>Month 54</t>
  </si>
  <si>
    <t>Month 55</t>
  </si>
  <si>
    <t>Month 56</t>
  </si>
  <si>
    <t>Month 57</t>
  </si>
  <si>
    <t>Month 58</t>
  </si>
  <si>
    <t>Month 59</t>
  </si>
  <si>
    <t>Month 60</t>
  </si>
  <si>
    <t>Revenue</t>
  </si>
  <si>
    <t>Rental income (see Rental Income Model tab)</t>
  </si>
  <si>
    <t>Tenant insurance</t>
  </si>
  <si>
    <t>Merchandise sales</t>
  </si>
  <si>
    <t>Admin fees, late fees, and other fees</t>
  </si>
  <si>
    <t>Total Revenue</t>
  </si>
  <si>
    <t>Contractually set fees</t>
  </si>
  <si>
    <t>Property management software</t>
  </si>
  <si>
    <t>Customer Care Center</t>
  </si>
  <si>
    <t>Management fee</t>
  </si>
  <si>
    <t>Total contractually set fees</t>
  </si>
  <si>
    <t>Other Expenses</t>
  </si>
  <si>
    <t>Cost of goods sold</t>
  </si>
  <si>
    <t>Payroll - Property Manager</t>
  </si>
  <si>
    <t>Payroll - District Manager</t>
  </si>
  <si>
    <t xml:space="preserve">Utilities </t>
  </si>
  <si>
    <t>Repairs and maintenance</t>
  </si>
  <si>
    <t>Credit card charges</t>
  </si>
  <si>
    <t>Internet advertising</t>
  </si>
  <si>
    <t>Network charges</t>
  </si>
  <si>
    <t>Bank charges</t>
  </si>
  <si>
    <t>Telephone</t>
  </si>
  <si>
    <t>Tenant mailings</t>
  </si>
  <si>
    <t>Office expense</t>
  </si>
  <si>
    <t>Business licenses and permits</t>
  </si>
  <si>
    <t>Legal and evictions</t>
  </si>
  <si>
    <t>Total Other Expenses</t>
  </si>
  <si>
    <t>Other Expenses not controlled by PS</t>
  </si>
  <si>
    <t>N/A</t>
  </si>
  <si>
    <t>Total Other Expenses not controlled by PS</t>
  </si>
  <si>
    <t>They Get</t>
  </si>
  <si>
    <t>They keep 100% of insurance not 50% participation to Casper</t>
  </si>
  <si>
    <t>No Management Fee Paid = 4% of EGI</t>
  </si>
  <si>
    <t>Step Up in Land Value Due to Permitting</t>
  </si>
  <si>
    <t>$1.50 after a year of occupancy</t>
  </si>
  <si>
    <t>$2.00 upfront at C/O</t>
  </si>
  <si>
    <t>MASS SAVES PROGRAM</t>
  </si>
  <si>
    <t>GP - Friends &amp; Family</t>
  </si>
  <si>
    <t>Less: Mass Saves Funding</t>
  </si>
  <si>
    <t>Net Development Cost at Stabilization</t>
  </si>
  <si>
    <t>Bahlmann Capital Group</t>
  </si>
  <si>
    <t>Start Date:</t>
  </si>
  <si>
    <t>Property Type:</t>
  </si>
  <si>
    <t>New Development</t>
  </si>
  <si>
    <t>Deal No: 10800 - 52123</t>
  </si>
  <si>
    <t>Storage/Mini</t>
  </si>
  <si>
    <t>Market rate per sq ft (Monthly)</t>
  </si>
  <si>
    <t>Projected rate per sq ft (Monthly)</t>
  </si>
  <si>
    <t>Current unit occupancy</t>
  </si>
  <si>
    <t>Market rent growth (Annually)</t>
  </si>
  <si>
    <t>Current sq ft occupancy</t>
  </si>
  <si>
    <t>Stabilized sq ft occupancy</t>
  </si>
  <si>
    <t>Locker</t>
  </si>
  <si>
    <t>Stabilized occupancy</t>
  </si>
  <si>
    <t>Parking</t>
  </si>
  <si>
    <t>Contractual Revenues/Fees</t>
  </si>
  <si>
    <t>Tenant Insurance revenue per occupied unit on the last day of the month (only for mini and locker units)</t>
  </si>
  <si>
    <t>Property management software (Monthly)</t>
  </si>
  <si>
    <t>Customer Care Center (Monthly)</t>
  </si>
  <si>
    <t>Management fees as a percentage of revenue (excl tenant insurance)</t>
  </si>
  <si>
    <t>Minimum management fee (Monthly)</t>
  </si>
  <si>
    <t>Other Revenues and Expenses</t>
  </si>
  <si>
    <t>Annual increase</t>
  </si>
  <si>
    <t>Pay rate (Hourly)</t>
  </si>
  <si>
    <t>Burden rate (Monthly)</t>
  </si>
  <si>
    <t>Payroll hours - initial (Weekly)</t>
  </si>
  <si>
    <t>Payroll hours - demand based (Weekly)</t>
  </si>
  <si>
    <t>Salary (Annually)</t>
  </si>
  <si>
    <t>Total units in the district</t>
  </si>
  <si>
    <t>Move-in special (Monthly)</t>
  </si>
  <si>
    <t>Merchandise (lock, box, etc.) per move in</t>
  </si>
  <si>
    <t>Percentage of bad debt (Monthly)</t>
  </si>
  <si>
    <t>Cost of goods sold as a percentage of merchandise sales</t>
  </si>
  <si>
    <t>Utilities (Annually per sq ft)</t>
  </si>
  <si>
    <t>* This is the PS nationwide average rate. The actual property results will be different. Please provide local rates.</t>
  </si>
  <si>
    <t>Repairs and maintenance (Annually per sq ft) - Year 1</t>
  </si>
  <si>
    <t>Repairs and maintenance (Annually per sq ft) - Year 2-5</t>
  </si>
  <si>
    <t>Credit card discounts as a percentage of revenue (excl tenant insurance)</t>
  </si>
  <si>
    <t xml:space="preserve">* Actual amounts are based upon reservations. Estimates are derived from move-ins. </t>
  </si>
  <si>
    <t>Network charges (Monthly)</t>
  </si>
  <si>
    <t>* The range is $200 - $800 per month. It depends upon configuration and local provider availability.</t>
  </si>
  <si>
    <t>Bank charges (Monthly)</t>
  </si>
  <si>
    <t>* The range is $50 - $200 per month. It depends upon available banks in PS banking network.</t>
  </si>
  <si>
    <t>Telephone (Monthly)</t>
  </si>
  <si>
    <t xml:space="preserve">Tenant mailings (Annually per unit) </t>
  </si>
  <si>
    <t>Office expense (Annually per unit)</t>
  </si>
  <si>
    <t>Business licenses and permits (Monthly)</t>
  </si>
  <si>
    <t>Legal and evictions (Monthly)</t>
  </si>
  <si>
    <t>One-time/initial Charges</t>
  </si>
  <si>
    <t>Purchase and installation of computer(s), phone, printer and networking equipment</t>
  </si>
  <si>
    <t>Initial retail inventory</t>
  </si>
  <si>
    <t>Gate access configuration fee</t>
  </si>
  <si>
    <t>* Does not include cost for hardware, installation, power supply or site visits. This cost is only the configuration fee estimate.</t>
  </si>
  <si>
    <t xml:space="preserve">Fire alarm/sprinkler inspection and programming </t>
  </si>
  <si>
    <t>Maintenance supplies (insecticide, cleaning related items, etc.)</t>
  </si>
  <si>
    <t>Pushcart</t>
  </si>
  <si>
    <t>Initial office supplies (lease stock, over-locks, etc.)</t>
  </si>
  <si>
    <t>Office furniture</t>
  </si>
  <si>
    <t>Davinci lock and dropbox</t>
  </si>
  <si>
    <t xml:space="preserve">Business license initial cost </t>
  </si>
  <si>
    <t>Initial training payroll (2 months of payroll expense)</t>
  </si>
  <si>
    <t>DISCLAIMER: The amounts presented herein are based upon information provided by the intended recipient and numerous other assumptions. The amounts represent a snapshot as of a moment in time. Market conditions, rates, expenses and other circumstances of operation continually fluctuate. As such, the recipient should consider the information herein to be out of date and expired as soon as it is received. PS Advantage, Inc. (“PSA”) reserves the right to change the information at any time. PSA, its affiliates, and their employees and agents make no representations, warranties or guaranties of any kind as to the actual results, including actual revenues, expenses or occupancy, to be achieved if PSA were to manage these facilities. The information herein is presented without any right of reliance by the recipient – you should do your own due diligence. This document is non-binding, is not a contract, is not an offer and does not create any legally binding obligations. No such obligations will exist unless and until you and PSA execute a definitive written agreement. The parties have no obligation to negotiate further. Any binding agreement with you is subject to approval by PSA’s relevant officers.</t>
  </si>
  <si>
    <t>ATTENTION: The information contained in this document is to be kept strictly confidential. It is subject to the terms and conditions of a confidentiality and nondisclosure agreement with PS Advantage, Inc. This document is intended for use only by the persons specifically named above. It may not be used, distributed, disseminated, copied or otherwise shared for any purpose other than consideration of a potential transaction between the persons named above and PS Advantage, Inc. If you are not the intended recipient of the materials, you are hereby notified that any use, dissemination, distribution or copying of this document is strictly prohibited and you must immediately delete any copies in your possession.</t>
  </si>
  <si>
    <t xml:space="preserve">Initial funding of the property account </t>
  </si>
  <si>
    <t xml:space="preserve">Reserve based on one month's estimated operating expenses </t>
  </si>
  <si>
    <t>Purchase and installation of computer(s), phone, printer, and networking equipment</t>
  </si>
  <si>
    <t>Minimum funding required</t>
  </si>
  <si>
    <t>Estimates for other costs that could be incurred</t>
  </si>
  <si>
    <t>Carts and dollies</t>
  </si>
  <si>
    <t>Business license initial cost</t>
  </si>
  <si>
    <t>Initial training payroll</t>
  </si>
  <si>
    <t>Additional funding that may be required</t>
  </si>
  <si>
    <t xml:space="preserve">Maximum funding request of the property account </t>
  </si>
  <si>
    <t>Month</t>
  </si>
  <si>
    <t>Month (CAL)</t>
  </si>
  <si>
    <t>Year</t>
  </si>
  <si>
    <t>Insurance</t>
  </si>
  <si>
    <t>Total Taxes &amp; Insurance</t>
  </si>
  <si>
    <t>Real Estate Taxes &amp; Insurance</t>
  </si>
  <si>
    <t>Plus: CAM Reimbursements</t>
  </si>
  <si>
    <t>Total CAM</t>
  </si>
  <si>
    <t>Total Gross Income</t>
  </si>
  <si>
    <t>COMMERCIAL RETAIL &amp; OFFICE INCOME</t>
  </si>
  <si>
    <t>Less: Commercial Expenses</t>
  </si>
  <si>
    <t>Total Commercial Operating Expenses</t>
  </si>
  <si>
    <t>Net Operating Income - Storage Units</t>
  </si>
  <si>
    <t>Net Operating Income - Commerical Space</t>
  </si>
  <si>
    <t>Occupied Rental Units</t>
  </si>
  <si>
    <t>Contractual Fees</t>
  </si>
  <si>
    <t>Property Management Software</t>
  </si>
  <si>
    <t>Management Fee</t>
  </si>
  <si>
    <t>Total Contractual Fees</t>
  </si>
  <si>
    <t>Fixed Expenses</t>
  </si>
  <si>
    <t>Total Fixed Expenses</t>
  </si>
  <si>
    <t>TOTAL EXPENSES</t>
  </si>
  <si>
    <t>Less: Discount to $1 Special</t>
  </si>
  <si>
    <t>Bad Debt</t>
  </si>
  <si>
    <t>+/- REIT Exp. Ratio</t>
  </si>
  <si>
    <t>Operating Expense Carry During Lease-Up</t>
  </si>
  <si>
    <t>Average SS Unit Size</t>
  </si>
  <si>
    <t>Add Back - Management Fee</t>
  </si>
  <si>
    <t>Add Back - Renter's Insurance</t>
  </si>
  <si>
    <t>Net Operating Income for Sale - As Calculated by REITs</t>
  </si>
  <si>
    <t>TOTAL COMMERCIAL EXPENSES</t>
  </si>
  <si>
    <t>Yield on Cost - Self Storage Only</t>
  </si>
  <si>
    <t>Bid 460000</t>
  </si>
  <si>
    <t>Bid 1.34M and 850K</t>
  </si>
  <si>
    <t>Steel Blue Doors and Hallways</t>
  </si>
  <si>
    <t>165K</t>
  </si>
  <si>
    <t>15% contingency added in Sources and uses</t>
  </si>
  <si>
    <t>Under ground water treatment</t>
  </si>
  <si>
    <t>Misc repairs</t>
  </si>
  <si>
    <t>Concrete for Canopy</t>
  </si>
  <si>
    <t>Commercial Income</t>
  </si>
  <si>
    <t>Expenses - Self Storage</t>
  </si>
  <si>
    <t>Expenses - Commercial</t>
  </si>
  <si>
    <t>Capital Expenditures</t>
  </si>
  <si>
    <t xml:space="preserve">Cash Flow From Operations </t>
  </si>
  <si>
    <t>Residual Value</t>
  </si>
  <si>
    <t>CONSTRUCTION DRAW SCHEDULE</t>
  </si>
  <si>
    <t>NET OPERATING INCOME - FULL PROJECT</t>
  </si>
  <si>
    <t>NET CASH FLOW - INCLUDING SALE PROCEEDS</t>
  </si>
  <si>
    <t>REVERSION</t>
  </si>
  <si>
    <t>Rental Income (See Rental Income Model Tab)</t>
  </si>
  <si>
    <t>Total Unlevered Cash Flow</t>
  </si>
  <si>
    <t>Storage Income</t>
  </si>
  <si>
    <t>SS Operating Expense Ratio</t>
  </si>
  <si>
    <t>SS NOI as % of EGI</t>
  </si>
  <si>
    <t>(based on market cap before REIT expense reductions)</t>
  </si>
  <si>
    <t>(using REIT value and solving for unadjusted market cap)</t>
  </si>
  <si>
    <t>(value and cap are based on Combined Value less Storage Valuation)</t>
  </si>
  <si>
    <t>Investor LP Equity</t>
  </si>
  <si>
    <t>Year-end sq ft occupancy %</t>
  </si>
  <si>
    <t>Year-end Projected rent per occupied sq ft</t>
  </si>
  <si>
    <t>Rental income</t>
  </si>
  <si>
    <t>NOI As % of Revenue</t>
  </si>
  <si>
    <t>Increased by the % increase in unit count</t>
  </si>
  <si>
    <t>Interest Carry - Contingency</t>
  </si>
  <si>
    <t>NET PROJECT COST</t>
  </si>
  <si>
    <t>1-Year Interest Carry on the Loan</t>
  </si>
  <si>
    <t>Calculated Interest Carry</t>
  </si>
  <si>
    <t>Interest Reserve - Contingency</t>
  </si>
  <si>
    <t>INTEREST RESERVE</t>
  </si>
  <si>
    <t>Phase I - Existing Building</t>
  </si>
  <si>
    <t>Phase II - New Addition</t>
  </si>
  <si>
    <t>Market Rent/ Square Foot/ Month</t>
  </si>
  <si>
    <t>Contingency in Sources &amp; Uses</t>
  </si>
  <si>
    <t>Confirm this line is sufficient vs Cell N40 to the Right</t>
  </si>
  <si>
    <t>Cash Flow after Preferred Return</t>
  </si>
  <si>
    <t>Loan -to-Value</t>
  </si>
  <si>
    <t>PHASE I - RENOVATION OF EXISTING BUILDING</t>
  </si>
  <si>
    <t>PHASE II - GROUND UP ADDITION</t>
  </si>
  <si>
    <t>Property Insurance</t>
  </si>
  <si>
    <t>Land Basis</t>
  </si>
  <si>
    <t>Commercial Tenant Improvements</t>
  </si>
  <si>
    <t xml:space="preserve">MASS SAVES </t>
  </si>
  <si>
    <t>Payment at Certificate of Occupancy</t>
  </si>
  <si>
    <t>Payment after 1 Year of Occupancy</t>
  </si>
  <si>
    <t>TOTAL MASS SAVES REBATES</t>
  </si>
  <si>
    <t>Total Rebate</t>
  </si>
  <si>
    <t>Calculated based on 1.25x of Loan Amount x Construction Loan Interest Rate</t>
  </si>
  <si>
    <t>Interest Carry based on Monthly Draw Schedule</t>
  </si>
  <si>
    <t>Shortfall needed to cover 1-year full interest</t>
  </si>
  <si>
    <t>Interest Contingency carried in S&amp;U Budget to the Left</t>
  </si>
  <si>
    <t>GE optics coding + brick in windows</t>
  </si>
  <si>
    <t>Hampden st. façade as per design</t>
  </si>
  <si>
    <t>BDA allowance</t>
  </si>
  <si>
    <t>Clerk of the works</t>
  </si>
  <si>
    <t xml:space="preserve">Clerk of the works </t>
  </si>
  <si>
    <t>Shared cost w main build</t>
  </si>
  <si>
    <t>office</t>
  </si>
  <si>
    <t>Bathroom</t>
  </si>
  <si>
    <t>Bathroms</t>
  </si>
  <si>
    <t>TPO membrane - Decking in steel number</t>
  </si>
  <si>
    <t>RETURNS</t>
  </si>
  <si>
    <t>Pure $/sf comp</t>
  </si>
  <si>
    <t>Based on expected building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</si>
</sst>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8">
    <numFmt numFmtId="5" formatCode="&quot;$&quot;#,##0_);\(&quot;$&quot;#,##0\)"/>
    <numFmt numFmtId="6" formatCode="&quot;$&quot;#,##0_);[Red]\(&quot;$&quot;#,##0\)"/>
    <numFmt numFmtId="7" formatCode="&quot;$&quot;#,##0.00_);\(&quot;$&quot;#,##0.00\)"/>
    <numFmt numFmtId="8" formatCode="&quot;$&quot;#,##0.00_);[Red]\(&quot;$&quot;#,##0.00\)"/>
    <numFmt numFmtId="41" formatCode="_(* #,##0_);_(* \(#,##0\);_(* &quot;-&quot;_);_(@_)"/>
    <numFmt numFmtId="44" formatCode="_(&quot;$&quot;* #,##0.00_);_(&quot;$&quot;* \(#,##0.00\);_(&quot;$&quot;* &quot;-&quot;??_);_(@_)"/>
    <numFmt numFmtId="43" formatCode="_(* #,##0.00_);_(* \(#,##0.00\);_(* &quot;-&quot;??_);_(@_)"/>
    <numFmt numFmtId="164" formatCode="_-* #,##0.00_-;\-* #,##0.00_-;_-* &quot;-&quot;??_-;_-@_-"/>
    <numFmt numFmtId="165" formatCode="_(* #,##0_);_(* \(#,##0\);_(* &quot;-&quot;??_);_(@_)"/>
    <numFmt numFmtId="166" formatCode="&quot;Month&quot;\ 0"/>
    <numFmt numFmtId="167" formatCode="0\ &quot;Months&quot;"/>
    <numFmt numFmtId="168" formatCode="#,##0\ &quot;SF&quot;"/>
    <numFmt numFmtId="169" formatCode="&quot;Year&quot;\ 0"/>
    <numFmt numFmtId="170" formatCode="0.0%"/>
    <numFmt numFmtId="171" formatCode="&quot;$&quot;#,##0"/>
    <numFmt numFmtId="172" formatCode="&quot;$&quot;#,##0.00"/>
    <numFmt numFmtId="173" formatCode="&quot;Interest Reserve Contingency:&quot;\ 0\ &quot;Months&quot;"/>
    <numFmt numFmtId="174" formatCode="&quot;Working Capital:  &quot;0&quot; Months&quot;"/>
    <numFmt numFmtId="175" formatCode="#\ &quot;Sold Per Month&quot;"/>
    <numFmt numFmtId="176" formatCode="&quot; Current Pay - Interest Rate  &quot;0.00%"/>
    <numFmt numFmtId="177" formatCode="&quot;$&quot;#,##0.00&quot;/SF&quot;"/>
    <numFmt numFmtId="178" formatCode="_-* #,##0_-;\-* #,##0_-;_-* &quot;-&quot;??_-;_-@_-"/>
    <numFmt numFmtId="179" formatCode="0.000%"/>
    <numFmt numFmtId="180" formatCode="_(&quot;$&quot;* #,##0_);_(&quot;$&quot;* \(#,##0\);_(&quot;$&quot;* &quot;-&quot;??_);_(@_)"/>
    <numFmt numFmtId="181" formatCode="&quot;  Contingency: &quot;0.00%"/>
    <numFmt numFmtId="182" formatCode="00\-0000"/>
    <numFmt numFmtId="183" formatCode="0&quot; Yrs&quot;"/>
    <numFmt numFmtId="184" formatCode="0\ &quot;Years&quot;"/>
    <numFmt numFmtId="185" formatCode="#,##0\ &quot;Units&quot;"/>
    <numFmt numFmtId="186" formatCode="&quot;Month &quot;0"/>
    <numFmt numFmtId="187" formatCode="0.00&quot;X&quot;"/>
    <numFmt numFmtId="188" formatCode="&quot;LP IRR: &quot;0.0%"/>
    <numFmt numFmtId="189" formatCode="&quot;LP Profit: &quot;&quot;$&quot;#,##0"/>
    <numFmt numFmtId="190" formatCode="&quot;LP Multiple: &quot;0.00&quot;x&quot;"/>
    <numFmt numFmtId="191" formatCode="&quot;Year  &quot;0"/>
    <numFmt numFmtId="192" formatCode="&quot;Contingency:&quot;\ 0\ &quot;Months&quot;"/>
    <numFmt numFmtId="193" formatCode="0.0%\ &quot;of cost&quot;"/>
    <numFmt numFmtId="194" formatCode="&quot;Year &quot;0"/>
    <numFmt numFmtId="195" formatCode="#,##0&quot; GSF&quot;"/>
    <numFmt numFmtId="196" formatCode="&quot;$&quot;#,##0&quot;/SF&quot;"/>
    <numFmt numFmtId="197" formatCode="#,##0&quot; RSF&quot;"/>
    <numFmt numFmtId="198" formatCode="&quot;$&quot;#,##0.000_);\(&quot;$&quot;#,##0.000\)"/>
    <numFmt numFmtId="199" formatCode="&quot;Hard Cost Contingency  &quot;0.00%"/>
    <numFmt numFmtId="200" formatCode="_(&quot;$&quot;* #.##0.00_);_(&quot;$&quot;* \(#.##0.00\);_(&quot;$&quot;* &quot;-&quot;??_);_(@_)"/>
    <numFmt numFmtId="201" formatCode="_(* #.##0.00_);_(* \(#.##0.00\);_(* &quot;-&quot;??_);_(@_)"/>
    <numFmt numFmtId="202" formatCode="_-* #.##._-;\-* #.##._-;_-* &quot;-&quot;??_-;_-@_ⴆ"/>
    <numFmt numFmtId="203" formatCode="_-[$$-409]* #,##0.00_ ;_-[$$-409]* \-#,##0.00\ ;_-[$$-409]* &quot;-&quot;??_ ;_-@_ "/>
    <numFmt numFmtId="204" formatCode="&quot;Developer Overhead &quot;0.00%"/>
    <numFmt numFmtId="205" formatCode="_(* #,##0.0_);_(* \(#,##0.0\);_(* &quot;-&quot;??_);_(@_)"/>
    <numFmt numFmtId="206" formatCode="&quot;Accrual - &quot;0%"/>
    <numFmt numFmtId="207" formatCode="&quot;Share of Excess Proceeds (&quot;0.00%&quot;)&quot;"/>
    <numFmt numFmtId="208" formatCode="&quot;Promoter's Share (&quot;0.00%&quot;)&quot;"/>
    <numFmt numFmtId="209" formatCode="&quot;Investor Multiple: &quot;0.00&quot;x&quot;"/>
    <numFmt numFmtId="210" formatCode="&quot;Deal Level IRR: &quot;0.0%"/>
    <numFmt numFmtId="211" formatCode="&quot;Deal Profit: &quot;&quot;$&quot;#,##0"/>
    <numFmt numFmtId="212" formatCode="&quot;Deal Multiple: &quot;0.00&quot;x&quot;"/>
    <numFmt numFmtId="213" formatCode="mm/dd/yyyy"/>
    <numFmt numFmtId="214" formatCode="&quot;GP IRR: &quot;0.0%"/>
    <numFmt numFmtId="215" formatCode="&quot;GP Profit: &quot;&quot;$&quot;#,##0"/>
    <numFmt numFmtId="216" formatCode="&quot;GP Multiple: &quot;0.00&quot;x&quot;"/>
    <numFmt numFmtId="217" formatCode="&quot;Investor IRR: &quot;0.0%"/>
    <numFmt numFmtId="218" formatCode="0.00000%"/>
    <numFmt numFmtId="219" formatCode="&quot;$&quot;#,##0.0_);[Red]\(&quot;$&quot;#,##0.0\)"/>
    <numFmt numFmtId="220" formatCode="&quot;Less - Bad debt  &quot;0.00%"/>
    <numFmt numFmtId="221" formatCode="&quot;$&quot;#,##0\ &quot;Month&quot;"/>
    <numFmt numFmtId="222" formatCode="&quot;$&quot;#,##0\ &quot;Unit Annually&quot;"/>
    <numFmt numFmtId="223" formatCode="#,##0&quot; Units&quot;"/>
    <numFmt numFmtId="224" formatCode="_-* #,##0.00\ _k_r_._-;\-* #,##0.00\ _k_r_._-;_-* &quot;-&quot;??\ _k_r_._-;_-@_-"/>
  </numFmts>
  <fonts count="84">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0"/>
      <color theme="1"/>
      <name val="Aptos Narrow"/>
      <family val="2"/>
      <scheme val="minor"/>
    </font>
    <font>
      <sz val="10"/>
      <name val="Arial"/>
      <family val="2"/>
    </font>
    <font>
      <sz val="11"/>
      <name val="Aptos Narrow"/>
      <family val="2"/>
      <scheme val="minor"/>
    </font>
    <font>
      <b/>
      <sz val="14"/>
      <color theme="1"/>
      <name val="Aptos Narrow"/>
      <family val="2"/>
      <scheme val="minor"/>
    </font>
    <font>
      <b/>
      <sz val="11"/>
      <name val="Aptos Narrow"/>
      <family val="2"/>
      <scheme val="minor"/>
    </font>
    <font>
      <sz val="12"/>
      <name val="Arial"/>
      <family val="2"/>
    </font>
    <font>
      <b/>
      <sz val="10"/>
      <name val="Aptos Narrow"/>
      <family val="2"/>
      <scheme val="minor"/>
    </font>
    <font>
      <sz val="10"/>
      <name val="Aptos Narrow"/>
      <family val="2"/>
      <scheme val="minor"/>
    </font>
    <font>
      <i/>
      <sz val="10"/>
      <name val="Aptos Narrow"/>
      <family val="2"/>
      <scheme val="minor"/>
    </font>
    <font>
      <i/>
      <sz val="10"/>
      <color theme="1"/>
      <name val="Aptos Narrow"/>
      <family val="2"/>
      <scheme val="minor"/>
    </font>
    <font>
      <b/>
      <sz val="10"/>
      <color theme="1"/>
      <name val="Aptos Narrow"/>
      <family val="2"/>
      <scheme val="minor"/>
    </font>
    <font>
      <b/>
      <u/>
      <sz val="10"/>
      <name val="Aptos Narrow"/>
      <family val="2"/>
      <scheme val="minor"/>
    </font>
    <font>
      <b/>
      <sz val="10"/>
      <color theme="4" tint="-0.249977111117893"/>
      <name val="Aptos Narrow"/>
      <family val="2"/>
      <scheme val="minor"/>
    </font>
    <font>
      <b/>
      <sz val="10"/>
      <color theme="4"/>
      <name val="Aptos Narrow"/>
      <family val="2"/>
      <scheme val="minor"/>
    </font>
    <font>
      <b/>
      <u/>
      <sz val="10"/>
      <color theme="1"/>
      <name val="Aptos Narrow"/>
      <family val="2"/>
      <scheme val="minor"/>
    </font>
    <font>
      <sz val="10"/>
      <color rgb="FF00B050"/>
      <name val="Aptos Narrow"/>
      <family val="2"/>
      <scheme val="minor"/>
    </font>
    <font>
      <sz val="10"/>
      <color theme="0"/>
      <name val="Aptos Narrow"/>
      <family val="2"/>
      <scheme val="minor"/>
    </font>
    <font>
      <b/>
      <sz val="10"/>
      <color theme="0"/>
      <name val="Aptos Narrow"/>
      <family val="2"/>
      <scheme val="minor"/>
    </font>
    <font>
      <sz val="8"/>
      <color rgb="FF00B050"/>
      <name val="Aptos Narrow"/>
      <family val="2"/>
      <scheme val="minor"/>
    </font>
    <font>
      <b/>
      <sz val="10"/>
      <color rgb="FF0070C0"/>
      <name val="Aptos Narrow"/>
      <family val="2"/>
      <scheme val="minor"/>
    </font>
    <font>
      <b/>
      <sz val="10"/>
      <color rgb="FFFF0000"/>
      <name val="Aptos Narrow"/>
      <family val="2"/>
      <scheme val="minor"/>
    </font>
    <font>
      <b/>
      <i/>
      <sz val="10"/>
      <color rgb="FF0070C0"/>
      <name val="Aptos Narrow"/>
      <family val="2"/>
      <scheme val="minor"/>
    </font>
    <font>
      <b/>
      <sz val="10"/>
      <color rgb="FF00B050"/>
      <name val="Aptos Narrow"/>
      <family val="2"/>
      <scheme val="minor"/>
    </font>
    <font>
      <sz val="12"/>
      <name val="SWISS"/>
    </font>
    <font>
      <u/>
      <sz val="10"/>
      <color theme="1"/>
      <name val="Aptos Narrow"/>
      <family val="2"/>
      <scheme val="minor"/>
    </font>
    <font>
      <sz val="12"/>
      <name val="Helv"/>
    </font>
    <font>
      <b/>
      <i/>
      <sz val="10"/>
      <color theme="4"/>
      <name val="Aptos Narrow"/>
      <family val="2"/>
      <scheme val="minor"/>
    </font>
    <font>
      <b/>
      <i/>
      <sz val="10"/>
      <name val="Aptos Narrow"/>
      <family val="2"/>
      <scheme val="minor"/>
    </font>
    <font>
      <sz val="10"/>
      <name val="Courier"/>
      <family val="3"/>
    </font>
    <font>
      <sz val="11"/>
      <name val="Times New Roman"/>
      <family val="1"/>
    </font>
    <font>
      <sz val="10"/>
      <color theme="1"/>
      <name val="Aptos Display"/>
      <family val="2"/>
      <scheme val="major"/>
    </font>
    <font>
      <i/>
      <sz val="10"/>
      <color theme="1" tint="0.499984740745262"/>
      <name val="Aptos Narrow"/>
      <family val="2"/>
      <scheme val="minor"/>
    </font>
    <font>
      <sz val="11"/>
      <color theme="0"/>
      <name val="Aptos Narrow"/>
      <family val="2"/>
      <scheme val="minor"/>
    </font>
    <font>
      <sz val="9"/>
      <color theme="1"/>
      <name val="Aptos Narrow"/>
      <family val="2"/>
      <scheme val="minor"/>
    </font>
    <font>
      <u/>
      <sz val="11"/>
      <color theme="10"/>
      <name val="Aptos Narrow"/>
      <family val="2"/>
      <scheme val="minor"/>
    </font>
    <font>
      <sz val="11"/>
      <color theme="1"/>
      <name val="Aptos Narrow"/>
      <family val="2"/>
    </font>
    <font>
      <b/>
      <sz val="11"/>
      <color rgb="FFFFFFFF"/>
      <name val="Aptos Narrow"/>
      <family val="2"/>
    </font>
    <font>
      <sz val="11"/>
      <color rgb="FF000000"/>
      <name val="Aptos Narrow"/>
      <family val="2"/>
    </font>
    <font>
      <b/>
      <sz val="11"/>
      <color rgb="FF000000"/>
      <name val="Aptos Narrow"/>
      <family val="2"/>
    </font>
    <font>
      <b/>
      <sz val="10"/>
      <color rgb="FF000000"/>
      <name val="Aptos Narrow"/>
      <family val="2"/>
    </font>
    <font>
      <sz val="10"/>
      <color rgb="FF000000"/>
      <name val="Aptos Narrow"/>
      <family val="2"/>
    </font>
    <font>
      <sz val="10"/>
      <color theme="1"/>
      <name val="Aptos Narrow"/>
      <family val="2"/>
    </font>
    <font>
      <b/>
      <sz val="10"/>
      <color theme="1"/>
      <name val="Aptos Narrow"/>
      <family val="2"/>
    </font>
    <font>
      <sz val="8"/>
      <color theme="1"/>
      <name val="Times New Roman"/>
      <family val="1"/>
    </font>
    <font>
      <b/>
      <sz val="14"/>
      <color theme="1"/>
      <name val="Aptos Narrow"/>
      <family val="2"/>
    </font>
    <font>
      <sz val="9"/>
      <name val="Aptos Narrow"/>
      <family val="2"/>
    </font>
    <font>
      <b/>
      <u/>
      <sz val="9"/>
      <name val="Aptos Narrow"/>
      <family val="2"/>
    </font>
    <font>
      <u/>
      <sz val="9"/>
      <name val="Aptos Narrow"/>
      <family val="2"/>
    </font>
    <font>
      <b/>
      <sz val="9"/>
      <name val="Aptos Narrow"/>
      <family val="2"/>
    </font>
    <font>
      <sz val="9"/>
      <color indexed="10"/>
      <name val="Aptos Narrow"/>
      <family val="2"/>
    </font>
    <font>
      <sz val="9"/>
      <color theme="1"/>
      <name val="Aptos Narrow"/>
      <family val="2"/>
    </font>
    <font>
      <b/>
      <sz val="9"/>
      <color theme="1"/>
      <name val="Aptos Narrow"/>
      <family val="2"/>
    </font>
    <font>
      <b/>
      <sz val="9"/>
      <color rgb="FF0070C0"/>
      <name val="Aptos Narrow"/>
      <family val="2"/>
    </font>
    <font>
      <i/>
      <sz val="9"/>
      <color indexed="10"/>
      <name val="Aptos Narrow"/>
      <family val="2"/>
    </font>
    <font>
      <b/>
      <sz val="9"/>
      <color theme="0"/>
      <name val="Aptos Narrow"/>
      <family val="2"/>
    </font>
    <font>
      <sz val="9"/>
      <color theme="0"/>
      <name val="Aptos Narrow"/>
      <family val="2"/>
    </font>
    <font>
      <i/>
      <sz val="9"/>
      <color theme="1"/>
      <name val="Aptos Narrow"/>
      <family val="2"/>
    </font>
    <font>
      <b/>
      <sz val="12"/>
      <color theme="0"/>
      <name val="Aptos Narrow"/>
      <family val="2"/>
      <scheme val="minor"/>
    </font>
    <font>
      <sz val="12"/>
      <color theme="0"/>
      <name val="Aptos Narrow"/>
      <family val="2"/>
      <scheme val="minor"/>
    </font>
    <font>
      <i/>
      <sz val="11"/>
      <color theme="1"/>
      <name val="Aptos Narrow"/>
      <family val="2"/>
      <scheme val="minor"/>
    </font>
    <font>
      <b/>
      <sz val="12"/>
      <color theme="1"/>
      <name val="Aptos Narrow"/>
      <family val="2"/>
      <scheme val="minor"/>
    </font>
    <font>
      <b/>
      <sz val="12"/>
      <color rgb="FF0070C0"/>
      <name val="Aptos Narrow"/>
      <family val="2"/>
      <scheme val="minor"/>
    </font>
    <font>
      <sz val="12"/>
      <color theme="1"/>
      <name val="Aptos Narrow"/>
      <family val="2"/>
      <scheme val="minor"/>
    </font>
    <font>
      <b/>
      <sz val="12"/>
      <color theme="0"/>
      <name val="Arial"/>
      <family val="2"/>
    </font>
    <font>
      <b/>
      <sz val="12"/>
      <name val="Aptos Narrow"/>
      <family val="2"/>
      <scheme val="minor"/>
    </font>
    <font>
      <b/>
      <i/>
      <sz val="10"/>
      <color theme="1"/>
      <name val="Aptos Narrow"/>
      <family val="2"/>
      <scheme val="minor"/>
    </font>
    <font>
      <b/>
      <sz val="13"/>
      <name val="Aptos Narrow"/>
      <family val="2"/>
      <scheme val="minor"/>
    </font>
    <font>
      <sz val="12"/>
      <name val="Aptos Narrow"/>
      <family val="2"/>
      <scheme val="minor"/>
    </font>
    <font>
      <i/>
      <sz val="11"/>
      <name val="Aptos Narrow"/>
      <family val="2"/>
      <scheme val="minor"/>
    </font>
    <font>
      <b/>
      <sz val="9"/>
      <color indexed="81"/>
      <name val="Tahoma"/>
      <family val="2"/>
    </font>
    <font>
      <sz val="9"/>
      <color indexed="81"/>
      <name val="Tahoma"/>
      <family val="2"/>
    </font>
    <font>
      <sz val="10"/>
      <color theme="4" tint="-0.249977111117893"/>
      <name val="Aptos Narrow"/>
      <family val="2"/>
      <scheme val="minor"/>
    </font>
    <font>
      <i/>
      <sz val="10"/>
      <color theme="4" tint="-0.249977111117893"/>
      <name val="Aptos Narrow"/>
      <family val="2"/>
      <scheme val="minor"/>
    </font>
    <font>
      <b/>
      <i/>
      <sz val="11"/>
      <color rgb="FF0070C0"/>
      <name val="Aptos Narrow"/>
      <family val="2"/>
      <scheme val="minor"/>
    </font>
    <font>
      <b/>
      <sz val="8"/>
      <color theme="1"/>
      <name val="Times New Roman"/>
      <family val="1"/>
    </font>
    <font>
      <b/>
      <u/>
      <sz val="9"/>
      <color theme="9"/>
      <name val="Aptos Narrow"/>
      <family val="2"/>
    </font>
    <font>
      <sz val="9"/>
      <color theme="9"/>
      <name val="Aptos Narrow"/>
      <family val="2"/>
    </font>
    <font>
      <i/>
      <sz val="9"/>
      <color theme="9"/>
      <name val="Aptos Narrow"/>
      <family val="2"/>
    </font>
    <font>
      <b/>
      <sz val="9"/>
      <color theme="9"/>
      <name val="Aptos Narrow"/>
      <family val="2"/>
    </font>
    <font>
      <b/>
      <sz val="9"/>
      <color theme="9" tint="-0.249977111117893"/>
      <name val="Aptos Narrow"/>
      <family val="2"/>
    </font>
  </fonts>
  <fills count="32">
    <fill>
      <patternFill patternType="none"/>
    </fill>
    <fill>
      <patternFill patternType="gray125"/>
    </fill>
    <fill>
      <patternFill patternType="solid">
        <fgColor theme="3" tint="9.9978637043366805E-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rgb="FFFFFF00"/>
        <bgColor indexed="64"/>
      </patternFill>
    </fill>
    <fill>
      <patternFill patternType="solid">
        <fgColor rgb="FFFFFFCC"/>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rgb="FF92D050"/>
        <bgColor indexed="64"/>
      </patternFill>
    </fill>
    <fill>
      <patternFill patternType="solid">
        <fgColor theme="9"/>
        <bgColor indexed="64"/>
      </patternFill>
    </fill>
    <fill>
      <patternFill patternType="solid">
        <fgColor theme="1"/>
        <bgColor indexed="64"/>
      </patternFill>
    </fill>
    <fill>
      <patternFill patternType="solid">
        <fgColor theme="9" tint="0.39997558519241921"/>
        <bgColor indexed="64"/>
      </patternFill>
    </fill>
    <fill>
      <patternFill patternType="solid">
        <fgColor rgb="FF4F81BD"/>
        <bgColor rgb="FF4F81BD"/>
      </patternFill>
    </fill>
    <fill>
      <patternFill patternType="solid">
        <fgColor rgb="FFC5D9F1"/>
        <bgColor rgb="FF000000"/>
      </patternFill>
    </fill>
    <fill>
      <patternFill patternType="solid">
        <fgColor rgb="FFD9E7FD"/>
        <bgColor rgb="FF000000"/>
      </patternFill>
    </fill>
    <fill>
      <patternFill patternType="solid">
        <fgColor rgb="FFB3CEFB"/>
        <bgColor rgb="FF000000"/>
      </patternFill>
    </fill>
    <fill>
      <patternFill patternType="solid">
        <fgColor rgb="FFF4CCCC"/>
        <bgColor rgb="FFF4CCCC"/>
      </patternFill>
    </fill>
    <fill>
      <patternFill patternType="solid">
        <fgColor rgb="FFFFFF00"/>
        <bgColor rgb="FFFFFF00"/>
      </patternFill>
    </fill>
    <fill>
      <patternFill patternType="solid">
        <fgColor theme="9" tint="0.79998168889431442"/>
        <bgColor indexed="64"/>
      </patternFill>
    </fill>
    <fill>
      <patternFill patternType="solid">
        <fgColor indexed="43"/>
        <bgColor indexed="64"/>
      </patternFill>
    </fill>
    <fill>
      <patternFill patternType="solid">
        <fgColor theme="5" tint="0.59999389629810485"/>
        <bgColor indexed="64"/>
      </patternFill>
    </fill>
    <fill>
      <patternFill patternType="solid">
        <fgColor theme="1" tint="0.249977111117893"/>
        <bgColor indexed="64"/>
      </patternFill>
    </fill>
    <fill>
      <patternFill patternType="solid">
        <fgColor rgb="FFFF6600"/>
        <bgColor indexed="64"/>
      </patternFill>
    </fill>
    <fill>
      <patternFill patternType="solid">
        <fgColor theme="4"/>
        <bgColor indexed="64"/>
      </patternFill>
    </fill>
    <fill>
      <patternFill patternType="solid">
        <fgColor theme="2"/>
        <bgColor indexed="64"/>
      </patternFill>
    </fill>
    <fill>
      <patternFill patternType="solid">
        <fgColor theme="7" tint="0.59999389629810485"/>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double">
        <color indexed="8"/>
      </left>
      <right style="thin">
        <color auto="1"/>
      </right>
      <top style="thin">
        <color auto="1"/>
      </top>
      <bottom style="thin">
        <color auto="1"/>
      </bottom>
      <diagonal/>
    </border>
    <border>
      <left style="double">
        <color indexed="8"/>
      </left>
      <right style="thin">
        <color auto="1"/>
      </right>
      <top/>
      <bottom/>
      <diagonal/>
    </border>
    <border>
      <left style="double">
        <color indexed="8"/>
      </left>
      <right/>
      <top style="thin">
        <color auto="1"/>
      </top>
      <bottom style="thin">
        <color auto="1"/>
      </bottom>
      <diagonal/>
    </border>
    <border>
      <left/>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4F81BD"/>
      </left>
      <right/>
      <top style="thin">
        <color indexed="64"/>
      </top>
      <bottom style="thin">
        <color indexed="64"/>
      </bottom>
      <diagonal/>
    </border>
    <border>
      <left/>
      <right/>
      <top/>
      <bottom style="thin">
        <color rgb="FF000000"/>
      </bottom>
      <diagonal/>
    </border>
    <border>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double">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dashed">
        <color indexed="64"/>
      </right>
      <top style="medium">
        <color indexed="64"/>
      </top>
      <bottom/>
      <diagonal/>
    </border>
    <border>
      <left/>
      <right style="dashed">
        <color indexed="64"/>
      </right>
      <top/>
      <bottom/>
      <diagonal/>
    </border>
    <border>
      <left/>
      <right style="dashed">
        <color indexed="64"/>
      </right>
      <top/>
      <bottom style="medium">
        <color indexed="64"/>
      </bottom>
      <diagonal/>
    </border>
    <border>
      <left style="dashed">
        <color indexed="64"/>
      </left>
      <right/>
      <top style="thin">
        <color indexed="64"/>
      </top>
      <bottom/>
      <diagonal/>
    </border>
    <border>
      <left/>
      <right style="dashed">
        <color indexed="64"/>
      </right>
      <top style="thin">
        <color indexed="64"/>
      </top>
      <bottom/>
      <diagonal/>
    </border>
    <border>
      <left style="dashed">
        <color indexed="64"/>
      </left>
      <right/>
      <top/>
      <bottom/>
      <diagonal/>
    </border>
    <border>
      <left style="dashed">
        <color indexed="64"/>
      </left>
      <right/>
      <top/>
      <bottom style="thin">
        <color indexed="64"/>
      </bottom>
      <diagonal/>
    </border>
    <border>
      <left/>
      <right style="dashed">
        <color indexed="64"/>
      </right>
      <top/>
      <bottom style="thin">
        <color indexed="64"/>
      </bottom>
      <diagonal/>
    </border>
    <border>
      <left style="dashed">
        <color indexed="64"/>
      </left>
      <right/>
      <top style="thin">
        <color indexed="64"/>
      </top>
      <bottom style="double">
        <color indexed="64"/>
      </bottom>
      <diagonal/>
    </border>
    <border>
      <left/>
      <right style="dashed">
        <color indexed="64"/>
      </right>
      <top style="thin">
        <color indexed="64"/>
      </top>
      <bottom style="double">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style="thin">
        <color indexed="64"/>
      </top>
      <bottom style="double">
        <color indexed="64"/>
      </bottom>
      <diagonal/>
    </border>
  </borders>
  <cellStyleXfs count="21">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9" fillId="0" borderId="0"/>
    <xf numFmtId="0" fontId="1" fillId="0" borderId="0"/>
    <xf numFmtId="37" fontId="27" fillId="0" borderId="0" applyFont="0" applyFill="0" applyBorder="0" applyProtection="0">
      <alignment horizontal="right" vertical="justify"/>
    </xf>
    <xf numFmtId="0" fontId="29" fillId="0" borderId="0"/>
    <xf numFmtId="44" fontId="29" fillId="0" borderId="0" applyFont="0" applyFill="0" applyBorder="0" applyAlignment="0" applyProtection="0"/>
    <xf numFmtId="43" fontId="29" fillId="0" borderId="0" applyFont="0" applyFill="0" applyBorder="0" applyAlignment="0" applyProtection="0"/>
    <xf numFmtId="37" fontId="32" fillId="0" borderId="0"/>
    <xf numFmtId="9" fontId="33" fillId="0" borderId="0" applyFont="0" applyFill="0" applyBorder="0" applyAlignment="0" applyProtection="0"/>
    <xf numFmtId="9" fontId="5" fillId="0" borderId="0" applyFont="0" applyFill="0" applyBorder="0" applyAlignment="0" applyProtection="0"/>
    <xf numFmtId="0" fontId="38" fillId="0" borderId="0" applyNumberFormat="0" applyFill="0" applyBorder="0" applyAlignment="0" applyProtection="0"/>
    <xf numFmtId="200" fontId="29" fillId="0" borderId="0" applyFont="0" applyFill="0" applyBorder="0" applyAlignment="0" applyProtection="0"/>
    <xf numFmtId="201" fontId="29" fillId="0" borderId="0" applyFont="0" applyFill="0" applyBorder="0" applyAlignment="0" applyProtection="0"/>
    <xf numFmtId="201" fontId="1" fillId="0" borderId="0" applyFont="0" applyFill="0" applyBorder="0" applyAlignment="0" applyProtection="0"/>
    <xf numFmtId="200" fontId="1" fillId="0" borderId="0" applyFont="0" applyFill="0" applyBorder="0" applyAlignment="0" applyProtection="0"/>
    <xf numFmtId="200" fontId="1" fillId="0" borderId="0" applyFont="0" applyFill="0" applyBorder="0" applyAlignment="0" applyProtection="0"/>
  </cellStyleXfs>
  <cellXfs count="1258">
    <xf numFmtId="0" fontId="0" fillId="0" borderId="0" xfId="0"/>
    <xf numFmtId="0" fontId="0" fillId="0" borderId="5" xfId="0" applyBorder="1"/>
    <xf numFmtId="0" fontId="0" fillId="0" borderId="6" xfId="0" applyBorder="1"/>
    <xf numFmtId="0" fontId="0" fillId="0" borderId="7" xfId="0" applyBorder="1"/>
    <xf numFmtId="0" fontId="3" fillId="0" borderId="0" xfId="0" applyFont="1"/>
    <xf numFmtId="0" fontId="0" fillId="0" borderId="0" xfId="0" applyAlignment="1">
      <alignment horizontal="center"/>
    </xf>
    <xf numFmtId="171" fontId="0" fillId="0" borderId="0" xfId="0" applyNumberFormat="1" applyAlignment="1">
      <alignment horizontal="center"/>
    </xf>
    <xf numFmtId="5" fontId="0" fillId="0" borderId="0" xfId="0" applyNumberFormat="1"/>
    <xf numFmtId="0" fontId="10" fillId="0" borderId="0" xfId="6" applyFont="1"/>
    <xf numFmtId="0" fontId="11" fillId="0" borderId="0" xfId="6" applyFont="1" applyAlignment="1">
      <alignment horizontal="left" indent="1"/>
    </xf>
    <xf numFmtId="0" fontId="10" fillId="0" borderId="0" xfId="6" applyFont="1" applyAlignment="1">
      <alignment horizontal="left" indent="1"/>
    </xf>
    <xf numFmtId="0" fontId="12" fillId="0" borderId="0" xfId="0" applyFont="1" applyAlignment="1">
      <alignment horizontal="left" indent="2"/>
    </xf>
    <xf numFmtId="0" fontId="10" fillId="5" borderId="3" xfId="0" applyFont="1" applyFill="1" applyBorder="1"/>
    <xf numFmtId="0" fontId="4" fillId="0" borderId="0" xfId="0" applyFont="1"/>
    <xf numFmtId="0" fontId="11" fillId="0" borderId="0" xfId="0" applyFont="1"/>
    <xf numFmtId="0" fontId="14" fillId="0" borderId="0" xfId="0" applyFont="1"/>
    <xf numFmtId="0" fontId="4" fillId="0" borderId="0" xfId="0" applyFont="1" applyAlignment="1">
      <alignment horizontal="left" indent="1"/>
    </xf>
    <xf numFmtId="0" fontId="11" fillId="0" borderId="0" xfId="0" applyFont="1" applyAlignment="1">
      <alignment horizontal="left" indent="1"/>
    </xf>
    <xf numFmtId="0" fontId="14" fillId="0" borderId="11" xfId="0" applyFont="1" applyBorder="1"/>
    <xf numFmtId="0" fontId="15" fillId="6" borderId="0" xfId="0" applyFont="1" applyFill="1"/>
    <xf numFmtId="0" fontId="11" fillId="6" borderId="0" xfId="0" applyFont="1" applyFill="1"/>
    <xf numFmtId="175" fontId="12" fillId="6" borderId="0" xfId="0" applyNumberFormat="1" applyFont="1" applyFill="1" applyAlignment="1">
      <alignment horizontal="right"/>
    </xf>
    <xf numFmtId="175" fontId="16" fillId="6" borderId="0" xfId="0" applyNumberFormat="1" applyFont="1" applyFill="1"/>
    <xf numFmtId="175" fontId="16" fillId="6" borderId="0" xfId="0" applyNumberFormat="1" applyFont="1" applyFill="1" applyAlignment="1">
      <alignment horizontal="left" indent="2"/>
    </xf>
    <xf numFmtId="0" fontId="18" fillId="0" borderId="0" xfId="0" applyFont="1"/>
    <xf numFmtId="0" fontId="10" fillId="0" borderId="0" xfId="0" applyFont="1"/>
    <xf numFmtId="0" fontId="10" fillId="6" borderId="0" xfId="0" applyFont="1" applyFill="1"/>
    <xf numFmtId="0" fontId="10" fillId="6" borderId="0" xfId="6" applyFont="1" applyFill="1"/>
    <xf numFmtId="0" fontId="11" fillId="6" borderId="0" xfId="0" applyFont="1" applyFill="1" applyAlignment="1">
      <alignment horizontal="left"/>
    </xf>
    <xf numFmtId="0" fontId="10" fillId="6" borderId="0" xfId="0" applyFont="1" applyFill="1" applyAlignment="1">
      <alignment horizontal="right" indent="1"/>
    </xf>
    <xf numFmtId="0" fontId="11" fillId="0" borderId="0" xfId="6" applyFont="1" applyAlignment="1">
      <alignment horizontal="left" indent="2"/>
    </xf>
    <xf numFmtId="0" fontId="10" fillId="0" borderId="0" xfId="6" applyFont="1" applyAlignment="1">
      <alignment horizontal="left" indent="2"/>
    </xf>
    <xf numFmtId="14" fontId="13" fillId="0" borderId="3" xfId="0" applyNumberFormat="1" applyFont="1" applyBorder="1"/>
    <xf numFmtId="0" fontId="4" fillId="2" borderId="0" xfId="0" applyFont="1" applyFill="1"/>
    <xf numFmtId="0" fontId="20" fillId="2" borderId="0" xfId="0" applyFont="1" applyFill="1"/>
    <xf numFmtId="169" fontId="21" fillId="2" borderId="0" xfId="0" applyNumberFormat="1" applyFont="1" applyFill="1"/>
    <xf numFmtId="0" fontId="4" fillId="0" borderId="11" xfId="0" applyFont="1" applyBorder="1"/>
    <xf numFmtId="0" fontId="12" fillId="0" borderId="0" xfId="0" applyFont="1" applyAlignment="1">
      <alignment horizontal="center"/>
    </xf>
    <xf numFmtId="0" fontId="11" fillId="0" borderId="0" xfId="6" applyFont="1" applyAlignment="1">
      <alignment horizontal="left" indent="3"/>
    </xf>
    <xf numFmtId="0" fontId="4" fillId="0" borderId="0" xfId="0" applyFont="1" applyAlignment="1">
      <alignment horizontal="right"/>
    </xf>
    <xf numFmtId="9" fontId="4" fillId="0" borderId="0" xfId="3" applyFont="1"/>
    <xf numFmtId="165" fontId="4" fillId="0" borderId="0" xfId="0" applyNumberFormat="1" applyFont="1"/>
    <xf numFmtId="10" fontId="4" fillId="0" borderId="0" xfId="3" applyNumberFormat="1" applyFont="1"/>
    <xf numFmtId="0" fontId="4" fillId="0" borderId="5" xfId="0" applyFont="1" applyBorder="1"/>
    <xf numFmtId="0" fontId="21" fillId="2" borderId="2" xfId="0" applyFont="1" applyFill="1" applyBorder="1"/>
    <xf numFmtId="0" fontId="21" fillId="2" borderId="3" xfId="0" applyFont="1" applyFill="1" applyBorder="1"/>
    <xf numFmtId="0" fontId="21" fillId="2" borderId="4" xfId="0" applyFont="1" applyFill="1" applyBorder="1"/>
    <xf numFmtId="0" fontId="14" fillId="3" borderId="2" xfId="0" applyFont="1" applyFill="1" applyBorder="1"/>
    <xf numFmtId="0" fontId="14" fillId="3" borderId="3" xfId="0" applyFont="1" applyFill="1" applyBorder="1"/>
    <xf numFmtId="0" fontId="14" fillId="3" borderId="4" xfId="0" applyFont="1" applyFill="1" applyBorder="1"/>
    <xf numFmtId="166" fontId="4" fillId="0" borderId="0" xfId="0" applyNumberFormat="1" applyFont="1"/>
    <xf numFmtId="14" fontId="23" fillId="0" borderId="6" xfId="0" applyNumberFormat="1" applyFont="1" applyBorder="1"/>
    <xf numFmtId="167" fontId="23" fillId="0" borderId="0" xfId="0" applyNumberFormat="1" applyFont="1"/>
    <xf numFmtId="0" fontId="4" fillId="0" borderId="6" xfId="0" applyFont="1" applyBorder="1"/>
    <xf numFmtId="14" fontId="4" fillId="0" borderId="6" xfId="0" applyNumberFormat="1" applyFont="1" applyBorder="1"/>
    <xf numFmtId="0" fontId="4" fillId="0" borderId="7" xfId="0" applyFont="1" applyBorder="1"/>
    <xf numFmtId="0" fontId="4" fillId="0" borderId="8" xfId="0" applyFont="1" applyBorder="1"/>
    <xf numFmtId="14" fontId="23" fillId="0" borderId="12" xfId="0" applyNumberFormat="1" applyFont="1" applyBorder="1"/>
    <xf numFmtId="0" fontId="14" fillId="3" borderId="10" xfId="0" applyFont="1" applyFill="1" applyBorder="1"/>
    <xf numFmtId="0" fontId="14" fillId="3" borderId="11" xfId="0" applyFont="1" applyFill="1" applyBorder="1"/>
    <xf numFmtId="0" fontId="14" fillId="3" borderId="12" xfId="0" applyFont="1" applyFill="1" applyBorder="1"/>
    <xf numFmtId="168" fontId="4" fillId="0" borderId="6" xfId="1" applyNumberFormat="1" applyFont="1" applyBorder="1"/>
    <xf numFmtId="0" fontId="23" fillId="0" borderId="6" xfId="0" applyFont="1" applyBorder="1"/>
    <xf numFmtId="167" fontId="23" fillId="0" borderId="6" xfId="0" applyNumberFormat="1" applyFont="1" applyBorder="1"/>
    <xf numFmtId="0" fontId="14" fillId="0" borderId="12" xfId="0" applyFont="1" applyBorder="1"/>
    <xf numFmtId="0" fontId="4" fillId="0" borderId="5" xfId="0" applyFont="1" applyBorder="1" applyAlignment="1">
      <alignment horizontal="left" indent="1"/>
    </xf>
    <xf numFmtId="168" fontId="4" fillId="0" borderId="6" xfId="0" applyNumberFormat="1" applyFont="1" applyBorder="1"/>
    <xf numFmtId="0" fontId="21" fillId="0" borderId="0" xfId="0" applyFont="1"/>
    <xf numFmtId="0" fontId="4" fillId="0" borderId="10" xfId="0" applyFont="1" applyBorder="1"/>
    <xf numFmtId="169" fontId="14" fillId="0" borderId="11" xfId="0" applyNumberFormat="1" applyFont="1" applyBorder="1" applyAlignment="1">
      <alignment horizontal="center" vertical="center"/>
    </xf>
    <xf numFmtId="169" fontId="14" fillId="0" borderId="12" xfId="0" applyNumberFormat="1" applyFont="1" applyBorder="1" applyAlignment="1">
      <alignment horizontal="center" vertical="center"/>
    </xf>
    <xf numFmtId="169" fontId="14" fillId="0" borderId="0" xfId="0" applyNumberFormat="1" applyFont="1" applyAlignment="1">
      <alignment horizontal="center" vertical="center"/>
    </xf>
    <xf numFmtId="10" fontId="13" fillId="0" borderId="0" xfId="0" applyNumberFormat="1" applyFont="1" applyAlignment="1">
      <alignment horizontal="center" vertical="center"/>
    </xf>
    <xf numFmtId="166" fontId="23" fillId="0" borderId="0" xfId="0" applyNumberFormat="1" applyFont="1"/>
    <xf numFmtId="0" fontId="24" fillId="0" borderId="0" xfId="0" applyFont="1"/>
    <xf numFmtId="0" fontId="4" fillId="4" borderId="5" xfId="0" applyFont="1" applyFill="1" applyBorder="1"/>
    <xf numFmtId="0" fontId="4" fillId="4" borderId="0" xfId="0" applyFont="1" applyFill="1"/>
    <xf numFmtId="0" fontId="4" fillId="4" borderId="6" xfId="0" applyFont="1" applyFill="1" applyBorder="1"/>
    <xf numFmtId="10" fontId="23" fillId="0" borderId="0" xfId="3" applyNumberFormat="1" applyFont="1" applyBorder="1" applyAlignment="1">
      <alignment horizontal="center" vertical="center"/>
    </xf>
    <xf numFmtId="10" fontId="23" fillId="0" borderId="6" xfId="3" applyNumberFormat="1" applyFont="1" applyBorder="1" applyAlignment="1">
      <alignment horizontal="center" vertical="center"/>
    </xf>
    <xf numFmtId="0" fontId="4" fillId="0" borderId="7" xfId="0" applyFont="1" applyBorder="1" applyAlignment="1">
      <alignment horizontal="left" indent="1"/>
    </xf>
    <xf numFmtId="10" fontId="23" fillId="0" borderId="8" xfId="3" applyNumberFormat="1" applyFont="1" applyBorder="1" applyAlignment="1">
      <alignment horizontal="center" vertical="center"/>
    </xf>
    <xf numFmtId="10" fontId="23" fillId="0" borderId="9" xfId="3" applyNumberFormat="1" applyFont="1" applyBorder="1" applyAlignment="1">
      <alignment horizontal="center" vertical="center"/>
    </xf>
    <xf numFmtId="0" fontId="4" fillId="0" borderId="3" xfId="0" applyFont="1" applyBorder="1"/>
    <xf numFmtId="168" fontId="4" fillId="0" borderId="0" xfId="0" applyNumberFormat="1" applyFont="1"/>
    <xf numFmtId="0" fontId="4" fillId="0" borderId="9" xfId="0" applyFont="1" applyBorder="1"/>
    <xf numFmtId="171" fontId="23" fillId="0" borderId="6" xfId="0" applyNumberFormat="1" applyFont="1" applyBorder="1"/>
    <xf numFmtId="177" fontId="23" fillId="0" borderId="6" xfId="0" applyNumberFormat="1" applyFont="1" applyBorder="1"/>
    <xf numFmtId="10" fontId="23" fillId="0" borderId="6" xfId="3" applyNumberFormat="1" applyFont="1" applyBorder="1"/>
    <xf numFmtId="10" fontId="23" fillId="0" borderId="9" xfId="3" applyNumberFormat="1" applyFont="1" applyBorder="1"/>
    <xf numFmtId="0" fontId="4" fillId="0" borderId="6" xfId="0" applyFont="1" applyBorder="1" applyAlignment="1">
      <alignment horizontal="right"/>
    </xf>
    <xf numFmtId="10" fontId="23" fillId="0" borderId="0" xfId="3" applyNumberFormat="1" applyFont="1" applyBorder="1"/>
    <xf numFmtId="0" fontId="10" fillId="3" borderId="3" xfId="6" applyFont="1" applyFill="1" applyBorder="1"/>
    <xf numFmtId="0" fontId="4" fillId="2" borderId="3" xfId="0" applyFont="1" applyFill="1" applyBorder="1"/>
    <xf numFmtId="0" fontId="4" fillId="2" borderId="4" xfId="0" applyFont="1" applyFill="1" applyBorder="1"/>
    <xf numFmtId="0" fontId="20" fillId="2" borderId="3" xfId="0" applyFont="1" applyFill="1" applyBorder="1"/>
    <xf numFmtId="6" fontId="4" fillId="0" borderId="0" xfId="0" applyNumberFormat="1" applyFont="1"/>
    <xf numFmtId="172" fontId="4" fillId="0" borderId="0" xfId="0" applyNumberFormat="1" applyFont="1"/>
    <xf numFmtId="10" fontId="23" fillId="0" borderId="12" xfId="3" applyNumberFormat="1" applyFont="1" applyBorder="1"/>
    <xf numFmtId="0" fontId="14" fillId="11" borderId="2" xfId="0" applyFont="1" applyFill="1" applyBorder="1"/>
    <xf numFmtId="0" fontId="14" fillId="11" borderId="3" xfId="0" applyFont="1" applyFill="1" applyBorder="1"/>
    <xf numFmtId="0" fontId="4" fillId="6" borderId="5" xfId="0" applyFont="1" applyFill="1" applyBorder="1" applyAlignment="1">
      <alignment horizontal="left" indent="1"/>
    </xf>
    <xf numFmtId="0" fontId="11" fillId="6" borderId="5" xfId="0" applyFont="1" applyFill="1" applyBorder="1" applyAlignment="1">
      <alignment horizontal="left" indent="1"/>
    </xf>
    <xf numFmtId="0" fontId="14" fillId="6" borderId="10" xfId="0" applyFont="1" applyFill="1" applyBorder="1"/>
    <xf numFmtId="0" fontId="4" fillId="6" borderId="7" xfId="0" applyFont="1" applyFill="1" applyBorder="1" applyAlignment="1">
      <alignment horizontal="left" indent="1"/>
    </xf>
    <xf numFmtId="0" fontId="4" fillId="9" borderId="0" xfId="0" applyFont="1" applyFill="1"/>
    <xf numFmtId="0" fontId="4" fillId="9" borderId="3" xfId="0" applyFont="1" applyFill="1" applyBorder="1"/>
    <xf numFmtId="166" fontId="4" fillId="9" borderId="3" xfId="0" applyNumberFormat="1" applyFont="1" applyFill="1" applyBorder="1"/>
    <xf numFmtId="10" fontId="4" fillId="0" borderId="0" xfId="0" applyNumberFormat="1" applyFont="1"/>
    <xf numFmtId="0" fontId="4" fillId="6" borderId="0" xfId="0" applyFont="1" applyFill="1"/>
    <xf numFmtId="0" fontId="14" fillId="6" borderId="0" xfId="0" applyFont="1" applyFill="1" applyAlignment="1">
      <alignment horizontal="left" indent="1"/>
    </xf>
    <xf numFmtId="0" fontId="13" fillId="6" borderId="0" xfId="0" applyFont="1" applyFill="1" applyAlignment="1">
      <alignment horizontal="right"/>
    </xf>
    <xf numFmtId="0" fontId="14" fillId="6" borderId="0" xfId="0" applyFont="1" applyFill="1"/>
    <xf numFmtId="178" fontId="14" fillId="6" borderId="0" xfId="0" applyNumberFormat="1" applyFont="1" applyFill="1" applyAlignment="1">
      <alignment horizontal="center"/>
    </xf>
    <xf numFmtId="178" fontId="14" fillId="6" borderId="0" xfId="0" applyNumberFormat="1" applyFont="1" applyFill="1"/>
    <xf numFmtId="0" fontId="4" fillId="6" borderId="0" xfId="0" applyFont="1" applyFill="1" applyAlignment="1">
      <alignment horizontal="left" wrapText="1" indent="2"/>
    </xf>
    <xf numFmtId="10" fontId="4" fillId="6" borderId="0" xfId="3" applyNumberFormat="1" applyFont="1" applyFill="1" applyAlignment="1">
      <alignment horizontal="center"/>
    </xf>
    <xf numFmtId="5" fontId="4" fillId="6" borderId="0" xfId="2" applyNumberFormat="1" applyFont="1" applyFill="1"/>
    <xf numFmtId="10" fontId="13" fillId="6" borderId="0" xfId="3" applyNumberFormat="1" applyFont="1" applyFill="1" applyAlignment="1">
      <alignment horizontal="right"/>
    </xf>
    <xf numFmtId="0" fontId="4" fillId="6" borderId="0" xfId="0" applyFont="1" applyFill="1" applyAlignment="1">
      <alignment horizontal="left" indent="1"/>
    </xf>
    <xf numFmtId="170" fontId="4" fillId="6" borderId="0" xfId="3" applyNumberFormat="1" applyFont="1" applyFill="1" applyBorder="1" applyAlignment="1">
      <alignment horizontal="right" indent="1"/>
    </xf>
    <xf numFmtId="5" fontId="4" fillId="6" borderId="0" xfId="2" applyNumberFormat="1" applyFont="1" applyFill="1" applyBorder="1"/>
    <xf numFmtId="7" fontId="4" fillId="6" borderId="0" xfId="2" applyNumberFormat="1" applyFont="1" applyFill="1" applyBorder="1"/>
    <xf numFmtId="170" fontId="4" fillId="6" borderId="0" xfId="0" applyNumberFormat="1" applyFont="1" applyFill="1" applyAlignment="1">
      <alignment horizontal="right" indent="1"/>
    </xf>
    <xf numFmtId="5" fontId="11" fillId="6" borderId="0" xfId="2" applyNumberFormat="1" applyFont="1" applyFill="1" applyBorder="1"/>
    <xf numFmtId="5" fontId="4" fillId="6" borderId="11" xfId="2" applyNumberFormat="1" applyFont="1" applyFill="1" applyBorder="1"/>
    <xf numFmtId="170" fontId="4" fillId="6" borderId="11" xfId="3" applyNumberFormat="1" applyFont="1" applyFill="1" applyBorder="1" applyAlignment="1">
      <alignment horizontal="right" indent="1"/>
    </xf>
    <xf numFmtId="5" fontId="4" fillId="6" borderId="11" xfId="0" applyNumberFormat="1" applyFont="1" applyFill="1" applyBorder="1"/>
    <xf numFmtId="7" fontId="4" fillId="6" borderId="11" xfId="2" applyNumberFormat="1" applyFont="1" applyFill="1" applyBorder="1"/>
    <xf numFmtId="0" fontId="14" fillId="6" borderId="3" xfId="0" applyFont="1" applyFill="1" applyBorder="1"/>
    <xf numFmtId="5" fontId="14" fillId="6" borderId="3" xfId="2" applyNumberFormat="1" applyFont="1" applyFill="1" applyBorder="1"/>
    <xf numFmtId="5" fontId="4" fillId="6" borderId="0" xfId="0" applyNumberFormat="1" applyFont="1" applyFill="1"/>
    <xf numFmtId="170" fontId="14" fillId="6" borderId="3" xfId="3" applyNumberFormat="1" applyFont="1" applyFill="1" applyBorder="1" applyAlignment="1">
      <alignment horizontal="right" indent="1"/>
    </xf>
    <xf numFmtId="7" fontId="14" fillId="6" borderId="3" xfId="2" applyNumberFormat="1" applyFont="1" applyFill="1" applyBorder="1"/>
    <xf numFmtId="7" fontId="4" fillId="6" borderId="0" xfId="0" applyNumberFormat="1" applyFont="1" applyFill="1"/>
    <xf numFmtId="37" fontId="13" fillId="6" borderId="0" xfId="0" applyNumberFormat="1" applyFont="1" applyFill="1"/>
    <xf numFmtId="5" fontId="4" fillId="0" borderId="0" xfId="0" applyNumberFormat="1" applyFont="1"/>
    <xf numFmtId="0" fontId="4" fillId="6" borderId="0" xfId="0" quotePrefix="1" applyFont="1" applyFill="1" applyAlignment="1">
      <alignment horizontal="right"/>
    </xf>
    <xf numFmtId="0" fontId="13" fillId="6" borderId="0" xfId="0" applyFont="1" applyFill="1"/>
    <xf numFmtId="5" fontId="13" fillId="6" borderId="0" xfId="2" applyNumberFormat="1" applyFont="1" applyFill="1"/>
    <xf numFmtId="170" fontId="14" fillId="6" borderId="0" xfId="0" applyNumberFormat="1" applyFont="1" applyFill="1" applyAlignment="1">
      <alignment horizontal="right" indent="1"/>
    </xf>
    <xf numFmtId="178" fontId="4" fillId="6" borderId="0" xfId="0" applyNumberFormat="1" applyFont="1" applyFill="1"/>
    <xf numFmtId="9" fontId="4" fillId="6" borderId="0" xfId="3" applyFont="1" applyFill="1"/>
    <xf numFmtId="178" fontId="4" fillId="6" borderId="0" xfId="0" applyNumberFormat="1" applyFont="1" applyFill="1" applyAlignment="1">
      <alignment horizontal="left"/>
    </xf>
    <xf numFmtId="41" fontId="4" fillId="6" borderId="0" xfId="0" applyNumberFormat="1" applyFont="1" applyFill="1"/>
    <xf numFmtId="171" fontId="4" fillId="0" borderId="0" xfId="0" applyNumberFormat="1" applyFont="1"/>
    <xf numFmtId="10" fontId="4" fillId="6" borderId="0" xfId="3" applyNumberFormat="1" applyFont="1" applyFill="1"/>
    <xf numFmtId="5" fontId="11" fillId="6" borderId="0" xfId="2" applyNumberFormat="1" applyFont="1" applyFill="1"/>
    <xf numFmtId="5" fontId="13" fillId="6" borderId="11" xfId="2" applyNumberFormat="1" applyFont="1" applyFill="1" applyBorder="1"/>
    <xf numFmtId="37" fontId="4" fillId="6" borderId="0" xfId="0" applyNumberFormat="1" applyFont="1" applyFill="1"/>
    <xf numFmtId="181" fontId="4" fillId="6" borderId="0" xfId="0" applyNumberFormat="1" applyFont="1" applyFill="1" applyAlignment="1">
      <alignment horizontal="left"/>
    </xf>
    <xf numFmtId="10" fontId="4" fillId="6" borderId="0" xfId="0" applyNumberFormat="1" applyFont="1" applyFill="1"/>
    <xf numFmtId="5" fontId="4" fillId="0" borderId="11" xfId="0" applyNumberFormat="1" applyFont="1" applyBorder="1"/>
    <xf numFmtId="8" fontId="4" fillId="0" borderId="0" xfId="0" applyNumberFormat="1" applyFont="1"/>
    <xf numFmtId="5" fontId="11" fillId="0" borderId="0" xfId="2" applyNumberFormat="1" applyFont="1" applyFill="1" applyBorder="1"/>
    <xf numFmtId="3" fontId="4" fillId="0" borderId="0" xfId="0" applyNumberFormat="1" applyFont="1"/>
    <xf numFmtId="7" fontId="4" fillId="0" borderId="0" xfId="0" applyNumberFormat="1" applyFont="1"/>
    <xf numFmtId="9" fontId="4" fillId="6" borderId="0" xfId="3" applyFont="1" applyFill="1" applyBorder="1"/>
    <xf numFmtId="10" fontId="4" fillId="6" borderId="0" xfId="3" applyNumberFormat="1" applyFont="1" applyFill="1" applyBorder="1"/>
    <xf numFmtId="0" fontId="10" fillId="0" borderId="0" xfId="9" applyFont="1"/>
    <xf numFmtId="0" fontId="11" fillId="0" borderId="0" xfId="9" applyFont="1"/>
    <xf numFmtId="44" fontId="11" fillId="0" borderId="0" xfId="9" applyNumberFormat="1" applyFont="1"/>
    <xf numFmtId="44" fontId="11" fillId="0" borderId="0" xfId="9" applyNumberFormat="1" applyFont="1" applyAlignment="1">
      <alignment horizontal="center" wrapText="1"/>
    </xf>
    <xf numFmtId="170" fontId="10" fillId="0" borderId="0" xfId="9" applyNumberFormat="1" applyFont="1" applyAlignment="1">
      <alignment horizontal="center" vertical="center"/>
    </xf>
    <xf numFmtId="0" fontId="10" fillId="6" borderId="1" xfId="9" applyFont="1" applyFill="1" applyBorder="1"/>
    <xf numFmtId="0" fontId="10" fillId="0" borderId="0" xfId="9" applyFont="1" applyAlignment="1">
      <alignment horizontal="left"/>
    </xf>
    <xf numFmtId="0" fontId="11" fillId="6" borderId="1" xfId="9" applyFont="1" applyFill="1" applyBorder="1"/>
    <xf numFmtId="0" fontId="11" fillId="6" borderId="0" xfId="9" applyFont="1" applyFill="1"/>
    <xf numFmtId="14" fontId="11" fillId="6" borderId="1" xfId="9" applyNumberFormat="1" applyFont="1" applyFill="1" applyBorder="1"/>
    <xf numFmtId="0" fontId="10" fillId="12" borderId="1" xfId="9" applyFont="1" applyFill="1" applyBorder="1" applyAlignment="1">
      <alignment horizontal="center" vertical="center"/>
    </xf>
    <xf numFmtId="0" fontId="10" fillId="12" borderId="1" xfId="9" applyFont="1" applyFill="1" applyBorder="1" applyAlignment="1">
      <alignment horizontal="center" vertical="center" wrapText="1"/>
    </xf>
    <xf numFmtId="44" fontId="10" fillId="12" borderId="1" xfId="9" applyNumberFormat="1" applyFont="1" applyFill="1" applyBorder="1" applyAlignment="1">
      <alignment horizontal="center" vertical="center"/>
    </xf>
    <xf numFmtId="170" fontId="10" fillId="12" borderId="1" xfId="9" applyNumberFormat="1" applyFont="1" applyFill="1" applyBorder="1" applyAlignment="1">
      <alignment horizontal="center" vertical="center"/>
    </xf>
    <xf numFmtId="0" fontId="10" fillId="0" borderId="1" xfId="9" applyFont="1" applyBorder="1" applyAlignment="1">
      <alignment horizontal="center"/>
    </xf>
    <xf numFmtId="0" fontId="10" fillId="0" borderId="1" xfId="9" applyFont="1" applyBorder="1"/>
    <xf numFmtId="3" fontId="10" fillId="0" borderId="1" xfId="9" applyNumberFormat="1" applyFont="1" applyBorder="1"/>
    <xf numFmtId="0" fontId="11" fillId="0" borderId="1" xfId="9" applyFont="1" applyBorder="1"/>
    <xf numFmtId="44" fontId="11" fillId="0" borderId="1" xfId="9" applyNumberFormat="1" applyFont="1" applyBorder="1"/>
    <xf numFmtId="44" fontId="10" fillId="0" borderId="1" xfId="9" applyNumberFormat="1" applyFont="1" applyBorder="1"/>
    <xf numFmtId="170" fontId="10" fillId="0" borderId="1" xfId="9" applyNumberFormat="1" applyFont="1" applyBorder="1" applyAlignment="1">
      <alignment horizontal="center" vertical="center"/>
    </xf>
    <xf numFmtId="0" fontId="10" fillId="3" borderId="20" xfId="9" applyFont="1" applyFill="1" applyBorder="1" applyAlignment="1">
      <alignment horizontal="center"/>
    </xf>
    <xf numFmtId="0" fontId="10" fillId="3" borderId="1" xfId="9" applyFont="1" applyFill="1" applyBorder="1"/>
    <xf numFmtId="3" fontId="10" fillId="3" borderId="1" xfId="9" applyNumberFormat="1" applyFont="1" applyFill="1" applyBorder="1"/>
    <xf numFmtId="0" fontId="11" fillId="3" borderId="1" xfId="9" applyFont="1" applyFill="1" applyBorder="1"/>
    <xf numFmtId="44" fontId="11" fillId="3" borderId="1" xfId="9" applyNumberFormat="1" applyFont="1" applyFill="1" applyBorder="1"/>
    <xf numFmtId="44" fontId="10" fillId="3" borderId="2" xfId="9" applyNumberFormat="1" applyFont="1" applyFill="1" applyBorder="1"/>
    <xf numFmtId="170" fontId="10" fillId="3" borderId="1" xfId="9" applyNumberFormat="1" applyFont="1" applyFill="1" applyBorder="1" applyAlignment="1">
      <alignment horizontal="center" vertical="center"/>
    </xf>
    <xf numFmtId="0" fontId="10" fillId="0" borderId="4" xfId="9" applyFont="1" applyBorder="1" applyAlignment="1">
      <alignment horizontal="center"/>
    </xf>
    <xf numFmtId="44" fontId="10" fillId="0" borderId="2" xfId="9" applyNumberFormat="1" applyFont="1" applyBorder="1"/>
    <xf numFmtId="0" fontId="11" fillId="0" borderId="2" xfId="9" applyFont="1" applyBorder="1" applyAlignment="1">
      <alignment horizontal="left"/>
    </xf>
    <xf numFmtId="0" fontId="11" fillId="0" borderId="3" xfId="9" applyFont="1" applyBorder="1" applyAlignment="1">
      <alignment horizontal="left"/>
    </xf>
    <xf numFmtId="0" fontId="11" fillId="0" borderId="4" xfId="9" applyFont="1" applyBorder="1" applyAlignment="1">
      <alignment horizontal="left"/>
    </xf>
    <xf numFmtId="182" fontId="11" fillId="0" borderId="20" xfId="9" applyNumberFormat="1" applyFont="1" applyBorder="1" applyAlignment="1">
      <alignment horizontal="center"/>
    </xf>
    <xf numFmtId="44" fontId="11" fillId="6" borderId="1" xfId="9" applyNumberFormat="1" applyFont="1" applyFill="1" applyBorder="1"/>
    <xf numFmtId="49" fontId="11" fillId="0" borderId="20" xfId="9" applyNumberFormat="1" applyFont="1" applyBorder="1" applyAlignment="1">
      <alignment horizontal="center"/>
    </xf>
    <xf numFmtId="3" fontId="11" fillId="0" borderId="1" xfId="9" applyNumberFormat="1" applyFont="1" applyBorder="1"/>
    <xf numFmtId="0" fontId="11" fillId="3" borderId="2" xfId="9" applyFont="1" applyFill="1" applyBorder="1" applyAlignment="1">
      <alignment horizontal="left"/>
    </xf>
    <xf numFmtId="0" fontId="11" fillId="3" borderId="3" xfId="9" applyFont="1" applyFill="1" applyBorder="1" applyAlignment="1">
      <alignment horizontal="left"/>
    </xf>
    <xf numFmtId="0" fontId="11" fillId="3" borderId="4" xfId="9" applyFont="1" applyFill="1" applyBorder="1" applyAlignment="1">
      <alignment horizontal="left"/>
    </xf>
    <xf numFmtId="0" fontId="11" fillId="0" borderId="1" xfId="9" applyFont="1" applyBorder="1" applyAlignment="1">
      <alignment horizontal="left"/>
    </xf>
    <xf numFmtId="49" fontId="11" fillId="0" borderId="1" xfId="9" applyNumberFormat="1" applyFont="1" applyBorder="1" applyAlignment="1">
      <alignment horizontal="center"/>
    </xf>
    <xf numFmtId="49" fontId="11" fillId="0" borderId="21" xfId="9" applyNumberFormat="1" applyFont="1" applyBorder="1" applyAlignment="1">
      <alignment horizontal="center"/>
    </xf>
    <xf numFmtId="182" fontId="11" fillId="0" borderId="21" xfId="9" applyNumberFormat="1" applyFont="1" applyBorder="1" applyAlignment="1">
      <alignment horizontal="center"/>
    </xf>
    <xf numFmtId="182" fontId="11" fillId="0" borderId="1" xfId="9" applyNumberFormat="1" applyFont="1" applyBorder="1" applyAlignment="1">
      <alignment horizontal="center"/>
    </xf>
    <xf numFmtId="3" fontId="10" fillId="6" borderId="1" xfId="9" applyNumberFormat="1" applyFont="1" applyFill="1" applyBorder="1"/>
    <xf numFmtId="3" fontId="11" fillId="6" borderId="1" xfId="9" applyNumberFormat="1" applyFont="1" applyFill="1" applyBorder="1"/>
    <xf numFmtId="49" fontId="11" fillId="0" borderId="4" xfId="9" applyNumberFormat="1" applyFont="1" applyBorder="1" applyAlignment="1">
      <alignment horizontal="center"/>
    </xf>
    <xf numFmtId="44" fontId="10" fillId="14" borderId="2" xfId="9" applyNumberFormat="1" applyFont="1" applyFill="1" applyBorder="1"/>
    <xf numFmtId="170" fontId="10" fillId="14" borderId="1" xfId="9" applyNumberFormat="1" applyFont="1" applyFill="1" applyBorder="1" applyAlignment="1">
      <alignment horizontal="center" vertical="center"/>
    </xf>
    <xf numFmtId="170" fontId="10" fillId="14" borderId="3" xfId="9" applyNumberFormat="1" applyFont="1" applyFill="1" applyBorder="1" applyAlignment="1">
      <alignment vertical="center"/>
    </xf>
    <xf numFmtId="170" fontId="10" fillId="14" borderId="4" xfId="9" applyNumberFormat="1" applyFont="1" applyFill="1" applyBorder="1" applyAlignment="1">
      <alignment vertical="center"/>
    </xf>
    <xf numFmtId="3" fontId="10" fillId="0" borderId="1" xfId="9" applyNumberFormat="1" applyFont="1" applyBorder="1" applyAlignment="1">
      <alignment horizontal="center"/>
    </xf>
    <xf numFmtId="0" fontId="11" fillId="0" borderId="1" xfId="9" applyFont="1" applyBorder="1" applyAlignment="1">
      <alignment horizontal="center"/>
    </xf>
    <xf numFmtId="172" fontId="11" fillId="0" borderId="1" xfId="9" applyNumberFormat="1" applyFont="1" applyBorder="1" applyAlignment="1">
      <alignment horizontal="center"/>
    </xf>
    <xf numFmtId="44" fontId="11" fillId="0" borderId="1" xfId="9" applyNumberFormat="1" applyFont="1" applyBorder="1" applyAlignment="1">
      <alignment horizontal="center"/>
    </xf>
    <xf numFmtId="0" fontId="10" fillId="14" borderId="20" xfId="9" applyFont="1" applyFill="1" applyBorder="1" applyAlignment="1">
      <alignment horizontal="center"/>
    </xf>
    <xf numFmtId="180" fontId="10" fillId="14" borderId="2" xfId="9" applyNumberFormat="1" applyFont="1" applyFill="1" applyBorder="1"/>
    <xf numFmtId="44" fontId="10" fillId="15" borderId="0" xfId="9" applyNumberFormat="1" applyFont="1" applyFill="1"/>
    <xf numFmtId="183" fontId="4" fillId="0" borderId="0" xfId="0" applyNumberFormat="1" applyFont="1"/>
    <xf numFmtId="0" fontId="11" fillId="7" borderId="2" xfId="9" applyFont="1" applyFill="1" applyBorder="1"/>
    <xf numFmtId="0" fontId="11" fillId="7" borderId="3" xfId="9" applyFont="1" applyFill="1" applyBorder="1"/>
    <xf numFmtId="44" fontId="11" fillId="7" borderId="3" xfId="9" applyNumberFormat="1" applyFont="1" applyFill="1" applyBorder="1"/>
    <xf numFmtId="171" fontId="14" fillId="0" borderId="0" xfId="0" applyNumberFormat="1" applyFont="1"/>
    <xf numFmtId="185" fontId="4" fillId="0" borderId="6" xfId="1" applyNumberFormat="1" applyFont="1" applyBorder="1"/>
    <xf numFmtId="5" fontId="4" fillId="0" borderId="10" xfId="0" applyNumberFormat="1" applyFont="1" applyBorder="1"/>
    <xf numFmtId="186" fontId="23" fillId="0" borderId="11" xfId="0" applyNumberFormat="1" applyFont="1" applyBorder="1"/>
    <xf numFmtId="170" fontId="4" fillId="0" borderId="5" xfId="3" applyNumberFormat="1" applyFont="1" applyBorder="1"/>
    <xf numFmtId="10" fontId="14" fillId="0" borderId="1" xfId="0" applyNumberFormat="1" applyFont="1" applyBorder="1"/>
    <xf numFmtId="0" fontId="21" fillId="2" borderId="3" xfId="0" applyFont="1" applyFill="1" applyBorder="1" applyAlignment="1">
      <alignment horizontal="right"/>
    </xf>
    <xf numFmtId="0" fontId="21" fillId="2" borderId="4" xfId="0" applyFont="1" applyFill="1" applyBorder="1" applyAlignment="1">
      <alignment horizontal="right"/>
    </xf>
    <xf numFmtId="170" fontId="20" fillId="2" borderId="3" xfId="0" applyNumberFormat="1" applyFont="1" applyFill="1" applyBorder="1" applyAlignment="1">
      <alignment horizontal="right" indent="1"/>
    </xf>
    <xf numFmtId="7" fontId="20" fillId="2" borderId="4" xfId="0" applyNumberFormat="1" applyFont="1" applyFill="1" applyBorder="1"/>
    <xf numFmtId="180" fontId="21" fillId="2" borderId="2" xfId="2" applyNumberFormat="1" applyFont="1" applyFill="1" applyBorder="1" applyAlignment="1"/>
    <xf numFmtId="5" fontId="21" fillId="2" borderId="4" xfId="2" applyNumberFormat="1" applyFont="1" applyFill="1" applyBorder="1" applyAlignment="1"/>
    <xf numFmtId="187" fontId="4" fillId="0" borderId="4" xfId="0" applyNumberFormat="1" applyFont="1" applyBorder="1"/>
    <xf numFmtId="0" fontId="21" fillId="2" borderId="2" xfId="0" applyFont="1" applyFill="1" applyBorder="1" applyAlignment="1">
      <alignment horizontal="left"/>
    </xf>
    <xf numFmtId="0" fontId="21" fillId="2" borderId="3" xfId="0" applyFont="1" applyFill="1" applyBorder="1" applyAlignment="1">
      <alignment horizontal="left"/>
    </xf>
    <xf numFmtId="0" fontId="21" fillId="2" borderId="4" xfId="0" applyFont="1" applyFill="1" applyBorder="1" applyAlignment="1">
      <alignment horizontal="left"/>
    </xf>
    <xf numFmtId="191" fontId="4" fillId="0" borderId="10" xfId="0" applyNumberFormat="1" applyFont="1" applyBorder="1" applyAlignment="1">
      <alignment horizontal="left" indent="1"/>
    </xf>
    <xf numFmtId="191" fontId="4" fillId="0" borderId="5" xfId="0" applyNumberFormat="1" applyFont="1" applyBorder="1" applyAlignment="1">
      <alignment horizontal="left" indent="1"/>
    </xf>
    <xf numFmtId="191" fontId="4" fillId="0" borderId="7" xfId="0" applyNumberFormat="1" applyFont="1" applyBorder="1" applyAlignment="1">
      <alignment horizontal="left" indent="1"/>
    </xf>
    <xf numFmtId="188" fontId="4" fillId="9" borderId="5" xfId="0" applyNumberFormat="1" applyFont="1" applyFill="1" applyBorder="1" applyAlignment="1">
      <alignment horizontal="left" indent="1"/>
    </xf>
    <xf numFmtId="170" fontId="14" fillId="9" borderId="6" xfId="3" applyNumberFormat="1" applyFont="1" applyFill="1" applyBorder="1"/>
    <xf numFmtId="189" fontId="4" fillId="9" borderId="5" xfId="0" applyNumberFormat="1" applyFont="1" applyFill="1" applyBorder="1" applyAlignment="1">
      <alignment horizontal="left" indent="1"/>
    </xf>
    <xf numFmtId="5" fontId="4" fillId="9" borderId="6" xfId="0" applyNumberFormat="1" applyFont="1" applyFill="1" applyBorder="1"/>
    <xf numFmtId="190" fontId="4" fillId="9" borderId="5" xfId="0" applyNumberFormat="1" applyFont="1" applyFill="1" applyBorder="1" applyAlignment="1">
      <alignment horizontal="left" indent="1"/>
    </xf>
    <xf numFmtId="187" fontId="14" fillId="9" borderId="6" xfId="0" applyNumberFormat="1" applyFont="1" applyFill="1" applyBorder="1"/>
    <xf numFmtId="10" fontId="14" fillId="9" borderId="6" xfId="3" applyNumberFormat="1" applyFont="1" applyFill="1" applyBorder="1"/>
    <xf numFmtId="190" fontId="4" fillId="9" borderId="7" xfId="0" applyNumberFormat="1" applyFont="1" applyFill="1" applyBorder="1" applyAlignment="1">
      <alignment horizontal="left" indent="1"/>
    </xf>
    <xf numFmtId="0" fontId="4" fillId="9" borderId="8" xfId="0" applyFont="1" applyFill="1" applyBorder="1"/>
    <xf numFmtId="187" fontId="14" fillId="9" borderId="9" xfId="0" applyNumberFormat="1" applyFont="1" applyFill="1" applyBorder="1"/>
    <xf numFmtId="37" fontId="14" fillId="0" borderId="11" xfId="0" applyNumberFormat="1" applyFont="1" applyBorder="1"/>
    <xf numFmtId="0" fontId="10" fillId="0" borderId="3" xfId="6" applyFont="1" applyBorder="1" applyAlignment="1">
      <alignment horizontal="left" indent="1"/>
    </xf>
    <xf numFmtId="0" fontId="14" fillId="3" borderId="3" xfId="7" applyFont="1" applyFill="1" applyBorder="1"/>
    <xf numFmtId="0" fontId="4" fillId="3" borderId="3" xfId="0" applyFont="1" applyFill="1" applyBorder="1"/>
    <xf numFmtId="5" fontId="4" fillId="3" borderId="3" xfId="0" applyNumberFormat="1" applyFont="1" applyFill="1" applyBorder="1"/>
    <xf numFmtId="175" fontId="17" fillId="9" borderId="11" xfId="0" applyNumberFormat="1" applyFont="1" applyFill="1" applyBorder="1"/>
    <xf numFmtId="175" fontId="17" fillId="9" borderId="0" xfId="0" applyNumberFormat="1" applyFont="1" applyFill="1"/>
    <xf numFmtId="175" fontId="17" fillId="9" borderId="0" xfId="0" applyNumberFormat="1" applyFont="1" applyFill="1" applyAlignment="1">
      <alignment horizontal="left" indent="2"/>
    </xf>
    <xf numFmtId="175" fontId="17" fillId="9" borderId="8" xfId="0" applyNumberFormat="1" applyFont="1" applyFill="1" applyBorder="1" applyAlignment="1">
      <alignment horizontal="left" indent="2"/>
    </xf>
    <xf numFmtId="175" fontId="10" fillId="7" borderId="3" xfId="0" applyNumberFormat="1" applyFont="1" applyFill="1" applyBorder="1"/>
    <xf numFmtId="0" fontId="11" fillId="7" borderId="3" xfId="0" applyFont="1" applyFill="1" applyBorder="1"/>
    <xf numFmtId="0" fontId="4" fillId="9" borderId="11" xfId="0" applyFont="1" applyFill="1" applyBorder="1"/>
    <xf numFmtId="5" fontId="13" fillId="0" borderId="0" xfId="0" applyNumberFormat="1" applyFont="1"/>
    <xf numFmtId="5" fontId="13" fillId="3" borderId="3" xfId="0" applyNumberFormat="1" applyFont="1" applyFill="1" applyBorder="1"/>
    <xf numFmtId="0" fontId="14" fillId="0" borderId="2" xfId="0" applyFont="1" applyBorder="1"/>
    <xf numFmtId="5" fontId="14" fillId="0" borderId="0" xfId="0" applyNumberFormat="1" applyFont="1"/>
    <xf numFmtId="5" fontId="14" fillId="0" borderId="3" xfId="1" applyNumberFormat="1" applyFont="1" applyBorder="1"/>
    <xf numFmtId="171" fontId="4" fillId="0" borderId="11" xfId="0" applyNumberFormat="1" applyFont="1" applyBorder="1"/>
    <xf numFmtId="5" fontId="10" fillId="5" borderId="3" xfId="0" applyNumberFormat="1" applyFont="1" applyFill="1" applyBorder="1"/>
    <xf numFmtId="5" fontId="14" fillId="0" borderId="11" xfId="0" applyNumberFormat="1" applyFont="1" applyBorder="1"/>
    <xf numFmtId="5" fontId="4" fillId="9" borderId="0" xfId="0" applyNumberFormat="1" applyFont="1" applyFill="1"/>
    <xf numFmtId="5" fontId="4" fillId="9" borderId="8" xfId="0" applyNumberFormat="1" applyFont="1" applyFill="1" applyBorder="1"/>
    <xf numFmtId="173" fontId="19" fillId="0" borderId="0" xfId="0" applyNumberFormat="1" applyFont="1" applyAlignment="1">
      <alignment horizontal="left"/>
    </xf>
    <xf numFmtId="174" fontId="19" fillId="0" borderId="0" xfId="0" applyNumberFormat="1" applyFont="1" applyAlignment="1">
      <alignment horizontal="left"/>
    </xf>
    <xf numFmtId="10" fontId="26" fillId="0" borderId="0" xfId="3" applyNumberFormat="1" applyFont="1"/>
    <xf numFmtId="192" fontId="19" fillId="6" borderId="0" xfId="0" applyNumberFormat="1" applyFont="1" applyFill="1" applyAlignment="1">
      <alignment horizontal="left"/>
    </xf>
    <xf numFmtId="5" fontId="14" fillId="3" borderId="3" xfId="0" applyNumberFormat="1" applyFont="1" applyFill="1" applyBorder="1"/>
    <xf numFmtId="5" fontId="14" fillId="9" borderId="3" xfId="0" applyNumberFormat="1" applyFont="1" applyFill="1" applyBorder="1"/>
    <xf numFmtId="5" fontId="14" fillId="9" borderId="0" xfId="0" applyNumberFormat="1" applyFont="1" applyFill="1"/>
    <xf numFmtId="10" fontId="17" fillId="9" borderId="0" xfId="3" applyNumberFormat="1" applyFont="1" applyFill="1" applyAlignment="1">
      <alignment horizontal="right"/>
    </xf>
    <xf numFmtId="187" fontId="17" fillId="9" borderId="8" xfId="0" applyNumberFormat="1" applyFont="1" applyFill="1" applyBorder="1"/>
    <xf numFmtId="5" fontId="30" fillId="9" borderId="3" xfId="0" applyNumberFormat="1" applyFont="1" applyFill="1" applyBorder="1"/>
    <xf numFmtId="5" fontId="30" fillId="9" borderId="0" xfId="0" applyNumberFormat="1" applyFont="1" applyFill="1"/>
    <xf numFmtId="5" fontId="17" fillId="9" borderId="0" xfId="0" applyNumberFormat="1" applyFont="1" applyFill="1"/>
    <xf numFmtId="6" fontId="10" fillId="7" borderId="3" xfId="0" applyNumberFormat="1" applyFont="1" applyFill="1" applyBorder="1"/>
    <xf numFmtId="6" fontId="31" fillId="7" borderId="3" xfId="0" applyNumberFormat="1" applyFont="1" applyFill="1" applyBorder="1"/>
    <xf numFmtId="5" fontId="10" fillId="0" borderId="0" xfId="0" applyNumberFormat="1" applyFont="1"/>
    <xf numFmtId="5" fontId="10" fillId="6" borderId="0" xfId="6" applyNumberFormat="1" applyFont="1" applyFill="1"/>
    <xf numFmtId="5" fontId="4" fillId="0" borderId="6" xfId="0" applyNumberFormat="1" applyFont="1" applyBorder="1"/>
    <xf numFmtId="5" fontId="14" fillId="11" borderId="4" xfId="0" applyNumberFormat="1" applyFont="1" applyFill="1" applyBorder="1"/>
    <xf numFmtId="171" fontId="14" fillId="11" borderId="4" xfId="0" applyNumberFormat="1" applyFont="1" applyFill="1" applyBorder="1"/>
    <xf numFmtId="187" fontId="4" fillId="0" borderId="0" xfId="0" applyNumberFormat="1" applyFont="1"/>
    <xf numFmtId="177" fontId="23" fillId="0" borderId="9" xfId="0" applyNumberFormat="1" applyFont="1" applyBorder="1"/>
    <xf numFmtId="0" fontId="21" fillId="2" borderId="10" xfId="0" applyFont="1" applyFill="1" applyBorder="1"/>
    <xf numFmtId="0" fontId="21" fillId="2" borderId="11" xfId="0" applyFont="1" applyFill="1" applyBorder="1"/>
    <xf numFmtId="0" fontId="21" fillId="2" borderId="12" xfId="0" applyFont="1" applyFill="1" applyBorder="1"/>
    <xf numFmtId="10" fontId="4" fillId="0" borderId="8" xfId="3" applyNumberFormat="1" applyFont="1" applyBorder="1"/>
    <xf numFmtId="171" fontId="4" fillId="0" borderId="6" xfId="0" applyNumberFormat="1" applyFont="1" applyBorder="1" applyAlignment="1">
      <alignment horizontal="center"/>
    </xf>
    <xf numFmtId="10" fontId="4" fillId="0" borderId="9" xfId="3" applyNumberFormat="1" applyFont="1" applyBorder="1"/>
    <xf numFmtId="0" fontId="21" fillId="2" borderId="2" xfId="0" applyFont="1" applyFill="1" applyBorder="1" applyAlignment="1">
      <alignment vertical="center"/>
    </xf>
    <xf numFmtId="37" fontId="34" fillId="0" borderId="0" xfId="12" applyFont="1"/>
    <xf numFmtId="0" fontId="21" fillId="2" borderId="0" xfId="0" applyFont="1" applyFill="1"/>
    <xf numFmtId="194" fontId="21" fillId="2" borderId="0" xfId="0" applyNumberFormat="1" applyFont="1" applyFill="1" applyAlignment="1">
      <alignment horizontal="right"/>
    </xf>
    <xf numFmtId="0" fontId="11" fillId="6" borderId="11" xfId="0" applyFont="1" applyFill="1" applyBorder="1" applyAlignment="1">
      <alignment horizontal="left"/>
    </xf>
    <xf numFmtId="0" fontId="11" fillId="6" borderId="11" xfId="0" applyFont="1" applyFill="1" applyBorder="1" applyAlignment="1">
      <alignment horizontal="right"/>
    </xf>
    <xf numFmtId="43" fontId="11" fillId="6" borderId="11" xfId="1" applyFont="1" applyFill="1" applyBorder="1"/>
    <xf numFmtId="0" fontId="10" fillId="6" borderId="0" xfId="0" applyFont="1" applyFill="1" applyAlignment="1">
      <alignment horizontal="left"/>
    </xf>
    <xf numFmtId="0" fontId="11" fillId="6" borderId="0" xfId="0" applyFont="1" applyFill="1" applyAlignment="1">
      <alignment horizontal="right"/>
    </xf>
    <xf numFmtId="43" fontId="11" fillId="6" borderId="0" xfId="1" applyFont="1" applyFill="1" applyBorder="1"/>
    <xf numFmtId="0" fontId="11" fillId="6" borderId="0" xfId="0" applyFont="1" applyFill="1" applyAlignment="1">
      <alignment horizontal="left" indent="2"/>
    </xf>
    <xf numFmtId="37" fontId="11" fillId="6" borderId="0" xfId="3" applyNumberFormat="1" applyFont="1" applyFill="1" applyBorder="1"/>
    <xf numFmtId="170" fontId="11" fillId="6" borderId="0" xfId="3" applyNumberFormat="1" applyFont="1" applyFill="1" applyBorder="1"/>
    <xf numFmtId="7" fontId="11" fillId="6" borderId="0" xfId="3" applyNumberFormat="1" applyFont="1" applyFill="1" applyBorder="1"/>
    <xf numFmtId="7" fontId="11" fillId="6" borderId="0" xfId="3" applyNumberFormat="1" applyFont="1" applyFill="1"/>
    <xf numFmtId="5" fontId="10" fillId="6" borderId="11" xfId="1" applyNumberFormat="1" applyFont="1" applyFill="1" applyBorder="1"/>
    <xf numFmtId="43" fontId="14" fillId="0" borderId="0" xfId="0" applyNumberFormat="1" applyFont="1"/>
    <xf numFmtId="5" fontId="10" fillId="6" borderId="0" xfId="1" applyNumberFormat="1" applyFont="1" applyFill="1"/>
    <xf numFmtId="5" fontId="14" fillId="6" borderId="0" xfId="0" applyNumberFormat="1" applyFont="1" applyFill="1"/>
    <xf numFmtId="5" fontId="14" fillId="6" borderId="11" xfId="1" applyNumberFormat="1" applyFont="1" applyFill="1" applyBorder="1"/>
    <xf numFmtId="5" fontId="14" fillId="6" borderId="0" xfId="1" applyNumberFormat="1" applyFont="1" applyFill="1"/>
    <xf numFmtId="5" fontId="14" fillId="6" borderId="3" xfId="1" applyNumberFormat="1" applyFont="1" applyFill="1" applyBorder="1"/>
    <xf numFmtId="180" fontId="14" fillId="0" borderId="0" xfId="2" applyNumberFormat="1" applyFont="1"/>
    <xf numFmtId="0" fontId="13" fillId="0" borderId="0" xfId="0" applyFont="1"/>
    <xf numFmtId="5" fontId="4" fillId="6" borderId="0" xfId="1" applyNumberFormat="1" applyFont="1" applyFill="1"/>
    <xf numFmtId="180" fontId="4" fillId="0" borderId="0" xfId="2" applyNumberFormat="1" applyFont="1"/>
    <xf numFmtId="0" fontId="13" fillId="6" borderId="0" xfId="0" applyFont="1" applyFill="1" applyAlignment="1">
      <alignment horizontal="left" indent="2"/>
    </xf>
    <xf numFmtId="41" fontId="35" fillId="6" borderId="0" xfId="3" applyNumberFormat="1" applyFont="1" applyFill="1"/>
    <xf numFmtId="9" fontId="13" fillId="6" borderId="0" xfId="3" applyFont="1" applyFill="1"/>
    <xf numFmtId="5" fontId="4" fillId="6" borderId="23" xfId="0" applyNumberFormat="1" applyFont="1" applyFill="1" applyBorder="1"/>
    <xf numFmtId="5" fontId="14" fillId="6" borderId="23" xfId="1" applyNumberFormat="1" applyFont="1" applyFill="1" applyBorder="1"/>
    <xf numFmtId="10" fontId="4" fillId="6" borderId="0" xfId="3" applyNumberFormat="1" applyFont="1" applyFill="1" applyAlignment="1">
      <alignment horizontal="right" indent="1"/>
    </xf>
    <xf numFmtId="10" fontId="14" fillId="0" borderId="0" xfId="3" applyNumberFormat="1" applyFont="1"/>
    <xf numFmtId="7" fontId="14" fillId="0" borderId="0" xfId="0" applyNumberFormat="1" applyFont="1"/>
    <xf numFmtId="0" fontId="4" fillId="6" borderId="0" xfId="0" applyFont="1" applyFill="1" applyAlignment="1">
      <alignment horizontal="left" indent="2"/>
    </xf>
    <xf numFmtId="5" fontId="4" fillId="6" borderId="0" xfId="0" applyNumberFormat="1" applyFont="1" applyFill="1" applyAlignment="1">
      <alignment horizontal="left" indent="2"/>
    </xf>
    <xf numFmtId="170" fontId="14" fillId="0" borderId="0" xfId="3" applyNumberFormat="1" applyFont="1"/>
    <xf numFmtId="0" fontId="13" fillId="6" borderId="0" xfId="0" applyFont="1" applyFill="1" applyAlignment="1">
      <alignment horizontal="right" indent="2"/>
    </xf>
    <xf numFmtId="5" fontId="13" fillId="6" borderId="0" xfId="3" applyNumberFormat="1" applyFont="1" applyFill="1"/>
    <xf numFmtId="5" fontId="14" fillId="6" borderId="23" xfId="0" applyNumberFormat="1" applyFont="1" applyFill="1" applyBorder="1"/>
    <xf numFmtId="172" fontId="11" fillId="6" borderId="0" xfId="3" applyNumberFormat="1" applyFont="1" applyFill="1" applyBorder="1"/>
    <xf numFmtId="171" fontId="11" fillId="6" borderId="0" xfId="3" applyNumberFormat="1" applyFont="1" applyFill="1" applyBorder="1"/>
    <xf numFmtId="5" fontId="11" fillId="6" borderId="0" xfId="3" applyNumberFormat="1" applyFont="1" applyFill="1" applyBorder="1"/>
    <xf numFmtId="7" fontId="11" fillId="6" borderId="0" xfId="1" applyNumberFormat="1" applyFont="1" applyFill="1"/>
    <xf numFmtId="5" fontId="11" fillId="6" borderId="0" xfId="1" applyNumberFormat="1" applyFont="1" applyFill="1" applyBorder="1"/>
    <xf numFmtId="180" fontId="21" fillId="2" borderId="10" xfId="2" applyNumberFormat="1" applyFont="1" applyFill="1" applyBorder="1" applyAlignment="1"/>
    <xf numFmtId="0" fontId="20" fillId="2" borderId="11" xfId="0" applyFont="1" applyFill="1" applyBorder="1"/>
    <xf numFmtId="5" fontId="21" fillId="2" borderId="12" xfId="2" applyNumberFormat="1" applyFont="1" applyFill="1" applyBorder="1" applyAlignment="1"/>
    <xf numFmtId="10" fontId="4" fillId="0" borderId="12" xfId="3" applyNumberFormat="1" applyFont="1" applyBorder="1"/>
    <xf numFmtId="10" fontId="4" fillId="0" borderId="6" xfId="3" applyNumberFormat="1" applyFont="1" applyBorder="1"/>
    <xf numFmtId="170" fontId="4" fillId="0" borderId="0" xfId="3" applyNumberFormat="1" applyFont="1"/>
    <xf numFmtId="0" fontId="4" fillId="0" borderId="0" xfId="0" applyFont="1" applyAlignment="1">
      <alignment horizontal="left" indent="2"/>
    </xf>
    <xf numFmtId="10" fontId="4" fillId="0" borderId="0" xfId="3" applyNumberFormat="1" applyFont="1" applyBorder="1"/>
    <xf numFmtId="0" fontId="4" fillId="0" borderId="0" xfId="0" applyFont="1" applyAlignment="1">
      <alignment horizontal="center"/>
    </xf>
    <xf numFmtId="168" fontId="4" fillId="0" borderId="0" xfId="0" applyNumberFormat="1" applyFont="1" applyAlignment="1">
      <alignment horizontal="center"/>
    </xf>
    <xf numFmtId="0" fontId="14" fillId="0" borderId="0" xfId="0" applyFont="1" applyAlignment="1">
      <alignment horizontal="right"/>
    </xf>
    <xf numFmtId="172" fontId="23" fillId="0" borderId="9" xfId="0" applyNumberFormat="1" applyFont="1" applyBorder="1"/>
    <xf numFmtId="0" fontId="26" fillId="0" borderId="0" xfId="0" applyFont="1" applyAlignment="1">
      <alignment horizontal="center"/>
    </xf>
    <xf numFmtId="0" fontId="26" fillId="0" borderId="0" xfId="0" applyFont="1"/>
    <xf numFmtId="10" fontId="26" fillId="0" borderId="0" xfId="0" applyNumberFormat="1" applyFont="1"/>
    <xf numFmtId="5" fontId="26" fillId="0" borderId="0" xfId="0" applyNumberFormat="1" applyFont="1"/>
    <xf numFmtId="0" fontId="14" fillId="0" borderId="0" xfId="0" applyFont="1" applyAlignment="1">
      <alignment horizontal="center"/>
    </xf>
    <xf numFmtId="0" fontId="4" fillId="0" borderId="6" xfId="0" applyFont="1" applyBorder="1" applyAlignment="1">
      <alignment horizontal="right"/>
      <extLst>
        <ext xmlns:xfpb="http://schemas.microsoft.com/office/spreadsheetml/2022/featurepropertybag" uri="{C7286773-470A-42A8-94C5-96B5CB345126}">
          <xfpb:xfComplement i="0"/>
        </ext>
      </extLst>
    </xf>
    <xf numFmtId="0" fontId="14" fillId="0" borderId="5" xfId="0" applyFont="1" applyBorder="1"/>
    <xf numFmtId="10" fontId="13" fillId="0" borderId="0" xfId="3" applyNumberFormat="1" applyFont="1" applyBorder="1" applyAlignment="1">
      <alignment horizontal="center"/>
    </xf>
    <xf numFmtId="10" fontId="13" fillId="0" borderId="6" xfId="3" applyNumberFormat="1" applyFont="1" applyBorder="1" applyAlignment="1">
      <alignment horizontal="center"/>
    </xf>
    <xf numFmtId="0" fontId="4" fillId="9" borderId="5" xfId="0" applyFont="1" applyFill="1" applyBorder="1" applyAlignment="1">
      <alignment horizontal="left" indent="1"/>
    </xf>
    <xf numFmtId="0" fontId="4" fillId="9" borderId="7" xfId="0" applyFont="1" applyFill="1" applyBorder="1" applyAlignment="1">
      <alignment horizontal="left" indent="1"/>
    </xf>
    <xf numFmtId="0" fontId="23" fillId="9" borderId="6" xfId="0" applyFont="1" applyFill="1" applyBorder="1"/>
    <xf numFmtId="5" fontId="4" fillId="0" borderId="11" xfId="0" applyNumberFormat="1" applyFont="1" applyBorder="1" applyAlignment="1">
      <alignment horizontal="center"/>
    </xf>
    <xf numFmtId="5" fontId="4" fillId="0" borderId="12" xfId="0" applyNumberFormat="1" applyFont="1" applyBorder="1" applyAlignment="1">
      <alignment horizontal="center"/>
    </xf>
    <xf numFmtId="10" fontId="23" fillId="0" borderId="6" xfId="0" applyNumberFormat="1" applyFont="1" applyBorder="1" applyAlignment="1">
      <alignment horizontal="center"/>
    </xf>
    <xf numFmtId="10" fontId="23" fillId="0" borderId="0" xfId="0" applyNumberFormat="1" applyFont="1" applyAlignment="1">
      <alignment horizontal="center"/>
    </xf>
    <xf numFmtId="171" fontId="14" fillId="9" borderId="6" xfId="0" applyNumberFormat="1" applyFont="1" applyFill="1" applyBorder="1"/>
    <xf numFmtId="10" fontId="14" fillId="9" borderId="9" xfId="3" applyNumberFormat="1" applyFont="1" applyFill="1" applyBorder="1"/>
    <xf numFmtId="0" fontId="0" fillId="0" borderId="0" xfId="0" applyAlignment="1">
      <alignment horizontal="left"/>
    </xf>
    <xf numFmtId="0" fontId="18" fillId="0" borderId="12" xfId="0" applyFont="1" applyBorder="1" applyAlignment="1">
      <alignment horizontal="center" vertical="center"/>
    </xf>
    <xf numFmtId="184" fontId="23" fillId="0" borderId="0" xfId="0" applyNumberFormat="1" applyFont="1"/>
    <xf numFmtId="5" fontId="11" fillId="0" borderId="0" xfId="0" applyNumberFormat="1" applyFont="1"/>
    <xf numFmtId="165" fontId="0" fillId="0" borderId="0" xfId="1" applyNumberFormat="1" applyFont="1" applyBorder="1" applyAlignment="1">
      <alignment horizontal="center"/>
    </xf>
    <xf numFmtId="196" fontId="0" fillId="0" borderId="0" xfId="0" applyNumberFormat="1" applyAlignment="1">
      <alignment horizontal="center"/>
    </xf>
    <xf numFmtId="0" fontId="0" fillId="0" borderId="8" xfId="0" applyBorder="1" applyAlignment="1">
      <alignment horizontal="left"/>
    </xf>
    <xf numFmtId="171" fontId="0" fillId="0" borderId="8" xfId="0" applyNumberFormat="1" applyBorder="1" applyAlignment="1">
      <alignment horizontal="center"/>
    </xf>
    <xf numFmtId="165" fontId="0" fillId="0" borderId="8" xfId="1" applyNumberFormat="1" applyFont="1" applyBorder="1" applyAlignment="1">
      <alignment horizontal="center"/>
    </xf>
    <xf numFmtId="196" fontId="0" fillId="0" borderId="8" xfId="0" applyNumberFormat="1" applyBorder="1" applyAlignment="1">
      <alignment horizontal="center"/>
    </xf>
    <xf numFmtId="0" fontId="0" fillId="0" borderId="8" xfId="0" applyBorder="1" applyAlignment="1">
      <alignment horizontal="center"/>
    </xf>
    <xf numFmtId="0" fontId="0" fillId="0" borderId="9" xfId="0" applyBorder="1"/>
    <xf numFmtId="0" fontId="2" fillId="2" borderId="2" xfId="0" applyFont="1" applyFill="1" applyBorder="1" applyAlignment="1">
      <alignment vertical="center"/>
    </xf>
    <xf numFmtId="0" fontId="2" fillId="2" borderId="3" xfId="0" applyFont="1" applyFill="1"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2" xfId="0" applyBorder="1" applyAlignment="1">
      <alignment horizontal="right"/>
    </xf>
    <xf numFmtId="171" fontId="0" fillId="0" borderId="3" xfId="0" applyNumberFormat="1" applyBorder="1" applyAlignment="1">
      <alignment horizontal="center"/>
    </xf>
    <xf numFmtId="165" fontId="0" fillId="0" borderId="3" xfId="1" applyNumberFormat="1" applyFont="1" applyBorder="1" applyAlignment="1">
      <alignment horizontal="center"/>
    </xf>
    <xf numFmtId="196" fontId="0" fillId="0" borderId="4" xfId="0" applyNumberFormat="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37" fontId="0" fillId="0" borderId="0" xfId="0" applyNumberFormat="1"/>
    <xf numFmtId="37" fontId="3" fillId="0" borderId="0" xfId="0" applyNumberFormat="1" applyFont="1" applyAlignment="1">
      <alignment horizontal="right"/>
    </xf>
    <xf numFmtId="37" fontId="0" fillId="0" borderId="0" xfId="0" applyNumberFormat="1" applyAlignment="1">
      <alignment horizontal="right"/>
    </xf>
    <xf numFmtId="0" fontId="0" fillId="0" borderId="0" xfId="0" applyAlignment="1">
      <alignment horizontal="left" indent="2"/>
    </xf>
    <xf numFmtId="37" fontId="14" fillId="6" borderId="3" xfId="0" applyNumberFormat="1" applyFont="1" applyFill="1" applyBorder="1" applyAlignment="1">
      <alignment horizontal="right" wrapText="1"/>
    </xf>
    <xf numFmtId="37" fontId="4" fillId="6" borderId="0" xfId="0" applyNumberFormat="1" applyFont="1" applyFill="1" applyAlignment="1">
      <alignment horizontal="right"/>
    </xf>
    <xf numFmtId="195" fontId="4" fillId="6" borderId="0" xfId="0" applyNumberFormat="1" applyFont="1" applyFill="1" applyAlignment="1">
      <alignment horizontal="right"/>
    </xf>
    <xf numFmtId="195" fontId="4" fillId="6" borderId="0" xfId="0" applyNumberFormat="1" applyFont="1" applyFill="1"/>
    <xf numFmtId="170" fontId="37" fillId="6" borderId="0" xfId="3" applyNumberFormat="1" applyFont="1" applyFill="1" applyAlignment="1">
      <alignment horizontal="left" vertical="top"/>
    </xf>
    <xf numFmtId="170" fontId="37" fillId="6" borderId="0" xfId="3" applyNumberFormat="1" applyFont="1" applyFill="1" applyAlignment="1">
      <alignment horizontal="right" vertical="top"/>
    </xf>
    <xf numFmtId="170" fontId="4" fillId="6" borderId="0" xfId="3" applyNumberFormat="1" applyFont="1" applyFill="1" applyAlignment="1">
      <alignment horizontal="right"/>
    </xf>
    <xf numFmtId="0" fontId="14" fillId="6" borderId="11" xfId="0" applyFont="1" applyFill="1" applyBorder="1"/>
    <xf numFmtId="195" fontId="14" fillId="6" borderId="11" xfId="0" applyNumberFormat="1" applyFont="1" applyFill="1" applyBorder="1" applyAlignment="1">
      <alignment horizontal="right"/>
    </xf>
    <xf numFmtId="0" fontId="14" fillId="6" borderId="8" xfId="0" applyFont="1" applyFill="1" applyBorder="1"/>
    <xf numFmtId="170" fontId="14" fillId="6" borderId="8" xfId="3" applyNumberFormat="1" applyFont="1" applyFill="1" applyBorder="1" applyAlignment="1">
      <alignment horizontal="right"/>
    </xf>
    <xf numFmtId="37" fontId="14" fillId="6" borderId="0" xfId="0" applyNumberFormat="1" applyFont="1" applyFill="1" applyAlignment="1">
      <alignment horizontal="right"/>
    </xf>
    <xf numFmtId="197" fontId="4" fillId="6" borderId="0" xfId="0" applyNumberFormat="1" applyFont="1" applyFill="1" applyAlignment="1">
      <alignment horizontal="right"/>
    </xf>
    <xf numFmtId="197" fontId="4" fillId="6" borderId="0" xfId="0" applyNumberFormat="1" applyFont="1" applyFill="1"/>
    <xf numFmtId="197" fontId="4" fillId="6" borderId="0" xfId="3" applyNumberFormat="1" applyFont="1" applyFill="1" applyAlignment="1">
      <alignment horizontal="right"/>
    </xf>
    <xf numFmtId="197" fontId="14" fillId="6" borderId="11" xfId="0" applyNumberFormat="1" applyFont="1" applyFill="1" applyBorder="1" applyAlignment="1">
      <alignment horizontal="right"/>
    </xf>
    <xf numFmtId="170" fontId="37" fillId="6" borderId="0" xfId="3" applyNumberFormat="1" applyFont="1" applyFill="1" applyAlignment="1">
      <alignment horizontal="left" vertical="top" indent="4"/>
    </xf>
    <xf numFmtId="0" fontId="0" fillId="6" borderId="0" xfId="0" applyFill="1"/>
    <xf numFmtId="37" fontId="0" fillId="6" borderId="0" xfId="0" applyNumberFormat="1" applyFill="1" applyAlignment="1">
      <alignment horizontal="right"/>
    </xf>
    <xf numFmtId="37" fontId="0" fillId="6" borderId="0" xfId="0" applyNumberFormat="1" applyFill="1"/>
    <xf numFmtId="37" fontId="3" fillId="6" borderId="0" xfId="0" applyNumberFormat="1" applyFont="1" applyFill="1" applyAlignment="1">
      <alignment horizontal="right"/>
    </xf>
    <xf numFmtId="0" fontId="3" fillId="6" borderId="11" xfId="0" applyFont="1" applyFill="1" applyBorder="1"/>
    <xf numFmtId="37" fontId="0" fillId="6" borderId="11" xfId="0" applyNumberFormat="1" applyFill="1" applyBorder="1" applyAlignment="1">
      <alignment horizontal="right"/>
    </xf>
    <xf numFmtId="37" fontId="0" fillId="6" borderId="11" xfId="0" applyNumberFormat="1" applyFill="1" applyBorder="1"/>
    <xf numFmtId="170" fontId="37" fillId="6" borderId="8" xfId="3" applyNumberFormat="1" applyFont="1" applyFill="1" applyBorder="1" applyAlignment="1">
      <alignment horizontal="left" vertical="top" indent="4"/>
    </xf>
    <xf numFmtId="170" fontId="37" fillId="6" borderId="8" xfId="3" applyNumberFormat="1" applyFont="1" applyFill="1" applyBorder="1" applyAlignment="1">
      <alignment horizontal="right" vertical="top"/>
    </xf>
    <xf numFmtId="43" fontId="0" fillId="0" borderId="0" xfId="1" applyFont="1"/>
    <xf numFmtId="10" fontId="0" fillId="0" borderId="0" xfId="3" applyNumberFormat="1" applyFont="1"/>
    <xf numFmtId="6" fontId="14" fillId="0" borderId="0" xfId="0" applyNumberFormat="1" applyFont="1"/>
    <xf numFmtId="37" fontId="14" fillId="0" borderId="0" xfId="0" applyNumberFormat="1" applyFont="1"/>
    <xf numFmtId="168" fontId="11" fillId="0" borderId="11" xfId="0" applyNumberFormat="1" applyFont="1" applyBorder="1" applyAlignment="1">
      <alignment horizontal="right"/>
    </xf>
    <xf numFmtId="7" fontId="0" fillId="0" borderId="0" xfId="0" applyNumberFormat="1"/>
    <xf numFmtId="171" fontId="14" fillId="0" borderId="0" xfId="1" applyNumberFormat="1" applyFont="1" applyBorder="1"/>
    <xf numFmtId="9" fontId="4" fillId="0" borderId="0" xfId="3" applyFont="1" applyBorder="1"/>
    <xf numFmtId="171" fontId="4" fillId="0" borderId="0" xfId="3" applyNumberFormat="1" applyFont="1" applyBorder="1"/>
    <xf numFmtId="7" fontId="10" fillId="3" borderId="0" xfId="6" applyNumberFormat="1" applyFont="1" applyFill="1"/>
    <xf numFmtId="5" fontId="10" fillId="5" borderId="0" xfId="0" applyNumberFormat="1" applyFont="1" applyFill="1"/>
    <xf numFmtId="5" fontId="10" fillId="3" borderId="0" xfId="6" applyNumberFormat="1" applyFont="1" applyFill="1"/>
    <xf numFmtId="168" fontId="11" fillId="0" borderId="0" xfId="0" applyNumberFormat="1" applyFont="1"/>
    <xf numFmtId="168" fontId="4" fillId="0" borderId="3" xfId="0" applyNumberFormat="1" applyFont="1" applyBorder="1"/>
    <xf numFmtId="7" fontId="4" fillId="0" borderId="0" xfId="3" applyNumberFormat="1" applyFont="1" applyBorder="1"/>
    <xf numFmtId="168" fontId="11" fillId="0" borderId="6" xfId="1" applyNumberFormat="1" applyFont="1" applyBorder="1"/>
    <xf numFmtId="168" fontId="11" fillId="0" borderId="9" xfId="1" applyNumberFormat="1" applyFont="1" applyBorder="1"/>
    <xf numFmtId="5" fontId="4" fillId="0" borderId="0" xfId="3" applyNumberFormat="1" applyFont="1"/>
    <xf numFmtId="7" fontId="14" fillId="0" borderId="3" xfId="1" applyNumberFormat="1" applyFont="1" applyBorder="1"/>
    <xf numFmtId="7" fontId="4" fillId="0" borderId="11" xfId="0" applyNumberFormat="1" applyFont="1" applyBorder="1"/>
    <xf numFmtId="7" fontId="14" fillId="0" borderId="11" xfId="0" applyNumberFormat="1" applyFont="1" applyBorder="1"/>
    <xf numFmtId="5" fontId="4" fillId="0" borderId="0" xfId="3" applyNumberFormat="1" applyFont="1" applyBorder="1"/>
    <xf numFmtId="187" fontId="4" fillId="0" borderId="0" xfId="1" applyNumberFormat="1" applyFont="1"/>
    <xf numFmtId="7" fontId="23" fillId="0" borderId="0" xfId="0" applyNumberFormat="1" applyFont="1"/>
    <xf numFmtId="0" fontId="3" fillId="0" borderId="3" xfId="0" applyFont="1" applyBorder="1"/>
    <xf numFmtId="0" fontId="3" fillId="0" borderId="3" xfId="0" applyFont="1" applyBorder="1" applyAlignment="1">
      <alignment horizontal="right"/>
    </xf>
    <xf numFmtId="0" fontId="38" fillId="0" borderId="0" xfId="15"/>
    <xf numFmtId="5" fontId="0" fillId="0" borderId="0" xfId="1" applyNumberFormat="1" applyFont="1"/>
    <xf numFmtId="7" fontId="0" fillId="0" borderId="0" xfId="1" applyNumberFormat="1" applyFont="1"/>
    <xf numFmtId="178" fontId="0" fillId="0" borderId="0" xfId="1" applyNumberFormat="1" applyFont="1"/>
    <xf numFmtId="5" fontId="3" fillId="0" borderId="3" xfId="1" applyNumberFormat="1" applyFont="1" applyBorder="1"/>
    <xf numFmtId="7" fontId="3" fillId="0" borderId="3" xfId="1" applyNumberFormat="1" applyFont="1" applyBorder="1"/>
    <xf numFmtId="10" fontId="3" fillId="0" borderId="3" xfId="3" applyNumberFormat="1" applyFont="1" applyBorder="1"/>
    <xf numFmtId="43" fontId="3" fillId="0" borderId="3" xfId="1" applyFont="1" applyBorder="1"/>
    <xf numFmtId="7" fontId="3" fillId="0" borderId="3" xfId="0" applyNumberFormat="1" applyFont="1" applyBorder="1"/>
    <xf numFmtId="0" fontId="6" fillId="0" borderId="0" xfId="0" applyFont="1"/>
    <xf numFmtId="5" fontId="6" fillId="0" borderId="0" xfId="1" applyNumberFormat="1" applyFont="1" applyFill="1"/>
    <xf numFmtId="7" fontId="36" fillId="0" borderId="0" xfId="1" applyNumberFormat="1" applyFont="1" applyFill="1"/>
    <xf numFmtId="5" fontId="36" fillId="0" borderId="0" xfId="1" applyNumberFormat="1" applyFont="1" applyFill="1"/>
    <xf numFmtId="43" fontId="36" fillId="0" borderId="0" xfId="1" applyFont="1" applyFill="1"/>
    <xf numFmtId="43" fontId="6" fillId="0" borderId="0" xfId="1" applyFont="1" applyFill="1"/>
    <xf numFmtId="7" fontId="6" fillId="0" borderId="0" xfId="0" applyNumberFormat="1" applyFont="1"/>
    <xf numFmtId="7" fontId="8" fillId="0" borderId="0" xfId="1" applyNumberFormat="1" applyFont="1" applyFill="1"/>
    <xf numFmtId="164" fontId="0" fillId="0" borderId="0" xfId="0" applyNumberFormat="1"/>
    <xf numFmtId="0" fontId="0" fillId="0" borderId="2" xfId="0" applyBorder="1"/>
    <xf numFmtId="0" fontId="0" fillId="0" borderId="4" xfId="0" applyBorder="1"/>
    <xf numFmtId="5" fontId="0" fillId="17" borderId="25" xfId="1" applyNumberFormat="1" applyFont="1" applyFill="1" applyBorder="1"/>
    <xf numFmtId="43" fontId="3" fillId="0" borderId="24" xfId="1" applyFont="1" applyBorder="1" applyAlignment="1">
      <alignment horizontal="right"/>
    </xf>
    <xf numFmtId="0" fontId="6" fillId="0" borderId="0" xfId="0" applyFont="1" applyAlignment="1">
      <alignment horizontal="left" indent="2"/>
    </xf>
    <xf numFmtId="0" fontId="39" fillId="0" borderId="0" xfId="0" applyFont="1"/>
    <xf numFmtId="0" fontId="40" fillId="18" borderId="0" xfId="0" applyFont="1" applyFill="1"/>
    <xf numFmtId="0" fontId="41" fillId="0" borderId="0" xfId="0" applyFont="1"/>
    <xf numFmtId="0" fontId="40" fillId="18" borderId="0" xfId="0" applyFont="1" applyFill="1" applyAlignment="1">
      <alignment horizontal="right"/>
    </xf>
    <xf numFmtId="0" fontId="41" fillId="0" borderId="0" xfId="0" applyFont="1" applyAlignment="1">
      <alignment horizontal="right"/>
    </xf>
    <xf numFmtId="7" fontId="41" fillId="0" borderId="0" xfId="0" applyNumberFormat="1" applyFont="1"/>
    <xf numFmtId="0" fontId="42" fillId="0" borderId="26" xfId="0" applyFont="1" applyBorder="1"/>
    <xf numFmtId="0" fontId="42" fillId="0" borderId="3" xfId="0" applyFont="1" applyBorder="1"/>
    <xf numFmtId="7" fontId="42" fillId="0" borderId="3" xfId="0" applyNumberFormat="1" applyFont="1" applyBorder="1"/>
    <xf numFmtId="0" fontId="2" fillId="16" borderId="0" xfId="0" applyFont="1" applyFill="1"/>
    <xf numFmtId="0" fontId="36" fillId="16" borderId="0" xfId="0" applyFont="1" applyFill="1"/>
    <xf numFmtId="10" fontId="41" fillId="0" borderId="0" xfId="3" applyNumberFormat="1" applyFont="1"/>
    <xf numFmtId="199" fontId="4" fillId="0" borderId="0" xfId="0" applyNumberFormat="1" applyFont="1" applyAlignment="1">
      <alignment horizontal="left"/>
    </xf>
    <xf numFmtId="9" fontId="11" fillId="0" borderId="1" xfId="9" applyNumberFormat="1" applyFont="1" applyBorder="1"/>
    <xf numFmtId="170" fontId="14" fillId="6" borderId="11" xfId="3" applyNumberFormat="1" applyFont="1" applyFill="1" applyBorder="1" applyAlignment="1">
      <alignment horizontal="right" indent="1"/>
    </xf>
    <xf numFmtId="5" fontId="14" fillId="6" borderId="11" xfId="2" applyNumberFormat="1" applyFont="1" applyFill="1" applyBorder="1"/>
    <xf numFmtId="7" fontId="14" fillId="6" borderId="11" xfId="2" applyNumberFormat="1" applyFont="1" applyFill="1" applyBorder="1"/>
    <xf numFmtId="181" fontId="14" fillId="6" borderId="0" xfId="0" applyNumberFormat="1" applyFont="1" applyFill="1" applyAlignment="1">
      <alignment horizontal="left"/>
    </xf>
    <xf numFmtId="5" fontId="10" fillId="0" borderId="11" xfId="2" applyNumberFormat="1" applyFont="1" applyFill="1" applyBorder="1"/>
    <xf numFmtId="5" fontId="11" fillId="0" borderId="0" xfId="9" applyNumberFormat="1" applyFont="1"/>
    <xf numFmtId="5" fontId="11" fillId="7" borderId="3" xfId="9" applyNumberFormat="1" applyFont="1" applyFill="1" applyBorder="1"/>
    <xf numFmtId="5" fontId="11" fillId="7" borderId="4" xfId="9" applyNumberFormat="1" applyFont="1" applyFill="1" applyBorder="1"/>
    <xf numFmtId="7" fontId="10" fillId="0" borderId="0" xfId="16" applyNumberFormat="1" applyFont="1" applyAlignment="1">
      <alignment horizontal="center" vertical="center"/>
    </xf>
    <xf numFmtId="5" fontId="11" fillId="6" borderId="11" xfId="2" applyNumberFormat="1" applyFont="1" applyFill="1" applyBorder="1"/>
    <xf numFmtId="10" fontId="23" fillId="0" borderId="0" xfId="0" applyNumberFormat="1" applyFont="1"/>
    <xf numFmtId="0" fontId="23" fillId="0" borderId="0" xfId="0" applyFont="1"/>
    <xf numFmtId="171" fontId="10" fillId="0" borderId="0" xfId="0" applyNumberFormat="1" applyFont="1"/>
    <xf numFmtId="193" fontId="23" fillId="0" borderId="11" xfId="3" applyNumberFormat="1" applyFont="1" applyBorder="1"/>
    <xf numFmtId="0" fontId="10" fillId="0" borderId="3" xfId="6" applyFont="1" applyBorder="1" applyAlignment="1">
      <alignment horizontal="right"/>
    </xf>
    <xf numFmtId="200" fontId="10" fillId="0" borderId="0" xfId="16" applyFont="1" applyAlignment="1">
      <alignment horizontal="center" vertical="center"/>
    </xf>
    <xf numFmtId="200" fontId="10" fillId="12" borderId="1" xfId="16" applyFont="1" applyFill="1" applyBorder="1" applyAlignment="1">
      <alignment horizontal="center" vertical="center"/>
    </xf>
    <xf numFmtId="200" fontId="10" fillId="0" borderId="1" xfId="16" applyFont="1" applyBorder="1" applyAlignment="1">
      <alignment horizontal="center" vertical="center"/>
    </xf>
    <xf numFmtId="200" fontId="10" fillId="3" borderId="1" xfId="16" applyFont="1" applyFill="1" applyBorder="1" applyAlignment="1">
      <alignment horizontal="center" vertical="center"/>
    </xf>
    <xf numFmtId="200" fontId="10" fillId="0" borderId="1" xfId="16" applyFont="1" applyFill="1" applyBorder="1" applyAlignment="1">
      <alignment horizontal="center" vertical="center"/>
    </xf>
    <xf numFmtId="200" fontId="10" fillId="14" borderId="1" xfId="16" applyFont="1" applyFill="1" applyBorder="1" applyAlignment="1">
      <alignment horizontal="center" vertical="center"/>
    </xf>
    <xf numFmtId="203" fontId="10" fillId="0" borderId="0" xfId="16" applyNumberFormat="1" applyFont="1" applyAlignment="1">
      <alignment horizontal="center" vertical="center"/>
    </xf>
    <xf numFmtId="203" fontId="10" fillId="12" borderId="5" xfId="16" applyNumberFormat="1" applyFont="1" applyFill="1" applyBorder="1" applyAlignment="1">
      <alignment horizontal="center" vertical="center"/>
    </xf>
    <xf numFmtId="203" fontId="10" fillId="0" borderId="2" xfId="16" applyNumberFormat="1" applyFont="1" applyBorder="1" applyAlignment="1">
      <alignment horizontal="center" vertical="center"/>
    </xf>
    <xf numFmtId="203" fontId="10" fillId="3" borderId="2" xfId="16" applyNumberFormat="1" applyFont="1" applyFill="1" applyBorder="1" applyAlignment="1">
      <alignment horizontal="center" vertical="center"/>
    </xf>
    <xf numFmtId="203" fontId="10" fillId="3" borderId="1" xfId="16" applyNumberFormat="1" applyFont="1" applyFill="1" applyBorder="1" applyAlignment="1">
      <alignment horizontal="center" vertical="center"/>
    </xf>
    <xf numFmtId="203" fontId="10" fillId="0" borderId="1" xfId="16" applyNumberFormat="1" applyFont="1" applyBorder="1" applyAlignment="1">
      <alignment horizontal="center" vertical="center"/>
    </xf>
    <xf numFmtId="203" fontId="10" fillId="0" borderId="1" xfId="16" applyNumberFormat="1" applyFont="1" applyFill="1" applyBorder="1" applyAlignment="1">
      <alignment horizontal="center" vertical="center"/>
    </xf>
    <xf numFmtId="203" fontId="10" fillId="14" borderId="3" xfId="16" applyNumberFormat="1" applyFont="1" applyFill="1" applyBorder="1" applyAlignment="1">
      <alignment horizontal="center" vertical="center"/>
    </xf>
    <xf numFmtId="203" fontId="10" fillId="14" borderId="1" xfId="16" applyNumberFormat="1" applyFont="1" applyFill="1" applyBorder="1" applyAlignment="1">
      <alignment horizontal="center" vertical="center"/>
    </xf>
    <xf numFmtId="0" fontId="24" fillId="6" borderId="0" xfId="0" applyFont="1" applyFill="1" applyAlignment="1">
      <alignment horizontal="left" indent="1"/>
    </xf>
    <xf numFmtId="0" fontId="24" fillId="6" borderId="0" xfId="0" applyFont="1" applyFill="1"/>
    <xf numFmtId="10" fontId="10" fillId="3" borderId="0" xfId="6" applyNumberFormat="1" applyFont="1" applyFill="1"/>
    <xf numFmtId="10" fontId="10" fillId="5" borderId="0" xfId="3" applyNumberFormat="1" applyFont="1" applyFill="1"/>
    <xf numFmtId="204" fontId="4" fillId="6" borderId="0" xfId="0" applyNumberFormat="1" applyFont="1" applyFill="1" applyAlignment="1">
      <alignment horizontal="left"/>
    </xf>
    <xf numFmtId="6" fontId="4" fillId="0" borderId="11" xfId="0" applyNumberFormat="1" applyFont="1" applyBorder="1"/>
    <xf numFmtId="10" fontId="10" fillId="0" borderId="0" xfId="3" applyNumberFormat="1" applyFont="1"/>
    <xf numFmtId="10" fontId="11" fillId="0" borderId="0" xfId="3" applyNumberFormat="1" applyFont="1" applyFill="1"/>
    <xf numFmtId="10" fontId="11" fillId="0" borderId="0" xfId="3" applyNumberFormat="1" applyFont="1"/>
    <xf numFmtId="10" fontId="10" fillId="0" borderId="0" xfId="3" applyNumberFormat="1" applyFont="1" applyFill="1"/>
    <xf numFmtId="0" fontId="14" fillId="9" borderId="0" xfId="0" applyFont="1" applyFill="1"/>
    <xf numFmtId="170" fontId="14" fillId="9" borderId="3" xfId="3" applyNumberFormat="1" applyFont="1" applyFill="1" applyBorder="1" applyAlignment="1">
      <alignment horizontal="right" indent="1"/>
    </xf>
    <xf numFmtId="5" fontId="14" fillId="9" borderId="3" xfId="2" applyNumberFormat="1" applyFont="1" applyFill="1" applyBorder="1"/>
    <xf numFmtId="7" fontId="14" fillId="9" borderId="3" xfId="2" applyNumberFormat="1" applyFont="1" applyFill="1" applyBorder="1"/>
    <xf numFmtId="5" fontId="10" fillId="9" borderId="3" xfId="0" applyNumberFormat="1" applyFont="1" applyFill="1" applyBorder="1"/>
    <xf numFmtId="0" fontId="14" fillId="9" borderId="3" xfId="0" applyFont="1" applyFill="1" applyBorder="1"/>
    <xf numFmtId="37" fontId="4" fillId="0" borderId="0" xfId="18" applyNumberFormat="1" applyFont="1"/>
    <xf numFmtId="5" fontId="11" fillId="0" borderId="0" xfId="9" applyNumberFormat="1" applyFont="1" applyAlignment="1">
      <alignment horizontal="right"/>
    </xf>
    <xf numFmtId="44" fontId="11" fillId="0" borderId="0" xfId="9" applyNumberFormat="1" applyFont="1" applyAlignment="1">
      <alignment horizontal="right"/>
    </xf>
    <xf numFmtId="10" fontId="11" fillId="0" borderId="0" xfId="9" applyNumberFormat="1" applyFont="1"/>
    <xf numFmtId="7" fontId="4" fillId="3" borderId="0" xfId="0" applyNumberFormat="1" applyFont="1" applyFill="1"/>
    <xf numFmtId="7" fontId="14" fillId="3" borderId="0" xfId="0" applyNumberFormat="1" applyFont="1" applyFill="1"/>
    <xf numFmtId="0" fontId="10" fillId="6" borderId="11" xfId="0" applyFont="1" applyFill="1" applyBorder="1" applyAlignment="1">
      <alignment horizontal="left"/>
    </xf>
    <xf numFmtId="7" fontId="11" fillId="6" borderId="11" xfId="3" applyNumberFormat="1" applyFont="1" applyFill="1" applyBorder="1"/>
    <xf numFmtId="5" fontId="37" fillId="0" borderId="0" xfId="0" applyNumberFormat="1" applyFont="1"/>
    <xf numFmtId="205" fontId="37" fillId="0" borderId="0" xfId="1" applyNumberFormat="1" applyFont="1"/>
    <xf numFmtId="37" fontId="4" fillId="0" borderId="0" xfId="0" applyNumberFormat="1" applyFont="1"/>
    <xf numFmtId="0" fontId="43" fillId="0" borderId="19" xfId="0" applyFont="1" applyBorder="1" applyAlignment="1">
      <alignment horizontal="left" vertical="center"/>
    </xf>
    <xf numFmtId="0" fontId="44" fillId="0" borderId="0" xfId="0" applyFont="1"/>
    <xf numFmtId="0" fontId="43" fillId="0" borderId="27" xfId="0" applyFont="1" applyBorder="1"/>
    <xf numFmtId="37" fontId="43" fillId="0" borderId="27" xfId="0" applyNumberFormat="1" applyFont="1" applyBorder="1" applyAlignment="1">
      <alignment horizontal="right"/>
    </xf>
    <xf numFmtId="37" fontId="44" fillId="0" borderId="27" xfId="0" applyNumberFormat="1" applyFont="1" applyBorder="1"/>
    <xf numFmtId="0" fontId="45" fillId="0" borderId="0" xfId="0" applyFont="1"/>
    <xf numFmtId="37" fontId="44" fillId="0" borderId="0" xfId="0" applyNumberFormat="1" applyFont="1" applyAlignment="1">
      <alignment horizontal="right"/>
    </xf>
    <xf numFmtId="37" fontId="44" fillId="0" borderId="0" xfId="0" applyNumberFormat="1" applyFont="1"/>
    <xf numFmtId="0" fontId="43" fillId="0" borderId="0" xfId="0" applyFont="1"/>
    <xf numFmtId="37" fontId="43" fillId="0" borderId="0" xfId="0" applyNumberFormat="1" applyFont="1" applyAlignment="1">
      <alignment horizontal="right"/>
    </xf>
    <xf numFmtId="0" fontId="44" fillId="20" borderId="0" xfId="0" applyFont="1" applyFill="1"/>
    <xf numFmtId="37" fontId="44" fillId="20" borderId="0" xfId="0" applyNumberFormat="1" applyFont="1" applyFill="1" applyAlignment="1">
      <alignment horizontal="right"/>
    </xf>
    <xf numFmtId="0" fontId="44" fillId="21" borderId="0" xfId="0" applyFont="1" applyFill="1"/>
    <xf numFmtId="37" fontId="44" fillId="21" borderId="0" xfId="0" applyNumberFormat="1" applyFont="1" applyFill="1" applyAlignment="1">
      <alignment horizontal="right"/>
    </xf>
    <xf numFmtId="0" fontId="44" fillId="0" borderId="0" xfId="0" applyFont="1" applyAlignment="1">
      <alignment horizontal="right"/>
    </xf>
    <xf numFmtId="0" fontId="44" fillId="22" borderId="0" xfId="0" applyFont="1" applyFill="1"/>
    <xf numFmtId="37" fontId="44" fillId="22" borderId="0" xfId="0" applyNumberFormat="1" applyFont="1" applyFill="1" applyAlignment="1">
      <alignment horizontal="right"/>
    </xf>
    <xf numFmtId="0" fontId="43" fillId="24" borderId="2" xfId="0" applyFont="1" applyFill="1" applyBorder="1"/>
    <xf numFmtId="37" fontId="44" fillId="24" borderId="4" xfId="0" applyNumberFormat="1" applyFont="1" applyFill="1" applyBorder="1" applyAlignment="1">
      <alignment horizontal="right"/>
    </xf>
    <xf numFmtId="39" fontId="44" fillId="0" borderId="0" xfId="0" applyNumberFormat="1" applyFont="1"/>
    <xf numFmtId="37" fontId="45" fillId="0" borderId="0" xfId="0" applyNumberFormat="1" applyFont="1"/>
    <xf numFmtId="37" fontId="43" fillId="0" borderId="27" xfId="0" applyNumberFormat="1" applyFont="1" applyBorder="1"/>
    <xf numFmtId="0" fontId="43" fillId="0" borderId="2" xfId="0" applyFont="1" applyBorder="1" applyAlignment="1">
      <alignment horizontal="right"/>
    </xf>
    <xf numFmtId="37" fontId="43" fillId="0" borderId="4" xfId="0" applyNumberFormat="1" applyFont="1" applyBorder="1" applyAlignment="1">
      <alignment horizontal="right"/>
    </xf>
    <xf numFmtId="37" fontId="44" fillId="20" borderId="0" xfId="0" applyNumberFormat="1" applyFont="1" applyFill="1"/>
    <xf numFmtId="37" fontId="44" fillId="21" borderId="0" xfId="0" applyNumberFormat="1" applyFont="1" applyFill="1"/>
    <xf numFmtId="0" fontId="44" fillId="0" borderId="13" xfId="0" applyFont="1" applyBorder="1"/>
    <xf numFmtId="37" fontId="44" fillId="0" borderId="14" xfId="0" applyNumberFormat="1" applyFont="1" applyBorder="1"/>
    <xf numFmtId="37" fontId="43" fillId="0" borderId="14" xfId="0" applyNumberFormat="1" applyFont="1" applyBorder="1" applyAlignment="1">
      <alignment horizontal="right"/>
    </xf>
    <xf numFmtId="0" fontId="43" fillId="0" borderId="14" xfId="0" applyFont="1" applyBorder="1" applyAlignment="1">
      <alignment horizontal="right"/>
    </xf>
    <xf numFmtId="0" fontId="43" fillId="24" borderId="15" xfId="0" applyFont="1" applyFill="1" applyBorder="1" applyAlignment="1">
      <alignment horizontal="center"/>
    </xf>
    <xf numFmtId="0" fontId="44" fillId="0" borderId="16" xfId="0" applyFont="1" applyBorder="1"/>
    <xf numFmtId="37" fontId="43" fillId="0" borderId="0" xfId="0" applyNumberFormat="1" applyFont="1"/>
    <xf numFmtId="170" fontId="44" fillId="0" borderId="0" xfId="0" applyNumberFormat="1" applyFont="1"/>
    <xf numFmtId="37" fontId="44" fillId="24" borderId="17" xfId="0" applyNumberFormat="1" applyFont="1" applyFill="1" applyBorder="1" applyAlignment="1">
      <alignment horizontal="right" indent="7"/>
    </xf>
    <xf numFmtId="0" fontId="43" fillId="0" borderId="16" xfId="0" applyFont="1" applyBorder="1"/>
    <xf numFmtId="37" fontId="43" fillId="23" borderId="0" xfId="0" applyNumberFormat="1" applyFont="1" applyFill="1" applyAlignment="1">
      <alignment horizontal="right"/>
    </xf>
    <xf numFmtId="37" fontId="45" fillId="0" borderId="16" xfId="0" applyNumberFormat="1" applyFont="1" applyBorder="1"/>
    <xf numFmtId="170" fontId="44" fillId="0" borderId="0" xfId="3" applyNumberFormat="1" applyFont="1" applyBorder="1"/>
    <xf numFmtId="37" fontId="43" fillId="0" borderId="11" xfId="0" applyNumberFormat="1" applyFont="1" applyBorder="1"/>
    <xf numFmtId="170" fontId="43" fillId="0" borderId="11" xfId="0" applyNumberFormat="1" applyFont="1" applyBorder="1"/>
    <xf numFmtId="37" fontId="43" fillId="24" borderId="28" xfId="0" applyNumberFormat="1" applyFont="1" applyFill="1" applyBorder="1" applyAlignment="1">
      <alignment horizontal="right" indent="7"/>
    </xf>
    <xf numFmtId="170" fontId="43" fillId="0" borderId="0" xfId="0" applyNumberFormat="1" applyFont="1"/>
    <xf numFmtId="37" fontId="43" fillId="24" borderId="17" xfId="0" applyNumberFormat="1" applyFont="1" applyFill="1" applyBorder="1" applyAlignment="1">
      <alignment horizontal="right" indent="7"/>
    </xf>
    <xf numFmtId="37" fontId="45" fillId="0" borderId="18" xfId="0" applyNumberFormat="1" applyFont="1" applyBorder="1"/>
    <xf numFmtId="37" fontId="45" fillId="0" borderId="19" xfId="0" applyNumberFormat="1" applyFont="1" applyBorder="1"/>
    <xf numFmtId="37" fontId="46" fillId="0" borderId="29" xfId="0" applyNumberFormat="1" applyFont="1" applyBorder="1"/>
    <xf numFmtId="170" fontId="46" fillId="0" borderId="29" xfId="3" applyNumberFormat="1" applyFont="1" applyBorder="1"/>
    <xf numFmtId="37" fontId="46" fillId="0" borderId="30" xfId="0" applyNumberFormat="1" applyFont="1" applyBorder="1" applyAlignment="1">
      <alignment horizontal="right" indent="7"/>
    </xf>
    <xf numFmtId="197" fontId="45" fillId="0" borderId="0" xfId="0" applyNumberFormat="1" applyFont="1"/>
    <xf numFmtId="37" fontId="46" fillId="0" borderId="0" xfId="0" applyNumberFormat="1" applyFont="1"/>
    <xf numFmtId="179" fontId="4" fillId="6" borderId="0" xfId="3" applyNumberFormat="1" applyFont="1" applyFill="1" applyBorder="1" applyAlignment="1">
      <alignment horizontal="right" indent="1"/>
    </xf>
    <xf numFmtId="0" fontId="14" fillId="6" borderId="0" xfId="0" applyFont="1" applyFill="1" applyAlignment="1">
      <alignment horizontal="right"/>
    </xf>
    <xf numFmtId="10" fontId="14" fillId="6" borderId="0" xfId="0" applyNumberFormat="1" applyFont="1" applyFill="1"/>
    <xf numFmtId="6" fontId="14" fillId="6" borderId="0" xfId="0" applyNumberFormat="1" applyFont="1" applyFill="1" applyAlignment="1">
      <alignment horizontal="right"/>
    </xf>
    <xf numFmtId="8" fontId="14" fillId="6" borderId="0" xfId="0" applyNumberFormat="1" applyFont="1" applyFill="1" applyAlignment="1">
      <alignment horizontal="right"/>
    </xf>
    <xf numFmtId="170" fontId="4" fillId="6" borderId="0" xfId="3" applyNumberFormat="1" applyFont="1" applyFill="1" applyBorder="1"/>
    <xf numFmtId="0" fontId="10" fillId="9" borderId="3" xfId="6" applyFont="1" applyFill="1" applyBorder="1"/>
    <xf numFmtId="7" fontId="14" fillId="9" borderId="3" xfId="0" applyNumberFormat="1" applyFont="1" applyFill="1" applyBorder="1"/>
    <xf numFmtId="0" fontId="10" fillId="4" borderId="3" xfId="0" applyFont="1" applyFill="1" applyBorder="1"/>
    <xf numFmtId="5" fontId="10" fillId="4" borderId="3" xfId="0" applyNumberFormat="1" applyFont="1" applyFill="1" applyBorder="1"/>
    <xf numFmtId="7" fontId="10" fillId="4" borderId="3" xfId="0" applyNumberFormat="1" applyFont="1" applyFill="1" applyBorder="1"/>
    <xf numFmtId="10" fontId="10" fillId="4" borderId="3" xfId="3" applyNumberFormat="1" applyFont="1" applyFill="1" applyBorder="1"/>
    <xf numFmtId="5" fontId="21" fillId="2" borderId="3" xfId="0" applyNumberFormat="1" applyFont="1" applyFill="1" applyBorder="1" applyAlignment="1">
      <alignment horizontal="right"/>
    </xf>
    <xf numFmtId="0" fontId="2" fillId="2" borderId="2" xfId="0" applyFont="1" applyFill="1" applyBorder="1"/>
    <xf numFmtId="0" fontId="36" fillId="2" borderId="3" xfId="0" applyFont="1" applyFill="1" applyBorder="1"/>
    <xf numFmtId="7" fontId="36" fillId="2" borderId="4" xfId="0" applyNumberFormat="1" applyFont="1" applyFill="1" applyBorder="1"/>
    <xf numFmtId="7" fontId="0" fillId="0" borderId="6" xfId="0" applyNumberFormat="1" applyBorder="1"/>
    <xf numFmtId="0" fontId="10" fillId="0" borderId="5" xfId="6" applyFont="1" applyBorder="1" applyAlignment="1">
      <alignment horizontal="left" indent="1"/>
    </xf>
    <xf numFmtId="7" fontId="4" fillId="0" borderId="6" xfId="0" applyNumberFormat="1" applyFont="1" applyBorder="1"/>
    <xf numFmtId="37" fontId="11" fillId="0" borderId="5" xfId="6" applyNumberFormat="1" applyFont="1" applyBorder="1" applyAlignment="1">
      <alignment horizontal="left" indent="2"/>
    </xf>
    <xf numFmtId="168" fontId="11" fillId="0" borderId="0" xfId="0" applyNumberFormat="1" applyFont="1" applyAlignment="1">
      <alignment horizontal="right"/>
    </xf>
    <xf numFmtId="10" fontId="23" fillId="0" borderId="0" xfId="3" applyNumberFormat="1" applyFont="1" applyBorder="1" applyAlignment="1">
      <alignment horizontal="right"/>
    </xf>
    <xf numFmtId="10" fontId="11" fillId="0" borderId="0" xfId="3" applyNumberFormat="1" applyFont="1" applyBorder="1" applyAlignment="1">
      <alignment horizontal="right"/>
    </xf>
    <xf numFmtId="0" fontId="11" fillId="0" borderId="5" xfId="6" applyFont="1" applyBorder="1" applyAlignment="1">
      <alignment horizontal="left" indent="2"/>
    </xf>
    <xf numFmtId="0" fontId="10" fillId="0" borderId="7" xfId="6" applyFont="1" applyBorder="1" applyAlignment="1">
      <alignment horizontal="left" indent="1"/>
    </xf>
    <xf numFmtId="168" fontId="14" fillId="0" borderId="8" xfId="0" applyNumberFormat="1" applyFont="1" applyBorder="1"/>
    <xf numFmtId="0" fontId="4" fillId="0" borderId="8" xfId="0" applyFont="1" applyBorder="1" applyAlignment="1">
      <alignment horizontal="right"/>
    </xf>
    <xf numFmtId="7" fontId="4" fillId="0" borderId="9" xfId="0" applyNumberFormat="1" applyFont="1" applyBorder="1"/>
    <xf numFmtId="37" fontId="2" fillId="2" borderId="3" xfId="0" applyNumberFormat="1" applyFont="1" applyFill="1" applyBorder="1" applyAlignment="1">
      <alignment horizontal="right"/>
    </xf>
    <xf numFmtId="37" fontId="36" fillId="2" borderId="4" xfId="0" applyNumberFormat="1" applyFont="1" applyFill="1" applyBorder="1"/>
    <xf numFmtId="10" fontId="11" fillId="6" borderId="0" xfId="3" applyNumberFormat="1" applyFont="1" applyFill="1" applyBorder="1"/>
    <xf numFmtId="179" fontId="4" fillId="0" borderId="0" xfId="0" applyNumberFormat="1" applyFont="1"/>
    <xf numFmtId="10" fontId="14" fillId="0" borderId="0" xfId="0" applyNumberFormat="1" applyFont="1"/>
    <xf numFmtId="0" fontId="15" fillId="3" borderId="0" xfId="0" applyFont="1" applyFill="1"/>
    <xf numFmtId="0" fontId="4" fillId="3" borderId="0" xfId="0" applyFont="1" applyFill="1"/>
    <xf numFmtId="5" fontId="4" fillId="3" borderId="0" xfId="0" applyNumberFormat="1" applyFont="1" applyFill="1"/>
    <xf numFmtId="0" fontId="10" fillId="3" borderId="0" xfId="0" applyFont="1" applyFill="1"/>
    <xf numFmtId="0" fontId="10" fillId="3" borderId="3" xfId="0" applyFont="1" applyFill="1" applyBorder="1"/>
    <xf numFmtId="6" fontId="10" fillId="3" borderId="3" xfId="0" applyNumberFormat="1" applyFont="1" applyFill="1" applyBorder="1"/>
    <xf numFmtId="176" fontId="10" fillId="3" borderId="0" xfId="3" applyNumberFormat="1" applyFont="1" applyFill="1" applyAlignment="1"/>
    <xf numFmtId="0" fontId="10" fillId="3" borderId="0" xfId="6" applyFont="1" applyFill="1" applyAlignment="1">
      <alignment horizontal="right"/>
    </xf>
    <xf numFmtId="10" fontId="14" fillId="3" borderId="0" xfId="3" applyNumberFormat="1" applyFont="1" applyFill="1"/>
    <xf numFmtId="10" fontId="4" fillId="3" borderId="0" xfId="3" applyNumberFormat="1" applyFont="1" applyFill="1"/>
    <xf numFmtId="0" fontId="18" fillId="24" borderId="11" xfId="0" applyFont="1" applyFill="1" applyBorder="1"/>
    <xf numFmtId="0" fontId="4" fillId="24" borderId="11" xfId="0" applyFont="1" applyFill="1" applyBorder="1"/>
    <xf numFmtId="5" fontId="4" fillId="24" borderId="11" xfId="0" applyNumberFormat="1" applyFont="1" applyFill="1" applyBorder="1"/>
    <xf numFmtId="0" fontId="4" fillId="24" borderId="0" xfId="0" applyFont="1" applyFill="1"/>
    <xf numFmtId="5" fontId="4" fillId="24" borderId="0" xfId="0" applyNumberFormat="1" applyFont="1" applyFill="1"/>
    <xf numFmtId="0" fontId="11" fillId="24" borderId="0" xfId="0" applyFont="1" applyFill="1"/>
    <xf numFmtId="0" fontId="10" fillId="24" borderId="3" xfId="0" applyFont="1" applyFill="1" applyBorder="1" applyAlignment="1">
      <alignment horizontal="left" indent="1"/>
    </xf>
    <xf numFmtId="0" fontId="4" fillId="24" borderId="3" xfId="0" applyFont="1" applyFill="1" applyBorder="1"/>
    <xf numFmtId="5" fontId="14" fillId="24" borderId="3" xfId="0" applyNumberFormat="1" applyFont="1" applyFill="1" applyBorder="1"/>
    <xf numFmtId="0" fontId="10" fillId="24" borderId="0" xfId="0" applyFont="1" applyFill="1" applyAlignment="1">
      <alignment horizontal="left" indent="1"/>
    </xf>
    <xf numFmtId="0" fontId="10" fillId="24" borderId="0" xfId="0" applyFont="1" applyFill="1" applyAlignment="1">
      <alignment horizontal="right" indent="1"/>
    </xf>
    <xf numFmtId="10" fontId="14" fillId="24" borderId="0" xfId="3" applyNumberFormat="1" applyFont="1" applyFill="1" applyBorder="1"/>
    <xf numFmtId="10" fontId="4" fillId="24" borderId="0" xfId="3" applyNumberFormat="1" applyFont="1" applyFill="1" applyBorder="1"/>
    <xf numFmtId="0" fontId="10" fillId="24" borderId="8" xfId="0" applyFont="1" applyFill="1" applyBorder="1" applyAlignment="1">
      <alignment horizontal="right" indent="1"/>
    </xf>
    <xf numFmtId="187" fontId="4" fillId="24" borderId="8" xfId="0" applyNumberFormat="1" applyFont="1" applyFill="1" applyBorder="1"/>
    <xf numFmtId="198" fontId="4" fillId="24" borderId="8" xfId="0" applyNumberFormat="1" applyFont="1" applyFill="1" applyBorder="1"/>
    <xf numFmtId="0" fontId="4" fillId="24" borderId="8" xfId="0" applyFont="1" applyFill="1" applyBorder="1"/>
    <xf numFmtId="5" fontId="4" fillId="24" borderId="8" xfId="0" applyNumberFormat="1" applyFont="1" applyFill="1" applyBorder="1"/>
    <xf numFmtId="0" fontId="18" fillId="9" borderId="0" xfId="0" applyFont="1" applyFill="1"/>
    <xf numFmtId="0" fontId="10" fillId="9" borderId="0" xfId="0" applyFont="1" applyFill="1" applyAlignment="1">
      <alignment horizontal="right" indent="1"/>
    </xf>
    <xf numFmtId="10" fontId="14" fillId="9" borderId="0" xfId="3" applyNumberFormat="1" applyFont="1" applyFill="1"/>
    <xf numFmtId="6" fontId="14" fillId="9" borderId="0" xfId="0" applyNumberFormat="1" applyFont="1" applyFill="1"/>
    <xf numFmtId="187" fontId="14" fillId="9" borderId="0" xfId="0" applyNumberFormat="1" applyFont="1" applyFill="1"/>
    <xf numFmtId="5" fontId="13" fillId="0" borderId="0" xfId="2" applyNumberFormat="1" applyFont="1" applyFill="1"/>
    <xf numFmtId="5" fontId="4" fillId="0" borderId="0" xfId="2" applyNumberFormat="1" applyFont="1" applyFill="1"/>
    <xf numFmtId="37" fontId="13" fillId="0" borderId="0" xfId="0" applyNumberFormat="1" applyFont="1"/>
    <xf numFmtId="0" fontId="4" fillId="0" borderId="10" xfId="0" applyFont="1" applyBorder="1" applyAlignment="1">
      <alignment horizontal="left" indent="1"/>
    </xf>
    <xf numFmtId="0" fontId="14" fillId="0" borderId="10" xfId="0" applyFont="1" applyBorder="1"/>
    <xf numFmtId="0" fontId="28" fillId="0" borderId="12" xfId="0" applyFont="1" applyBorder="1" applyAlignment="1">
      <alignment horizontal="center"/>
    </xf>
    <xf numFmtId="37" fontId="11" fillId="0" borderId="5" xfId="8" applyFont="1" applyFill="1" applyBorder="1" applyAlignment="1">
      <alignment horizontal="left"/>
    </xf>
    <xf numFmtId="0" fontId="11" fillId="0" borderId="5" xfId="6" applyFont="1" applyBorder="1" applyAlignment="1">
      <alignment horizontal="left" indent="1"/>
    </xf>
    <xf numFmtId="10" fontId="23" fillId="0" borderId="0" xfId="3" applyNumberFormat="1" applyFont="1" applyFill="1" applyBorder="1"/>
    <xf numFmtId="171" fontId="11" fillId="0" borderId="6" xfId="0" applyNumberFormat="1" applyFont="1" applyBorder="1"/>
    <xf numFmtId="0" fontId="11" fillId="0" borderId="5" xfId="6" applyFont="1" applyBorder="1" applyAlignment="1">
      <alignment horizontal="left"/>
    </xf>
    <xf numFmtId="0" fontId="11" fillId="0" borderId="7" xfId="6" applyFont="1" applyBorder="1" applyAlignment="1">
      <alignment horizontal="left" indent="1"/>
    </xf>
    <xf numFmtId="171" fontId="11" fillId="0" borderId="9" xfId="0" applyNumberFormat="1" applyFont="1" applyBorder="1"/>
    <xf numFmtId="0" fontId="20" fillId="2" borderId="4" xfId="0" applyFont="1" applyFill="1" applyBorder="1"/>
    <xf numFmtId="171" fontId="4" fillId="0" borderId="12" xfId="0" applyNumberFormat="1" applyFont="1" applyBorder="1"/>
    <xf numFmtId="10" fontId="4" fillId="0" borderId="6" xfId="0" applyNumberFormat="1" applyFont="1" applyBorder="1"/>
    <xf numFmtId="5" fontId="11" fillId="0" borderId="6" xfId="0" applyNumberFormat="1" applyFont="1" applyBorder="1"/>
    <xf numFmtId="171" fontId="4" fillId="0" borderId="6" xfId="0" applyNumberFormat="1" applyFont="1" applyBorder="1"/>
    <xf numFmtId="187" fontId="4" fillId="0" borderId="9" xfId="0" applyNumberFormat="1" applyFont="1" applyBorder="1"/>
    <xf numFmtId="5" fontId="14" fillId="6" borderId="3" xfId="0" applyNumberFormat="1" applyFont="1" applyFill="1" applyBorder="1"/>
    <xf numFmtId="0" fontId="4" fillId="6" borderId="11" xfId="0" applyFont="1" applyFill="1" applyBorder="1" applyAlignment="1">
      <alignment horizontal="left"/>
    </xf>
    <xf numFmtId="0" fontId="4" fillId="6" borderId="11" xfId="0" applyFont="1" applyFill="1" applyBorder="1"/>
    <xf numFmtId="171" fontId="14" fillId="6" borderId="11" xfId="0" applyNumberFormat="1" applyFont="1" applyFill="1" applyBorder="1"/>
    <xf numFmtId="165" fontId="4" fillId="6" borderId="0" xfId="1" applyNumberFormat="1" applyFont="1" applyFill="1" applyBorder="1"/>
    <xf numFmtId="9" fontId="4" fillId="0" borderId="0" xfId="0" applyNumberFormat="1" applyFont="1"/>
    <xf numFmtId="10" fontId="0" fillId="0" borderId="0" xfId="0" applyNumberFormat="1"/>
    <xf numFmtId="37" fontId="47" fillId="0" borderId="0" xfId="0" applyNumberFormat="1" applyFont="1"/>
    <xf numFmtId="0" fontId="47" fillId="0" borderId="0" xfId="0" applyFont="1"/>
    <xf numFmtId="5" fontId="47" fillId="0" borderId="0" xfId="0" applyNumberFormat="1" applyFont="1" applyAlignment="1">
      <alignment horizontal="right"/>
    </xf>
    <xf numFmtId="0" fontId="47" fillId="0" borderId="0" xfId="0" applyFont="1" applyAlignment="1">
      <alignment horizontal="right"/>
    </xf>
    <xf numFmtId="170" fontId="4" fillId="6" borderId="0" xfId="3" applyNumberFormat="1" applyFont="1" applyFill="1"/>
    <xf numFmtId="170" fontId="14" fillId="6" borderId="3" xfId="0" applyNumberFormat="1" applyFont="1" applyFill="1" applyBorder="1" applyAlignment="1">
      <alignment horizontal="right" indent="1"/>
    </xf>
    <xf numFmtId="10" fontId="14" fillId="6" borderId="3" xfId="3" applyNumberFormat="1" applyFont="1" applyFill="1" applyBorder="1"/>
    <xf numFmtId="37" fontId="48" fillId="0" borderId="0" xfId="12" applyFont="1" applyAlignment="1">
      <alignment vertical="top"/>
    </xf>
    <xf numFmtId="5" fontId="49" fillId="0" borderId="0" xfId="12" applyNumberFormat="1" applyFont="1"/>
    <xf numFmtId="37" fontId="50" fillId="0" borderId="0" xfId="12" applyFont="1"/>
    <xf numFmtId="37" fontId="49" fillId="0" borderId="0" xfId="12" applyFont="1"/>
    <xf numFmtId="170" fontId="49" fillId="0" borderId="0" xfId="14" applyNumberFormat="1" applyFont="1"/>
    <xf numFmtId="38" fontId="49" fillId="0" borderId="0" xfId="12" applyNumberFormat="1" applyFont="1"/>
    <xf numFmtId="170" fontId="51" fillId="0" borderId="0" xfId="14" applyNumberFormat="1" applyFont="1"/>
    <xf numFmtId="5" fontId="49" fillId="0" borderId="11" xfId="12" applyNumberFormat="1" applyFont="1" applyBorder="1"/>
    <xf numFmtId="38" fontId="49" fillId="0" borderId="11" xfId="12" applyNumberFormat="1" applyFont="1" applyBorder="1"/>
    <xf numFmtId="38" fontId="52" fillId="0" borderId="0" xfId="12" applyNumberFormat="1" applyFont="1"/>
    <xf numFmtId="5" fontId="52" fillId="0" borderId="0" xfId="12" applyNumberFormat="1" applyFont="1"/>
    <xf numFmtId="10" fontId="52" fillId="0" borderId="0" xfId="3" applyNumberFormat="1" applyFont="1"/>
    <xf numFmtId="10" fontId="52" fillId="0" borderId="0" xfId="13" applyNumberFormat="1" applyFont="1" applyAlignment="1">
      <alignment horizontal="center"/>
    </xf>
    <xf numFmtId="37" fontId="53" fillId="0" borderId="3" xfId="12" applyFont="1" applyBorder="1"/>
    <xf numFmtId="37" fontId="54" fillId="0" borderId="0" xfId="12" applyFont="1"/>
    <xf numFmtId="0" fontId="54" fillId="0" borderId="0" xfId="0" applyFont="1"/>
    <xf numFmtId="5" fontId="54" fillId="0" borderId="0" xfId="0" applyNumberFormat="1" applyFont="1"/>
    <xf numFmtId="170" fontId="54" fillId="0" borderId="0" xfId="0" applyNumberFormat="1" applyFont="1"/>
    <xf numFmtId="38" fontId="54" fillId="0" borderId="0" xfId="12" applyNumberFormat="1" applyFont="1"/>
    <xf numFmtId="38" fontId="55" fillId="0" borderId="0" xfId="12" applyNumberFormat="1" applyFont="1" applyAlignment="1">
      <alignment horizontal="center" vertical="center" wrapText="1"/>
    </xf>
    <xf numFmtId="38" fontId="55" fillId="0" borderId="0" xfId="12" applyNumberFormat="1" applyFont="1" applyAlignment="1">
      <alignment horizontal="center" wrapText="1"/>
    </xf>
    <xf numFmtId="37" fontId="54" fillId="0" borderId="0" xfId="12" applyFont="1" applyAlignment="1">
      <alignment horizontal="right"/>
    </xf>
    <xf numFmtId="10" fontId="56" fillId="0" borderId="31" xfId="13" applyNumberFormat="1" applyFont="1" applyBorder="1" applyAlignment="1">
      <alignment horizontal="center"/>
    </xf>
    <xf numFmtId="10" fontId="56" fillId="0" borderId="10" xfId="13" applyNumberFormat="1" applyFont="1" applyBorder="1" applyAlignment="1">
      <alignment horizontal="center"/>
    </xf>
    <xf numFmtId="10" fontId="54" fillId="0" borderId="31" xfId="13" applyNumberFormat="1" applyFont="1" applyBorder="1" applyAlignment="1">
      <alignment horizontal="center"/>
    </xf>
    <xf numFmtId="10" fontId="56" fillId="0" borderId="0" xfId="3" applyNumberFormat="1" applyFont="1" applyAlignment="1">
      <alignment horizontal="center"/>
    </xf>
    <xf numFmtId="37" fontId="54" fillId="6" borderId="13" xfId="12" applyFont="1" applyFill="1" applyBorder="1" applyAlignment="1">
      <alignment horizontal="left" indent="1"/>
    </xf>
    <xf numFmtId="37" fontId="54" fillId="3" borderId="13" xfId="12" applyFont="1" applyFill="1" applyBorder="1" applyAlignment="1">
      <alignment horizontal="left" indent="1"/>
    </xf>
    <xf numFmtId="170" fontId="54" fillId="3" borderId="15" xfId="3" applyNumberFormat="1" applyFont="1" applyFill="1" applyBorder="1" applyAlignment="1">
      <alignment horizontal="right" indent="1"/>
    </xf>
    <xf numFmtId="37" fontId="54" fillId="6" borderId="14" xfId="12" applyFont="1" applyFill="1" applyBorder="1" applyAlignment="1">
      <alignment horizontal="left" indent="1"/>
    </xf>
    <xf numFmtId="170" fontId="54" fillId="6" borderId="15" xfId="3" applyNumberFormat="1" applyFont="1" applyFill="1" applyBorder="1" applyAlignment="1">
      <alignment horizontal="right" indent="1"/>
    </xf>
    <xf numFmtId="10" fontId="56" fillId="0" borderId="32" xfId="13" applyNumberFormat="1" applyFont="1" applyBorder="1" applyAlignment="1">
      <alignment horizontal="center"/>
    </xf>
    <xf numFmtId="10" fontId="56" fillId="0" borderId="5" xfId="13" applyNumberFormat="1" applyFont="1" applyBorder="1" applyAlignment="1">
      <alignment horizontal="center"/>
    </xf>
    <xf numFmtId="10" fontId="54" fillId="0" borderId="32" xfId="13" applyNumberFormat="1" applyFont="1" applyBorder="1" applyAlignment="1">
      <alignment horizontal="center"/>
    </xf>
    <xf numFmtId="37" fontId="54" fillId="6" borderId="16" xfId="12" applyFont="1" applyFill="1" applyBorder="1" applyAlignment="1">
      <alignment horizontal="left" indent="1"/>
    </xf>
    <xf numFmtId="37" fontId="54" fillId="3" borderId="16" xfId="12" applyFont="1" applyFill="1" applyBorder="1" applyAlignment="1">
      <alignment horizontal="left" indent="1"/>
    </xf>
    <xf numFmtId="5" fontId="54" fillId="3" borderId="17" xfId="12" applyNumberFormat="1" applyFont="1" applyFill="1" applyBorder="1" applyAlignment="1">
      <alignment horizontal="right" indent="1"/>
    </xf>
    <xf numFmtId="37" fontId="54" fillId="6" borderId="0" xfId="12" applyFont="1" applyFill="1" applyAlignment="1">
      <alignment horizontal="left" indent="1"/>
    </xf>
    <xf numFmtId="5" fontId="54" fillId="6" borderId="17" xfId="12" applyNumberFormat="1" applyFont="1" applyFill="1" applyBorder="1" applyAlignment="1">
      <alignment horizontal="right" indent="1"/>
    </xf>
    <xf numFmtId="10" fontId="49" fillId="0" borderId="5" xfId="13" applyNumberFormat="1" applyFont="1" applyBorder="1" applyAlignment="1">
      <alignment horizontal="center"/>
    </xf>
    <xf numFmtId="37" fontId="54" fillId="6" borderId="18" xfId="12" applyFont="1" applyFill="1" applyBorder="1" applyAlignment="1">
      <alignment horizontal="left" indent="1"/>
    </xf>
    <xf numFmtId="37" fontId="54" fillId="3" borderId="18" xfId="12" applyFont="1" applyFill="1" applyBorder="1" applyAlignment="1">
      <alignment horizontal="left" indent="1"/>
    </xf>
    <xf numFmtId="187" fontId="54" fillId="3" borderId="38" xfId="12" applyNumberFormat="1" applyFont="1" applyFill="1" applyBorder="1" applyAlignment="1">
      <alignment horizontal="right" indent="1"/>
    </xf>
    <xf numFmtId="37" fontId="54" fillId="6" borderId="19" xfId="12" applyFont="1" applyFill="1" applyBorder="1" applyAlignment="1">
      <alignment horizontal="left" indent="1"/>
    </xf>
    <xf numFmtId="187" fontId="54" fillId="6" borderId="38" xfId="12" applyNumberFormat="1" applyFont="1" applyFill="1" applyBorder="1" applyAlignment="1">
      <alignment horizontal="right" indent="1"/>
    </xf>
    <xf numFmtId="10" fontId="54" fillId="0" borderId="33" xfId="13" applyNumberFormat="1" applyFont="1" applyFill="1" applyBorder="1" applyAlignment="1">
      <alignment horizontal="center"/>
    </xf>
    <xf numFmtId="10" fontId="49" fillId="0" borderId="7" xfId="13" applyNumberFormat="1" applyFont="1" applyBorder="1" applyAlignment="1">
      <alignment horizontal="center"/>
    </xf>
    <xf numFmtId="10" fontId="54" fillId="0" borderId="33" xfId="13" applyNumberFormat="1" applyFont="1" applyBorder="1" applyAlignment="1">
      <alignment horizontal="center"/>
    </xf>
    <xf numFmtId="37" fontId="49" fillId="0" borderId="0" xfId="12" applyFont="1" applyAlignment="1">
      <alignment horizontal="right"/>
    </xf>
    <xf numFmtId="213" fontId="49" fillId="0" borderId="0" xfId="12" applyNumberFormat="1" applyFont="1"/>
    <xf numFmtId="37" fontId="52" fillId="0" borderId="0" xfId="12" applyFont="1" applyAlignment="1">
      <alignment horizontal="right"/>
    </xf>
    <xf numFmtId="37" fontId="52" fillId="0" borderId="8" xfId="12" applyFont="1" applyBorder="1" applyAlignment="1">
      <alignment horizontal="right"/>
    </xf>
    <xf numFmtId="186" fontId="52" fillId="0" borderId="8" xfId="12" applyNumberFormat="1" applyFont="1" applyBorder="1" applyAlignment="1">
      <alignment horizontal="right"/>
    </xf>
    <xf numFmtId="186" fontId="52" fillId="0" borderId="0" xfId="12" applyNumberFormat="1" applyFont="1" applyAlignment="1">
      <alignment horizontal="right"/>
    </xf>
    <xf numFmtId="10" fontId="49" fillId="25" borderId="1" xfId="12" applyNumberFormat="1" applyFont="1" applyFill="1" applyBorder="1"/>
    <xf numFmtId="37" fontId="51" fillId="0" borderId="0" xfId="12" applyFont="1"/>
    <xf numFmtId="37" fontId="49" fillId="0" borderId="11" xfId="12" applyFont="1" applyBorder="1"/>
    <xf numFmtId="37" fontId="52" fillId="0" borderId="0" xfId="12" applyFont="1"/>
    <xf numFmtId="37" fontId="52" fillId="0" borderId="11" xfId="12" applyFont="1" applyBorder="1"/>
    <xf numFmtId="37" fontId="57" fillId="0" borderId="0" xfId="12" applyFont="1"/>
    <xf numFmtId="10" fontId="57" fillId="0" borderId="0" xfId="13" applyNumberFormat="1" applyFont="1"/>
    <xf numFmtId="0" fontId="58" fillId="16" borderId="0" xfId="0" applyFont="1" applyFill="1" applyAlignment="1">
      <alignment horizontal="left"/>
    </xf>
    <xf numFmtId="0" fontId="59" fillId="16" borderId="0" xfId="0" applyFont="1" applyFill="1" applyAlignment="1">
      <alignment horizontal="left"/>
    </xf>
    <xf numFmtId="0" fontId="59" fillId="16" borderId="0" xfId="0" applyFont="1" applyFill="1"/>
    <xf numFmtId="0" fontId="49" fillId="0" borderId="0" xfId="0" applyFont="1" applyAlignment="1">
      <alignment horizontal="left"/>
    </xf>
    <xf numFmtId="5" fontId="49" fillId="0" borderId="0" xfId="0" applyNumberFormat="1" applyFont="1" applyAlignment="1">
      <alignment horizontal="right"/>
    </xf>
    <xf numFmtId="5" fontId="54" fillId="0" borderId="11" xfId="0" applyNumberFormat="1" applyFont="1" applyBorder="1" applyAlignment="1">
      <alignment horizontal="right"/>
    </xf>
    <xf numFmtId="209" fontId="60" fillId="0" borderId="0" xfId="0" applyNumberFormat="1" applyFont="1" applyAlignment="1">
      <alignment horizontal="left"/>
    </xf>
    <xf numFmtId="37" fontId="59" fillId="16" borderId="0" xfId="12" applyFont="1" applyFill="1"/>
    <xf numFmtId="217" fontId="60" fillId="0" borderId="0" xfId="0" applyNumberFormat="1" applyFont="1" applyAlignment="1">
      <alignment horizontal="left"/>
    </xf>
    <xf numFmtId="5" fontId="58" fillId="16" borderId="3" xfId="0" applyNumberFormat="1" applyFont="1" applyFill="1" applyBorder="1" applyAlignment="1">
      <alignment horizontal="right"/>
    </xf>
    <xf numFmtId="5" fontId="54" fillId="0" borderId="11" xfId="0" applyNumberFormat="1" applyFont="1" applyBorder="1"/>
    <xf numFmtId="170" fontId="54" fillId="0" borderId="11" xfId="0" applyNumberFormat="1" applyFont="1" applyBorder="1"/>
    <xf numFmtId="10" fontId="56" fillId="0" borderId="33" xfId="13" applyNumberFormat="1" applyFont="1" applyBorder="1" applyAlignment="1">
      <alignment horizontal="center"/>
    </xf>
    <xf numFmtId="0" fontId="49" fillId="0" borderId="0" xfId="0" applyFont="1"/>
    <xf numFmtId="10" fontId="49" fillId="0" borderId="0" xfId="13" applyNumberFormat="1" applyFont="1"/>
    <xf numFmtId="37" fontId="49" fillId="0" borderId="0" xfId="12" applyFont="1" applyAlignment="1">
      <alignment horizontal="left" indent="1"/>
    </xf>
    <xf numFmtId="206" fontId="49" fillId="0" borderId="0" xfId="12" applyNumberFormat="1" applyFont="1" applyAlignment="1">
      <alignment horizontal="left" indent="1"/>
    </xf>
    <xf numFmtId="37" fontId="52" fillId="0" borderId="0" xfId="12" applyFont="1" applyAlignment="1">
      <alignment horizontal="left" indent="1"/>
    </xf>
    <xf numFmtId="37" fontId="57" fillId="0" borderId="0" xfId="12" applyFont="1" applyAlignment="1">
      <alignment horizontal="left" indent="1"/>
    </xf>
    <xf numFmtId="207" fontId="56" fillId="0" borderId="0" xfId="12" applyNumberFormat="1" applyFont="1" applyAlignment="1">
      <alignment horizontal="left" indent="1"/>
    </xf>
    <xf numFmtId="208" fontId="49" fillId="0" borderId="0" xfId="12" applyNumberFormat="1" applyFont="1" applyAlignment="1">
      <alignment horizontal="left" indent="1"/>
    </xf>
    <xf numFmtId="207" fontId="49" fillId="0" borderId="0" xfId="12" applyNumberFormat="1" applyFont="1" applyAlignment="1">
      <alignment horizontal="left" indent="1"/>
    </xf>
    <xf numFmtId="0" fontId="49" fillId="0" borderId="0" xfId="0" applyFont="1" applyAlignment="1">
      <alignment horizontal="left" indent="1"/>
    </xf>
    <xf numFmtId="0" fontId="54" fillId="0" borderId="0" xfId="0" applyFont="1" applyAlignment="1">
      <alignment horizontal="left" indent="1"/>
    </xf>
    <xf numFmtId="188" fontId="55" fillId="7" borderId="31" xfId="0" applyNumberFormat="1" applyFont="1" applyFill="1" applyBorder="1" applyAlignment="1">
      <alignment horizontal="left" indent="1"/>
    </xf>
    <xf numFmtId="189" fontId="55" fillId="7" borderId="32" xfId="0" applyNumberFormat="1" applyFont="1" applyFill="1" applyBorder="1" applyAlignment="1">
      <alignment horizontal="left" indent="1"/>
    </xf>
    <xf numFmtId="190" fontId="55" fillId="7" borderId="33" xfId="0" applyNumberFormat="1" applyFont="1" applyFill="1" applyBorder="1" applyAlignment="1">
      <alignment horizontal="left" indent="1"/>
    </xf>
    <xf numFmtId="209" fontId="60" fillId="0" borderId="0" xfId="0" applyNumberFormat="1" applyFont="1" applyAlignment="1">
      <alignment horizontal="left" indent="1"/>
    </xf>
    <xf numFmtId="214" fontId="55" fillId="7" borderId="31" xfId="0" applyNumberFormat="1" applyFont="1" applyFill="1" applyBorder="1" applyAlignment="1">
      <alignment horizontal="left" indent="1"/>
    </xf>
    <xf numFmtId="215" fontId="55" fillId="7" borderId="32" xfId="0" applyNumberFormat="1" applyFont="1" applyFill="1" applyBorder="1" applyAlignment="1">
      <alignment horizontal="left" indent="1"/>
    </xf>
    <xf numFmtId="216" fontId="55" fillId="7" borderId="33" xfId="0" applyNumberFormat="1" applyFont="1" applyFill="1" applyBorder="1" applyAlignment="1">
      <alignment horizontal="left" indent="1"/>
    </xf>
    <xf numFmtId="170" fontId="49" fillId="0" borderId="0" xfId="3" applyNumberFormat="1" applyFont="1"/>
    <xf numFmtId="9" fontId="4" fillId="6" borderId="0" xfId="0" applyNumberFormat="1" applyFont="1" applyFill="1"/>
    <xf numFmtId="165" fontId="54" fillId="0" borderId="0" xfId="1" applyNumberFormat="1" applyFont="1"/>
    <xf numFmtId="165" fontId="4" fillId="0" borderId="0" xfId="1" applyNumberFormat="1" applyFont="1"/>
    <xf numFmtId="43" fontId="4" fillId="0" borderId="0" xfId="0" applyNumberFormat="1" applyFont="1"/>
    <xf numFmtId="0" fontId="11" fillId="0" borderId="0" xfId="6" applyFont="1"/>
    <xf numFmtId="0" fontId="14" fillId="0" borderId="5" xfId="0" applyFont="1" applyBorder="1" applyAlignment="1">
      <alignment horizontal="left" indent="1"/>
    </xf>
    <xf numFmtId="187" fontId="14" fillId="0" borderId="6" xfId="0" applyNumberFormat="1" applyFont="1" applyBorder="1"/>
    <xf numFmtId="10" fontId="14" fillId="0" borderId="6" xfId="3" applyNumberFormat="1" applyFont="1" applyBorder="1"/>
    <xf numFmtId="5" fontId="21" fillId="2" borderId="4" xfId="0" applyNumberFormat="1" applyFont="1" applyFill="1" applyBorder="1"/>
    <xf numFmtId="0" fontId="4" fillId="0" borderId="2" xfId="0" applyFont="1" applyBorder="1" applyAlignment="1">
      <alignment horizontal="left" indent="2"/>
    </xf>
    <xf numFmtId="170" fontId="4" fillId="0" borderId="9" xfId="3" applyNumberFormat="1" applyFont="1" applyBorder="1"/>
    <xf numFmtId="5" fontId="14" fillId="0" borderId="12" xfId="0" applyNumberFormat="1" applyFont="1" applyBorder="1"/>
    <xf numFmtId="0" fontId="54" fillId="0" borderId="31" xfId="0" applyFont="1" applyBorder="1"/>
    <xf numFmtId="0" fontId="54" fillId="0" borderId="32" xfId="0" applyFont="1" applyBorder="1"/>
    <xf numFmtId="10" fontId="54" fillId="0" borderId="32" xfId="0" applyNumberFormat="1" applyFont="1" applyBorder="1" applyAlignment="1">
      <alignment horizontal="center"/>
    </xf>
    <xf numFmtId="10" fontId="54" fillId="0" borderId="33" xfId="0" applyNumberFormat="1" applyFont="1" applyBorder="1" applyAlignment="1">
      <alignment horizontal="center"/>
    </xf>
    <xf numFmtId="0" fontId="55" fillId="0" borderId="0" xfId="0" applyFont="1" applyAlignment="1">
      <alignment horizontal="center" wrapText="1"/>
    </xf>
    <xf numFmtId="5" fontId="56" fillId="0" borderId="0" xfId="0" applyNumberFormat="1" applyFont="1"/>
    <xf numFmtId="170" fontId="4" fillId="0" borderId="8" xfId="3" applyNumberFormat="1" applyFont="1" applyBorder="1"/>
    <xf numFmtId="0" fontId="14" fillId="6" borderId="5" xfId="0" applyFont="1" applyFill="1" applyBorder="1" applyAlignment="1">
      <alignment horizontal="left" indent="1"/>
    </xf>
    <xf numFmtId="217" fontId="54" fillId="0" borderId="0" xfId="0" applyNumberFormat="1" applyFont="1" applyAlignment="1">
      <alignment horizontal="left" indent="1"/>
    </xf>
    <xf numFmtId="5" fontId="49" fillId="0" borderId="11" xfId="0" applyNumberFormat="1" applyFont="1" applyBorder="1" applyAlignment="1">
      <alignment horizontal="right"/>
    </xf>
    <xf numFmtId="37" fontId="49" fillId="0" borderId="0" xfId="12" applyFont="1" applyAlignment="1">
      <alignment horizontal="left" indent="3"/>
    </xf>
    <xf numFmtId="217" fontId="55" fillId="0" borderId="0" xfId="0" applyNumberFormat="1" applyFont="1" applyAlignment="1">
      <alignment horizontal="left"/>
    </xf>
    <xf numFmtId="0" fontId="49" fillId="0" borderId="0" xfId="0" applyFont="1" applyAlignment="1">
      <alignment horizontal="left" indent="2"/>
    </xf>
    <xf numFmtId="0" fontId="58" fillId="16" borderId="0" xfId="0" applyFont="1" applyFill="1" applyAlignment="1">
      <alignment horizontal="left" indent="2"/>
    </xf>
    <xf numFmtId="210" fontId="55" fillId="9" borderId="31" xfId="0" applyNumberFormat="1" applyFont="1" applyFill="1" applyBorder="1" applyAlignment="1">
      <alignment horizontal="left" indent="1"/>
    </xf>
    <xf numFmtId="211" fontId="55" fillId="9" borderId="32" xfId="0" applyNumberFormat="1" applyFont="1" applyFill="1" applyBorder="1" applyAlignment="1">
      <alignment horizontal="left" indent="1"/>
    </xf>
    <xf numFmtId="212" fontId="55" fillId="9" borderId="33" xfId="0" applyNumberFormat="1" applyFont="1" applyFill="1" applyBorder="1" applyAlignment="1">
      <alignment horizontal="left" indent="1"/>
    </xf>
    <xf numFmtId="187" fontId="4" fillId="0" borderId="3" xfId="0" applyNumberFormat="1" applyFont="1" applyBorder="1"/>
    <xf numFmtId="5" fontId="21" fillId="2" borderId="3" xfId="2" applyNumberFormat="1" applyFont="1" applyFill="1" applyBorder="1" applyAlignment="1"/>
    <xf numFmtId="197" fontId="11" fillId="6" borderId="0" xfId="0" applyNumberFormat="1" applyFont="1" applyFill="1" applyAlignment="1">
      <alignment horizontal="right"/>
    </xf>
    <xf numFmtId="0" fontId="0" fillId="0" borderId="0" xfId="0" applyAlignment="1">
      <alignment vertical="center"/>
    </xf>
    <xf numFmtId="0" fontId="61" fillId="27" borderId="39" xfId="0" applyFont="1" applyFill="1" applyBorder="1" applyAlignment="1">
      <alignment horizontal="centerContinuous" vertical="center"/>
    </xf>
    <xf numFmtId="0" fontId="62" fillId="27" borderId="40" xfId="0" applyFont="1" applyFill="1" applyBorder="1" applyAlignment="1">
      <alignment horizontal="centerContinuous" vertical="center"/>
    </xf>
    <xf numFmtId="0" fontId="62" fillId="27" borderId="41" xfId="0" applyFont="1" applyFill="1" applyBorder="1" applyAlignment="1">
      <alignment horizontal="centerContinuous" vertical="center"/>
    </xf>
    <xf numFmtId="17" fontId="8" fillId="3" borderId="42" xfId="0" applyNumberFormat="1" applyFont="1" applyFill="1" applyBorder="1" applyAlignment="1">
      <alignment horizontal="center" vertical="center" wrapText="1"/>
    </xf>
    <xf numFmtId="17" fontId="8" fillId="3" borderId="31" xfId="0" applyNumberFormat="1" applyFont="1" applyFill="1" applyBorder="1" applyAlignment="1">
      <alignment horizontal="center" vertical="center" wrapText="1"/>
    </xf>
    <xf numFmtId="17" fontId="8" fillId="3" borderId="55" xfId="0" applyNumberFormat="1" applyFont="1" applyFill="1" applyBorder="1" applyAlignment="1">
      <alignment horizontal="center" vertical="center" wrapText="1"/>
    </xf>
    <xf numFmtId="17" fontId="8" fillId="3" borderId="43" xfId="0" applyNumberFormat="1" applyFont="1" applyFill="1" applyBorder="1" applyAlignment="1">
      <alignment horizontal="center" vertical="center" wrapText="1"/>
    </xf>
    <xf numFmtId="17" fontId="8" fillId="3" borderId="44" xfId="0" applyNumberFormat="1" applyFont="1" applyFill="1" applyBorder="1" applyAlignment="1">
      <alignment horizontal="center" vertical="center" wrapText="1"/>
    </xf>
    <xf numFmtId="17" fontId="8" fillId="3" borderId="56" xfId="0" applyNumberFormat="1" applyFont="1" applyFill="1" applyBorder="1" applyAlignment="1">
      <alignment horizontal="center" vertical="center" wrapText="1"/>
    </xf>
    <xf numFmtId="0" fontId="63" fillId="0" borderId="10" xfId="0" applyFont="1" applyBorder="1" applyAlignment="1">
      <alignment horizontal="left"/>
    </xf>
    <xf numFmtId="170" fontId="63" fillId="0" borderId="11" xfId="3" applyNumberFormat="1" applyFont="1" applyBorder="1"/>
    <xf numFmtId="0" fontId="63" fillId="0" borderId="5" xfId="0" applyFont="1" applyBorder="1" applyAlignment="1">
      <alignment horizontal="left"/>
    </xf>
    <xf numFmtId="165" fontId="63" fillId="0" borderId="0" xfId="1" applyNumberFormat="1" applyFont="1" applyBorder="1"/>
    <xf numFmtId="0" fontId="63" fillId="0" borderId="7" xfId="0" applyFont="1" applyBorder="1" applyAlignment="1">
      <alignment horizontal="left"/>
    </xf>
    <xf numFmtId="172" fontId="63" fillId="0" borderId="8" xfId="0" applyNumberFormat="1" applyFont="1" applyBorder="1"/>
    <xf numFmtId="0" fontId="0" fillId="0" borderId="50" xfId="0" applyBorder="1"/>
    <xf numFmtId="0" fontId="0" fillId="0" borderId="46" xfId="0" applyBorder="1"/>
    <xf numFmtId="165" fontId="0" fillId="0" borderId="0" xfId="1" applyNumberFormat="1" applyFont="1"/>
    <xf numFmtId="165" fontId="0" fillId="0" borderId="50" xfId="1" applyNumberFormat="1" applyFont="1" applyBorder="1"/>
    <xf numFmtId="165" fontId="0" fillId="0" borderId="0" xfId="1" applyNumberFormat="1" applyFont="1" applyBorder="1"/>
    <xf numFmtId="165" fontId="0" fillId="0" borderId="46" xfId="1" applyNumberFormat="1" applyFont="1" applyBorder="1"/>
    <xf numFmtId="0" fontId="3" fillId="8" borderId="23" xfId="0" applyFont="1" applyFill="1" applyBorder="1"/>
    <xf numFmtId="165" fontId="3" fillId="8" borderId="23" xfId="1" applyNumberFormat="1" applyFont="1" applyFill="1" applyBorder="1"/>
    <xf numFmtId="165" fontId="3" fillId="8" borderId="53" xfId="1" applyNumberFormat="1" applyFont="1" applyFill="1" applyBorder="1"/>
    <xf numFmtId="165" fontId="3" fillId="8" borderId="54" xfId="1" applyNumberFormat="1" applyFont="1" applyFill="1" applyBorder="1"/>
    <xf numFmtId="0" fontId="3" fillId="0" borderId="11" xfId="0" applyFont="1" applyBorder="1"/>
    <xf numFmtId="165" fontId="3" fillId="0" borderId="11" xfId="1" applyNumberFormat="1" applyFont="1" applyBorder="1"/>
    <xf numFmtId="165" fontId="3" fillId="0" borderId="48" xfId="1" applyNumberFormat="1" applyFont="1" applyBorder="1"/>
    <xf numFmtId="165" fontId="3" fillId="0" borderId="49" xfId="1" applyNumberFormat="1" applyFont="1" applyBorder="1"/>
    <xf numFmtId="180" fontId="3" fillId="8" borderId="23" xfId="1" applyNumberFormat="1" applyFont="1" applyFill="1" applyBorder="1"/>
    <xf numFmtId="180" fontId="3" fillId="8" borderId="53" xfId="1" applyNumberFormat="1" applyFont="1" applyFill="1" applyBorder="1"/>
    <xf numFmtId="180" fontId="3" fillId="8" borderId="54" xfId="1" applyNumberFormat="1" applyFont="1" applyFill="1" applyBorder="1"/>
    <xf numFmtId="0" fontId="64" fillId="6" borderId="2" xfId="0" applyFont="1" applyFill="1" applyBorder="1" applyAlignment="1">
      <alignment horizontal="left" wrapText="1"/>
    </xf>
    <xf numFmtId="6" fontId="65" fillId="6" borderId="3" xfId="3" applyNumberFormat="1" applyFont="1" applyFill="1" applyBorder="1" applyAlignment="1">
      <alignment horizontal="center"/>
    </xf>
    <xf numFmtId="5" fontId="66" fillId="6" borderId="4" xfId="2" applyNumberFormat="1" applyFont="1" applyFill="1" applyBorder="1"/>
    <xf numFmtId="0" fontId="14" fillId="11" borderId="0" xfId="0" applyFont="1" applyFill="1"/>
    <xf numFmtId="5" fontId="4" fillId="0" borderId="11" xfId="3" applyNumberFormat="1" applyFont="1" applyBorder="1"/>
    <xf numFmtId="0" fontId="3" fillId="0" borderId="0" xfId="0" applyFont="1" applyAlignment="1">
      <alignment vertical="center"/>
    </xf>
    <xf numFmtId="14" fontId="3" fillId="0" borderId="0" xfId="0" applyNumberFormat="1" applyFont="1" applyAlignment="1">
      <alignment vertical="center"/>
    </xf>
    <xf numFmtId="0" fontId="3" fillId="0" borderId="0" xfId="0" applyFont="1" applyAlignment="1">
      <alignment horizontal="left" vertical="center"/>
    </xf>
    <xf numFmtId="0" fontId="66" fillId="0" borderId="0" xfId="0" applyFont="1" applyAlignment="1">
      <alignment horizontal="left" vertical="center"/>
    </xf>
    <xf numFmtId="0" fontId="67" fillId="27" borderId="0" xfId="0" applyFont="1" applyFill="1" applyAlignment="1">
      <alignment horizontal="centerContinuous" vertical="center"/>
    </xf>
    <xf numFmtId="0" fontId="36" fillId="27" borderId="0" xfId="0" applyFont="1" applyFill="1" applyAlignment="1">
      <alignment horizontal="centerContinuous" vertical="center"/>
    </xf>
    <xf numFmtId="0" fontId="0" fillId="0" borderId="2" xfId="0" applyBorder="1" applyAlignment="1">
      <alignment vertical="center"/>
    </xf>
    <xf numFmtId="0" fontId="0" fillId="0" borderId="3" xfId="0" applyBorder="1" applyAlignment="1">
      <alignment vertical="center"/>
    </xf>
    <xf numFmtId="165" fontId="0" fillId="0" borderId="1" xfId="1" applyNumberFormat="1" applyFont="1" applyFill="1" applyBorder="1" applyAlignment="1">
      <alignment vertical="center"/>
    </xf>
    <xf numFmtId="172" fontId="0" fillId="0" borderId="1" xfId="0" applyNumberFormat="1" applyBorder="1" applyAlignment="1">
      <alignment vertical="center"/>
    </xf>
    <xf numFmtId="0" fontId="0" fillId="0" borderId="4" xfId="0" applyBorder="1" applyAlignment="1">
      <alignment vertical="center"/>
    </xf>
    <xf numFmtId="10" fontId="0" fillId="0" borderId="1" xfId="3" applyNumberFormat="1" applyFont="1" applyFill="1" applyBorder="1" applyAlignment="1">
      <alignment vertical="center"/>
    </xf>
    <xf numFmtId="10" fontId="0" fillId="0" borderId="0" xfId="3" applyNumberFormat="1" applyFont="1" applyFill="1" applyBorder="1" applyAlignment="1">
      <alignment vertical="center"/>
    </xf>
    <xf numFmtId="9" fontId="0" fillId="0" borderId="0" xfId="3" applyFont="1" applyFill="1" applyBorder="1" applyAlignment="1">
      <alignment vertical="center"/>
    </xf>
    <xf numFmtId="165" fontId="0" fillId="0" borderId="0" xfId="0" applyNumberFormat="1" applyAlignment="1">
      <alignment vertical="center"/>
    </xf>
    <xf numFmtId="6" fontId="0" fillId="0" borderId="1" xfId="0" applyNumberFormat="1" applyBorder="1" applyAlignment="1">
      <alignment vertical="center"/>
    </xf>
    <xf numFmtId="9" fontId="0" fillId="0" borderId="1" xfId="3" applyFont="1" applyFill="1" applyBorder="1" applyAlignment="1">
      <alignment vertical="center"/>
    </xf>
    <xf numFmtId="0" fontId="68" fillId="26" borderId="2" xfId="0" applyFont="1" applyFill="1" applyBorder="1" applyAlignment="1">
      <alignment vertical="center"/>
    </xf>
    <xf numFmtId="0" fontId="61" fillId="26" borderId="3" xfId="0" applyFont="1" applyFill="1" applyBorder="1" applyAlignment="1">
      <alignment vertical="center"/>
    </xf>
    <xf numFmtId="0" fontId="68" fillId="26" borderId="1" xfId="0" applyFont="1" applyFill="1" applyBorder="1" applyAlignment="1">
      <alignment horizontal="center" vertical="center"/>
    </xf>
    <xf numFmtId="0" fontId="68" fillId="26" borderId="4" xfId="0" applyFont="1" applyFill="1" applyBorder="1" applyAlignment="1">
      <alignment horizontal="center" vertical="center"/>
    </xf>
    <xf numFmtId="172" fontId="0" fillId="0" borderId="1" xfId="2" applyNumberFormat="1" applyFont="1" applyFill="1" applyBorder="1" applyAlignment="1">
      <alignment vertical="center"/>
    </xf>
    <xf numFmtId="9" fontId="0" fillId="0" borderId="4" xfId="3" applyFont="1" applyBorder="1" applyAlignment="1">
      <alignment vertical="center"/>
    </xf>
    <xf numFmtId="43" fontId="0" fillId="0" borderId="4" xfId="1" applyFont="1" applyBorder="1" applyAlignment="1">
      <alignment vertical="center"/>
    </xf>
    <xf numFmtId="43" fontId="0" fillId="0" borderId="4" xfId="1" applyFont="1" applyFill="1" applyBorder="1" applyAlignment="1">
      <alignment vertical="center"/>
    </xf>
    <xf numFmtId="0" fontId="68" fillId="26" borderId="3" xfId="0" applyFont="1" applyFill="1" applyBorder="1" applyAlignment="1">
      <alignment vertical="center"/>
    </xf>
    <xf numFmtId="171" fontId="0" fillId="0" borderId="1" xfId="3" applyNumberFormat="1" applyFont="1" applyFill="1" applyBorder="1" applyAlignment="1">
      <alignment vertical="center"/>
    </xf>
    <xf numFmtId="43" fontId="0" fillId="0" borderId="1" xfId="1" applyFont="1" applyBorder="1" applyAlignment="1">
      <alignment vertical="center"/>
    </xf>
    <xf numFmtId="171" fontId="0" fillId="0" borderId="1" xfId="0" applyNumberFormat="1" applyBorder="1" applyAlignment="1">
      <alignment vertical="center"/>
    </xf>
    <xf numFmtId="0" fontId="68" fillId="0" borderId="3" xfId="0" applyFont="1" applyBorder="1" applyAlignment="1">
      <alignment vertical="center"/>
    </xf>
    <xf numFmtId="9" fontId="0" fillId="0" borderId="1" xfId="3" applyFont="1" applyBorder="1" applyAlignment="1">
      <alignment vertical="center"/>
    </xf>
    <xf numFmtId="8" fontId="0" fillId="0" borderId="1" xfId="0" applyNumberFormat="1" applyBorder="1" applyAlignment="1">
      <alignment vertical="center"/>
    </xf>
    <xf numFmtId="0" fontId="69" fillId="0" borderId="0" xfId="0" applyFont="1" applyAlignment="1">
      <alignment horizontal="left" indent="1"/>
    </xf>
    <xf numFmtId="170" fontId="0" fillId="0" borderId="1" xfId="3" applyNumberFormat="1" applyFont="1" applyFill="1" applyBorder="1" applyAlignment="1">
      <alignment vertical="center"/>
    </xf>
    <xf numFmtId="219" fontId="0" fillId="0" borderId="1" xfId="0" applyNumberFormat="1" applyBorder="1" applyAlignment="1">
      <alignment vertical="center"/>
    </xf>
    <xf numFmtId="171" fontId="0" fillId="0" borderId="1" xfId="1" applyNumberFormat="1" applyFont="1" applyFill="1" applyBorder="1" applyAlignment="1">
      <alignment vertical="center"/>
    </xf>
    <xf numFmtId="0" fontId="14" fillId="8" borderId="0" xfId="0" applyFont="1" applyFill="1" applyAlignment="1">
      <alignment horizontal="centerContinuous" vertical="center" wrapText="1"/>
    </xf>
    <xf numFmtId="0" fontId="4" fillId="8" borderId="0" xfId="0" applyFont="1" applyFill="1" applyAlignment="1">
      <alignment horizontal="centerContinuous" wrapText="1"/>
    </xf>
    <xf numFmtId="0" fontId="70" fillId="28" borderId="34" xfId="0" applyFont="1" applyFill="1" applyBorder="1" applyAlignment="1">
      <alignment horizontal="centerContinuous" vertical="top"/>
    </xf>
    <xf numFmtId="0" fontId="71" fillId="28" borderId="35" xfId="0" applyFont="1" applyFill="1" applyBorder="1" applyAlignment="1">
      <alignment horizontal="centerContinuous" vertical="center"/>
    </xf>
    <xf numFmtId="0" fontId="71" fillId="28" borderId="36" xfId="0" applyFont="1" applyFill="1" applyBorder="1" applyAlignment="1">
      <alignment horizontal="centerContinuous" vertical="center"/>
    </xf>
    <xf numFmtId="0" fontId="0" fillId="0" borderId="16" xfId="0" applyBorder="1"/>
    <xf numFmtId="0" fontId="0" fillId="0" borderId="17" xfId="0" applyBorder="1"/>
    <xf numFmtId="0" fontId="0" fillId="0" borderId="16" xfId="0" applyBorder="1" applyAlignment="1">
      <alignment horizontal="left" indent="1"/>
    </xf>
    <xf numFmtId="37" fontId="0" fillId="0" borderId="17" xfId="1" applyNumberFormat="1" applyFont="1" applyBorder="1" applyAlignment="1">
      <alignment horizontal="center"/>
    </xf>
    <xf numFmtId="0" fontId="3" fillId="8" borderId="57" xfId="0" applyFont="1" applyFill="1" applyBorder="1" applyAlignment="1">
      <alignment horizontal="left" indent="1"/>
    </xf>
    <xf numFmtId="0" fontId="0" fillId="8" borderId="11" xfId="0" applyFill="1" applyBorder="1"/>
    <xf numFmtId="171" fontId="3" fillId="8" borderId="28" xfId="0" applyNumberFormat="1" applyFont="1" applyFill="1" applyBorder="1" applyAlignment="1">
      <alignment horizontal="center"/>
    </xf>
    <xf numFmtId="0" fontId="0" fillId="0" borderId="17" xfId="0" applyBorder="1" applyAlignment="1">
      <alignment horizontal="center"/>
    </xf>
    <xf numFmtId="0" fontId="3" fillId="0" borderId="16" xfId="0" applyFont="1" applyBorder="1" applyAlignment="1">
      <alignment horizontal="left" indent="1"/>
    </xf>
    <xf numFmtId="0" fontId="0" fillId="0" borderId="16" xfId="0" applyBorder="1" applyAlignment="1">
      <alignment horizontal="left" indent="2"/>
    </xf>
    <xf numFmtId="37" fontId="0" fillId="0" borderId="17" xfId="1" applyNumberFormat="1" applyFont="1" applyFill="1" applyBorder="1" applyAlignment="1">
      <alignment horizontal="center"/>
    </xf>
    <xf numFmtId="0" fontId="3" fillId="0" borderId="57" xfId="0" applyFont="1" applyBorder="1" applyAlignment="1">
      <alignment horizontal="left" indent="1"/>
    </xf>
    <xf numFmtId="0" fontId="0" fillId="0" borderId="11" xfId="0" applyBorder="1"/>
    <xf numFmtId="171" fontId="3" fillId="0" borderId="28" xfId="0" applyNumberFormat="1" applyFont="1" applyBorder="1" applyAlignment="1">
      <alignment horizontal="center"/>
    </xf>
    <xf numFmtId="0" fontId="3" fillId="8" borderId="58" xfId="0" applyFont="1" applyFill="1" applyBorder="1" applyAlignment="1">
      <alignment horizontal="left" indent="1"/>
    </xf>
    <xf numFmtId="0" fontId="0" fillId="8" borderId="23" xfId="0" applyFill="1" applyBorder="1"/>
    <xf numFmtId="171" fontId="3" fillId="8" borderId="37" xfId="0" applyNumberFormat="1" applyFont="1" applyFill="1" applyBorder="1" applyAlignment="1">
      <alignment horizontal="center"/>
    </xf>
    <xf numFmtId="0" fontId="0" fillId="0" borderId="18" xfId="0" applyBorder="1"/>
    <xf numFmtId="0" fontId="0" fillId="0" borderId="19" xfId="0" applyBorder="1"/>
    <xf numFmtId="0" fontId="0" fillId="0" borderId="38" xfId="0" applyBorder="1" applyAlignment="1">
      <alignment horizontal="center"/>
    </xf>
    <xf numFmtId="0" fontId="0" fillId="8" borderId="0" xfId="0" applyFill="1" applyAlignment="1">
      <alignment horizontal="centerContinuous"/>
    </xf>
    <xf numFmtId="0" fontId="0" fillId="8" borderId="13" xfId="0" applyFill="1" applyBorder="1" applyAlignment="1">
      <alignment horizontal="left" indent="1"/>
    </xf>
    <xf numFmtId="0" fontId="0" fillId="8" borderId="14" xfId="0" applyFill="1" applyBorder="1"/>
    <xf numFmtId="0" fontId="0" fillId="8" borderId="45" xfId="0" applyFill="1" applyBorder="1"/>
    <xf numFmtId="0" fontId="0" fillId="8" borderId="15" xfId="0" applyFill="1" applyBorder="1"/>
    <xf numFmtId="0" fontId="64" fillId="8" borderId="16" xfId="0" applyFont="1" applyFill="1" applyBorder="1" applyAlignment="1">
      <alignment horizontal="left" vertical="center" indent="1"/>
    </xf>
    <xf numFmtId="0" fontId="0" fillId="8" borderId="0" xfId="0" applyFill="1"/>
    <xf numFmtId="0" fontId="0" fillId="8" borderId="46" xfId="0" applyFill="1" applyBorder="1"/>
    <xf numFmtId="0" fontId="0" fillId="8" borderId="17" xfId="0" applyFill="1" applyBorder="1"/>
    <xf numFmtId="0" fontId="0" fillId="8" borderId="16" xfId="0" applyFill="1" applyBorder="1" applyAlignment="1">
      <alignment horizontal="left" indent="1"/>
    </xf>
    <xf numFmtId="165" fontId="0" fillId="8" borderId="0" xfId="0" applyNumberFormat="1" applyFill="1"/>
    <xf numFmtId="165" fontId="0" fillId="8" borderId="46" xfId="0" applyNumberFormat="1" applyFill="1" applyBorder="1"/>
    <xf numFmtId="165" fontId="0" fillId="8" borderId="17" xfId="0" applyNumberFormat="1" applyFill="1" applyBorder="1"/>
    <xf numFmtId="170" fontId="0" fillId="8" borderId="0" xfId="3" applyNumberFormat="1" applyFont="1" applyFill="1" applyBorder="1"/>
    <xf numFmtId="170" fontId="0" fillId="8" borderId="46" xfId="3" applyNumberFormat="1" applyFont="1" applyFill="1" applyBorder="1"/>
    <xf numFmtId="170" fontId="0" fillId="8" borderId="17" xfId="3" applyNumberFormat="1" applyFont="1" applyFill="1" applyBorder="1"/>
    <xf numFmtId="172" fontId="0" fillId="8" borderId="0" xfId="0" applyNumberFormat="1" applyFill="1"/>
    <xf numFmtId="172" fontId="0" fillId="8" borderId="17" xfId="0" applyNumberFormat="1" applyFill="1" applyBorder="1"/>
    <xf numFmtId="171" fontId="0" fillId="8" borderId="0" xfId="0" applyNumberFormat="1" applyFill="1"/>
    <xf numFmtId="171" fontId="0" fillId="8" borderId="17" xfId="0" applyNumberFormat="1" applyFill="1" applyBorder="1"/>
    <xf numFmtId="171" fontId="64" fillId="8" borderId="0" xfId="0" applyNumberFormat="1" applyFont="1" applyFill="1"/>
    <xf numFmtId="171" fontId="64" fillId="8" borderId="17" xfId="0" applyNumberFormat="1" applyFont="1" applyFill="1" applyBorder="1"/>
    <xf numFmtId="0" fontId="0" fillId="8" borderId="18" xfId="0" applyFill="1" applyBorder="1" applyAlignment="1">
      <alignment horizontal="left" indent="1"/>
    </xf>
    <xf numFmtId="0" fontId="0" fillId="8" borderId="19" xfId="0" applyFill="1" applyBorder="1"/>
    <xf numFmtId="0" fontId="0" fillId="8" borderId="47" xfId="0" applyFill="1" applyBorder="1"/>
    <xf numFmtId="0" fontId="0" fillId="8" borderId="38" xfId="0" applyFill="1" applyBorder="1"/>
    <xf numFmtId="0" fontId="61" fillId="16" borderId="0" xfId="0" applyFont="1" applyFill="1" applyAlignment="1">
      <alignment vertical="center"/>
    </xf>
    <xf numFmtId="0" fontId="63" fillId="0" borderId="10" xfId="0" applyFont="1" applyBorder="1"/>
    <xf numFmtId="10" fontId="63" fillId="0" borderId="11" xfId="0" applyNumberFormat="1" applyFont="1" applyBorder="1"/>
    <xf numFmtId="0" fontId="63" fillId="0" borderId="11" xfId="0" applyFont="1" applyBorder="1"/>
    <xf numFmtId="9" fontId="63" fillId="0" borderId="11" xfId="3" applyFont="1" applyBorder="1"/>
    <xf numFmtId="0" fontId="63" fillId="0" borderId="48" xfId="0" applyFont="1" applyBorder="1"/>
    <xf numFmtId="0" fontId="63" fillId="0" borderId="49" xfId="0" applyFont="1" applyBorder="1"/>
    <xf numFmtId="10" fontId="63" fillId="0" borderId="12" xfId="0" applyNumberFormat="1" applyFont="1" applyBorder="1"/>
    <xf numFmtId="0" fontId="63" fillId="0" borderId="5" xfId="0" applyFont="1" applyBorder="1"/>
    <xf numFmtId="0" fontId="63" fillId="0" borderId="0" xfId="0" applyFont="1"/>
    <xf numFmtId="9" fontId="72" fillId="0" borderId="0" xfId="3" applyFont="1" applyFill="1" applyBorder="1"/>
    <xf numFmtId="9" fontId="72" fillId="0" borderId="50" xfId="3" applyFont="1" applyFill="1" applyBorder="1"/>
    <xf numFmtId="9" fontId="72" fillId="0" borderId="46" xfId="3" applyFont="1" applyFill="1" applyBorder="1"/>
    <xf numFmtId="0" fontId="63" fillId="0" borderId="46" xfId="0" applyFont="1" applyBorder="1"/>
    <xf numFmtId="0" fontId="63" fillId="0" borderId="6" xfId="0" applyFont="1" applyBorder="1"/>
    <xf numFmtId="0" fontId="63" fillId="0" borderId="50" xfId="0" applyFont="1" applyBorder="1"/>
    <xf numFmtId="9" fontId="63" fillId="0" borderId="0" xfId="3" applyFont="1" applyBorder="1"/>
    <xf numFmtId="9" fontId="63" fillId="0" borderId="46" xfId="3" applyFont="1" applyBorder="1"/>
    <xf numFmtId="9" fontId="63" fillId="0" borderId="50" xfId="3" applyFont="1" applyBorder="1"/>
    <xf numFmtId="0" fontId="63" fillId="0" borderId="7" xfId="0" applyFont="1" applyBorder="1"/>
    <xf numFmtId="10" fontId="63" fillId="0" borderId="8" xfId="0" applyNumberFormat="1" applyFont="1" applyBorder="1"/>
    <xf numFmtId="0" fontId="63" fillId="0" borderId="8" xfId="0" applyFont="1" applyBorder="1"/>
    <xf numFmtId="0" fontId="63" fillId="0" borderId="51" xfId="0" applyFont="1" applyBorder="1"/>
    <xf numFmtId="0" fontId="63" fillId="0" borderId="52" xfId="0" applyFont="1" applyBorder="1"/>
    <xf numFmtId="10" fontId="63" fillId="0" borderId="8" xfId="3" applyNumberFormat="1" applyFont="1" applyBorder="1"/>
    <xf numFmtId="10" fontId="63" fillId="0" borderId="52" xfId="3" applyNumberFormat="1" applyFont="1" applyBorder="1"/>
    <xf numFmtId="10" fontId="63" fillId="0" borderId="9" xfId="3" applyNumberFormat="1" applyFont="1" applyBorder="1"/>
    <xf numFmtId="165" fontId="0" fillId="0" borderId="0" xfId="0" applyNumberFormat="1"/>
    <xf numFmtId="170" fontId="0" fillId="0" borderId="0" xfId="3" applyNumberFormat="1" applyFont="1"/>
    <xf numFmtId="170" fontId="0" fillId="0" borderId="0" xfId="3" applyNumberFormat="1" applyFont="1" applyFill="1"/>
    <xf numFmtId="170" fontId="0" fillId="0" borderId="0" xfId="0" applyNumberFormat="1"/>
    <xf numFmtId="165" fontId="0" fillId="0" borderId="0" xfId="1" applyNumberFormat="1" applyFont="1" applyFill="1"/>
    <xf numFmtId="165" fontId="0" fillId="0" borderId="50" xfId="1" applyNumberFormat="1" applyFont="1" applyFill="1" applyBorder="1"/>
    <xf numFmtId="165" fontId="0" fillId="0" borderId="0" xfId="1" applyNumberFormat="1" applyFont="1" applyFill="1" applyBorder="1"/>
    <xf numFmtId="165" fontId="0" fillId="0" borderId="46" xfId="1" applyNumberFormat="1" applyFont="1" applyFill="1" applyBorder="1"/>
    <xf numFmtId="179" fontId="0" fillId="0" borderId="50" xfId="3" applyNumberFormat="1" applyFont="1" applyBorder="1"/>
    <xf numFmtId="218" fontId="0" fillId="0" borderId="46" xfId="3" applyNumberFormat="1" applyFont="1" applyBorder="1"/>
    <xf numFmtId="172" fontId="0" fillId="0" borderId="0" xfId="0" applyNumberFormat="1"/>
    <xf numFmtId="10" fontId="0" fillId="0" borderId="0" xfId="3" applyNumberFormat="1" applyFont="1" applyFill="1"/>
    <xf numFmtId="9" fontId="0" fillId="0" borderId="0" xfId="3" applyFont="1" applyFill="1"/>
    <xf numFmtId="0" fontId="0" fillId="0" borderId="11" xfId="0" applyBorder="1" applyAlignment="1">
      <alignment horizontal="left"/>
    </xf>
    <xf numFmtId="171" fontId="0" fillId="0" borderId="11" xfId="1" applyNumberFormat="1" applyFont="1" applyFill="1" applyBorder="1"/>
    <xf numFmtId="0" fontId="3" fillId="0" borderId="23" xfId="0" applyFont="1" applyBorder="1"/>
    <xf numFmtId="171" fontId="3" fillId="0" borderId="23" xfId="0" applyNumberFormat="1" applyFont="1" applyBorder="1"/>
    <xf numFmtId="186" fontId="8" fillId="3" borderId="57" xfId="0" applyNumberFormat="1" applyFont="1" applyFill="1" applyBorder="1" applyAlignment="1">
      <alignment horizontal="center" vertical="center" wrapText="1"/>
    </xf>
    <xf numFmtId="186" fontId="8" fillId="3" borderId="31" xfId="0" applyNumberFormat="1" applyFont="1" applyFill="1" applyBorder="1" applyAlignment="1">
      <alignment horizontal="center" vertical="center" wrapText="1"/>
    </xf>
    <xf numFmtId="10" fontId="37" fillId="0" borderId="0" xfId="3" applyNumberFormat="1" applyFont="1"/>
    <xf numFmtId="10" fontId="37" fillId="0" borderId="0" xfId="3" applyNumberFormat="1" applyFont="1" applyFill="1"/>
    <xf numFmtId="43" fontId="0" fillId="0" borderId="0" xfId="0" applyNumberFormat="1"/>
    <xf numFmtId="179" fontId="0" fillId="0" borderId="0" xfId="3" applyNumberFormat="1" applyFont="1"/>
    <xf numFmtId="220" fontId="0" fillId="0" borderId="0" xfId="0" applyNumberFormat="1" applyAlignment="1">
      <alignment horizontal="left" indent="2"/>
    </xf>
    <xf numFmtId="10" fontId="37" fillId="0" borderId="0" xfId="3" applyNumberFormat="1" applyFont="1" applyBorder="1"/>
    <xf numFmtId="37" fontId="0" fillId="8" borderId="0" xfId="0" applyNumberFormat="1" applyFill="1"/>
    <xf numFmtId="37" fontId="0" fillId="8" borderId="17" xfId="0" applyNumberFormat="1" applyFill="1" applyBorder="1"/>
    <xf numFmtId="37" fontId="26" fillId="0" borderId="0" xfId="0" applyNumberFormat="1" applyFont="1" applyAlignment="1">
      <alignment horizontal="center"/>
    </xf>
    <xf numFmtId="166" fontId="21" fillId="2" borderId="0" xfId="0" applyNumberFormat="1" applyFont="1" applyFill="1"/>
    <xf numFmtId="165" fontId="0" fillId="0" borderId="11" xfId="1" applyNumberFormat="1" applyFont="1" applyBorder="1"/>
    <xf numFmtId="0" fontId="10" fillId="17" borderId="0" xfId="6" applyFont="1" applyFill="1"/>
    <xf numFmtId="0" fontId="4" fillId="17" borderId="0" xfId="0" applyFont="1" applyFill="1"/>
    <xf numFmtId="37" fontId="3" fillId="8" borderId="23" xfId="1" applyNumberFormat="1" applyFont="1" applyFill="1" applyBorder="1"/>
    <xf numFmtId="10" fontId="23" fillId="0" borderId="0" xfId="3" applyNumberFormat="1" applyFont="1"/>
    <xf numFmtId="8" fontId="11" fillId="0" borderId="0" xfId="3" applyNumberFormat="1" applyFont="1"/>
    <xf numFmtId="221" fontId="11" fillId="0" borderId="0" xfId="3" applyNumberFormat="1" applyFont="1"/>
    <xf numFmtId="222" fontId="11" fillId="0" borderId="0" xfId="3" applyNumberFormat="1" applyFont="1"/>
    <xf numFmtId="0" fontId="14" fillId="0" borderId="0" xfId="6" applyFont="1"/>
    <xf numFmtId="5" fontId="14" fillId="0" borderId="11" xfId="6" applyNumberFormat="1" applyFont="1" applyBorder="1"/>
    <xf numFmtId="7" fontId="14" fillId="0" borderId="11" xfId="6" applyNumberFormat="1" applyFont="1" applyBorder="1"/>
    <xf numFmtId="223" fontId="4" fillId="0" borderId="0" xfId="0" applyNumberFormat="1" applyFont="1" applyAlignment="1">
      <alignment horizontal="right"/>
    </xf>
    <xf numFmtId="10" fontId="11" fillId="9" borderId="3" xfId="3" applyNumberFormat="1" applyFont="1" applyFill="1" applyBorder="1"/>
    <xf numFmtId="5" fontId="4" fillId="0" borderId="0" xfId="0" quotePrefix="1" applyNumberFormat="1" applyFont="1"/>
    <xf numFmtId="0" fontId="10" fillId="24" borderId="2" xfId="6" applyFont="1" applyFill="1" applyBorder="1"/>
    <xf numFmtId="0" fontId="10" fillId="24" borderId="3" xfId="6" applyFont="1" applyFill="1" applyBorder="1"/>
    <xf numFmtId="5" fontId="10" fillId="24" borderId="3" xfId="6" applyNumberFormat="1" applyFont="1" applyFill="1" applyBorder="1"/>
    <xf numFmtId="7" fontId="10" fillId="24" borderId="3" xfId="6" applyNumberFormat="1" applyFont="1" applyFill="1" applyBorder="1"/>
    <xf numFmtId="0" fontId="21" fillId="29" borderId="0" xfId="6" applyFont="1" applyFill="1"/>
    <xf numFmtId="0" fontId="4" fillId="29" borderId="0" xfId="0" applyFont="1" applyFill="1"/>
    <xf numFmtId="7" fontId="4" fillId="29" borderId="0" xfId="0" applyNumberFormat="1" applyFont="1" applyFill="1"/>
    <xf numFmtId="5" fontId="4" fillId="29" borderId="0" xfId="0" applyNumberFormat="1" applyFont="1" applyFill="1"/>
    <xf numFmtId="0" fontId="21" fillId="29" borderId="3" xfId="0" applyFont="1" applyFill="1" applyBorder="1"/>
    <xf numFmtId="5" fontId="21" fillId="29" borderId="3" xfId="0" applyNumberFormat="1" applyFont="1" applyFill="1" applyBorder="1"/>
    <xf numFmtId="7" fontId="21" fillId="29" borderId="3" xfId="0" applyNumberFormat="1" applyFont="1" applyFill="1" applyBorder="1"/>
    <xf numFmtId="224" fontId="11" fillId="6" borderId="1" xfId="9" applyNumberFormat="1" applyFont="1" applyFill="1" applyBorder="1"/>
    <xf numFmtId="200" fontId="10" fillId="0" borderId="0" xfId="19" applyFont="1" applyAlignment="1">
      <alignment horizontal="center" vertical="center"/>
    </xf>
    <xf numFmtId="5" fontId="4" fillId="6" borderId="0" xfId="20" applyNumberFormat="1" applyFont="1" applyFill="1" applyBorder="1"/>
    <xf numFmtId="5" fontId="4" fillId="6" borderId="11" xfId="20" applyNumberFormat="1" applyFont="1" applyFill="1" applyBorder="1"/>
    <xf numFmtId="0" fontId="11" fillId="30" borderId="1" xfId="9" applyFont="1" applyFill="1" applyBorder="1"/>
    <xf numFmtId="170" fontId="11" fillId="30" borderId="1" xfId="9" applyNumberFormat="1" applyFont="1" applyFill="1" applyBorder="1"/>
    <xf numFmtId="44" fontId="11" fillId="30" borderId="1" xfId="9" applyNumberFormat="1" applyFont="1" applyFill="1" applyBorder="1"/>
    <xf numFmtId="5" fontId="11" fillId="30" borderId="1" xfId="9" applyNumberFormat="1" applyFont="1" applyFill="1" applyBorder="1"/>
    <xf numFmtId="5" fontId="4" fillId="6" borderId="11" xfId="1" applyNumberFormat="1" applyFont="1" applyFill="1" applyBorder="1"/>
    <xf numFmtId="8" fontId="4" fillId="6" borderId="0" xfId="0" applyNumberFormat="1" applyFont="1" applyFill="1"/>
    <xf numFmtId="0" fontId="16" fillId="0" borderId="0" xfId="0" applyFont="1"/>
    <xf numFmtId="5" fontId="16" fillId="0" borderId="11" xfId="0" applyNumberFormat="1" applyFont="1" applyBorder="1"/>
    <xf numFmtId="0" fontId="75" fillId="0" borderId="0" xfId="0" applyFont="1"/>
    <xf numFmtId="0" fontId="16" fillId="6" borderId="0" xfId="0" applyFont="1" applyFill="1"/>
    <xf numFmtId="5" fontId="76" fillId="0" borderId="0" xfId="0" applyNumberFormat="1" applyFont="1"/>
    <xf numFmtId="5" fontId="16" fillId="0" borderId="0" xfId="0" applyNumberFormat="1" applyFont="1"/>
    <xf numFmtId="0" fontId="75" fillId="0" borderId="3" xfId="0" applyFont="1" applyBorder="1"/>
    <xf numFmtId="0" fontId="16" fillId="6" borderId="3" xfId="0" applyFont="1" applyFill="1" applyBorder="1"/>
    <xf numFmtId="5" fontId="76" fillId="0" borderId="3" xfId="0" applyNumberFormat="1" applyFont="1" applyBorder="1"/>
    <xf numFmtId="5" fontId="16" fillId="0" borderId="3" xfId="0" applyNumberFormat="1" applyFont="1" applyBorder="1"/>
    <xf numFmtId="0" fontId="75" fillId="0" borderId="11" xfId="0" applyFont="1" applyBorder="1"/>
    <xf numFmtId="175" fontId="16" fillId="6" borderId="8" xfId="0" applyNumberFormat="1" applyFont="1" applyFill="1" applyBorder="1" applyAlignment="1">
      <alignment horizontal="left" indent="2"/>
    </xf>
    <xf numFmtId="0" fontId="75" fillId="0" borderId="8" xfId="0" applyFont="1" applyBorder="1"/>
    <xf numFmtId="5" fontId="16" fillId="0" borderId="8" xfId="0" applyNumberFormat="1" applyFont="1" applyBorder="1"/>
    <xf numFmtId="5" fontId="16" fillId="6" borderId="3" xfId="6" applyNumberFormat="1" applyFont="1" applyFill="1" applyBorder="1"/>
    <xf numFmtId="175" fontId="16" fillId="6" borderId="11" xfId="0" applyNumberFormat="1" applyFont="1" applyFill="1" applyBorder="1" applyAlignment="1">
      <alignment horizontal="left" indent="2"/>
    </xf>
    <xf numFmtId="0" fontId="16" fillId="0" borderId="8" xfId="0" applyFont="1" applyBorder="1"/>
    <xf numFmtId="5" fontId="75" fillId="0" borderId="11" xfId="0" applyNumberFormat="1" applyFont="1" applyBorder="1"/>
    <xf numFmtId="5" fontId="75" fillId="0" borderId="0" xfId="0" applyNumberFormat="1" applyFont="1"/>
    <xf numFmtId="197" fontId="44" fillId="0" borderId="0" xfId="0" applyNumberFormat="1" applyFont="1"/>
    <xf numFmtId="0" fontId="20" fillId="16" borderId="0" xfId="0" applyFont="1" applyFill="1"/>
    <xf numFmtId="0" fontId="21" fillId="16" borderId="0" xfId="0" applyFont="1" applyFill="1"/>
    <xf numFmtId="0" fontId="21" fillId="16" borderId="0" xfId="6" applyFont="1" applyFill="1"/>
    <xf numFmtId="0" fontId="20" fillId="16" borderId="0" xfId="6" applyFont="1" applyFill="1" applyAlignment="1">
      <alignment horizontal="left" indent="1"/>
    </xf>
    <xf numFmtId="0" fontId="4" fillId="30" borderId="0" xfId="0" applyFont="1" applyFill="1"/>
    <xf numFmtId="0" fontId="10" fillId="30" borderId="0" xfId="6" applyFont="1" applyFill="1"/>
    <xf numFmtId="9" fontId="22" fillId="30" borderId="0" xfId="3" applyFont="1" applyFill="1"/>
    <xf numFmtId="0" fontId="11" fillId="30" borderId="0" xfId="6" applyFont="1" applyFill="1" applyAlignment="1">
      <alignment horizontal="left" indent="1"/>
    </xf>
    <xf numFmtId="168" fontId="26" fillId="30" borderId="0" xfId="0" applyNumberFormat="1" applyFont="1" applyFill="1"/>
    <xf numFmtId="3" fontId="4" fillId="30" borderId="0" xfId="0" applyNumberFormat="1" applyFont="1" applyFill="1"/>
    <xf numFmtId="172" fontId="4" fillId="30" borderId="0" xfId="0" applyNumberFormat="1" applyFont="1" applyFill="1"/>
    <xf numFmtId="171" fontId="4" fillId="30" borderId="0" xfId="0" applyNumberFormat="1" applyFont="1" applyFill="1"/>
    <xf numFmtId="0" fontId="10" fillId="30" borderId="3" xfId="6" applyFont="1" applyFill="1" applyBorder="1" applyAlignment="1">
      <alignment horizontal="left" indent="1"/>
    </xf>
    <xf numFmtId="0" fontId="4" fillId="30" borderId="3" xfId="0" applyFont="1" applyFill="1" applyBorder="1"/>
    <xf numFmtId="171" fontId="14" fillId="30" borderId="3" xfId="1" applyNumberFormat="1" applyFont="1" applyFill="1" applyBorder="1"/>
    <xf numFmtId="168" fontId="4" fillId="30" borderId="0" xfId="0" applyNumberFormat="1" applyFont="1" applyFill="1"/>
    <xf numFmtId="9" fontId="4" fillId="30" borderId="0" xfId="3" applyFont="1" applyFill="1"/>
    <xf numFmtId="0" fontId="10" fillId="30" borderId="0" xfId="6" applyFont="1" applyFill="1" applyAlignment="1">
      <alignment horizontal="left" indent="1"/>
    </xf>
    <xf numFmtId="7" fontId="4" fillId="30" borderId="0" xfId="0" applyNumberFormat="1" applyFont="1" applyFill="1"/>
    <xf numFmtId="37" fontId="4" fillId="30" borderId="0" xfId="0" applyNumberFormat="1" applyFont="1" applyFill="1"/>
    <xf numFmtId="37" fontId="4" fillId="30" borderId="11" xfId="3" applyNumberFormat="1" applyFont="1" applyFill="1" applyBorder="1"/>
    <xf numFmtId="37" fontId="4" fillId="30" borderId="0" xfId="3" applyNumberFormat="1" applyFont="1" applyFill="1"/>
    <xf numFmtId="10" fontId="26" fillId="30" borderId="0" xfId="3" applyNumberFormat="1" applyFont="1" applyFill="1"/>
    <xf numFmtId="37" fontId="4" fillId="30" borderId="0" xfId="3" applyNumberFormat="1" applyFont="1" applyFill="1" applyBorder="1"/>
    <xf numFmtId="0" fontId="10" fillId="30" borderId="3" xfId="6" applyFont="1" applyFill="1" applyBorder="1"/>
    <xf numFmtId="37" fontId="14" fillId="30" borderId="3" xfId="0" applyNumberFormat="1" applyFont="1" applyFill="1" applyBorder="1"/>
    <xf numFmtId="0" fontId="14" fillId="30" borderId="0" xfId="0" applyFont="1" applyFill="1"/>
    <xf numFmtId="37" fontId="14" fillId="30" borderId="11" xfId="0" applyNumberFormat="1" applyFont="1" applyFill="1" applyBorder="1"/>
    <xf numFmtId="0" fontId="3" fillId="30" borderId="23" xfId="0" applyFont="1" applyFill="1" applyBorder="1"/>
    <xf numFmtId="37" fontId="3" fillId="30" borderId="23" xfId="1" applyNumberFormat="1" applyFont="1" applyFill="1" applyBorder="1"/>
    <xf numFmtId="0" fontId="10" fillId="11" borderId="3" xfId="6" applyFont="1" applyFill="1" applyBorder="1" applyAlignment="1">
      <alignment horizontal="left" indent="1"/>
    </xf>
    <xf numFmtId="0" fontId="14" fillId="11" borderId="3" xfId="0" applyFont="1" applyFill="1" applyBorder="1" applyAlignment="1">
      <alignment horizontal="center"/>
    </xf>
    <xf numFmtId="37" fontId="31" fillId="11" borderId="3" xfId="0" applyNumberFormat="1" applyFont="1" applyFill="1" applyBorder="1" applyAlignment="1">
      <alignment horizontal="center"/>
    </xf>
    <xf numFmtId="168" fontId="14" fillId="11" borderId="3" xfId="0" applyNumberFormat="1" applyFont="1" applyFill="1" applyBorder="1"/>
    <xf numFmtId="0" fontId="77" fillId="0" borderId="10" xfId="0" applyFont="1" applyBorder="1" applyAlignment="1">
      <alignment horizontal="left"/>
    </xf>
    <xf numFmtId="0" fontId="23" fillId="0" borderId="11" xfId="0" applyFont="1" applyBorder="1"/>
    <xf numFmtId="170" fontId="77" fillId="0" borderId="11" xfId="3" applyNumberFormat="1" applyFont="1" applyBorder="1"/>
    <xf numFmtId="0" fontId="0" fillId="11" borderId="0" xfId="0" applyFill="1" applyAlignment="1">
      <alignment horizontal="left" indent="2"/>
    </xf>
    <xf numFmtId="165" fontId="0" fillId="11" borderId="0" xfId="1" applyNumberFormat="1" applyFont="1" applyFill="1"/>
    <xf numFmtId="0" fontId="0" fillId="11" borderId="0" xfId="0" applyFill="1"/>
    <xf numFmtId="0" fontId="3" fillId="11" borderId="0" xfId="0" applyFont="1" applyFill="1" applyAlignment="1">
      <alignment horizontal="left" indent="2"/>
    </xf>
    <xf numFmtId="170" fontId="3" fillId="11" borderId="0" xfId="3" applyNumberFormat="1" applyFont="1" applyFill="1"/>
    <xf numFmtId="170" fontId="3" fillId="11" borderId="50" xfId="3" applyNumberFormat="1" applyFont="1" applyFill="1" applyBorder="1"/>
    <xf numFmtId="170" fontId="3" fillId="11" borderId="0" xfId="3" applyNumberFormat="1" applyFont="1" applyFill="1" applyBorder="1"/>
    <xf numFmtId="170" fontId="3" fillId="11" borderId="46" xfId="3" applyNumberFormat="1" applyFont="1" applyFill="1" applyBorder="1"/>
    <xf numFmtId="0" fontId="3" fillId="11" borderId="0" xfId="0" applyFont="1" applyFill="1"/>
    <xf numFmtId="172" fontId="0" fillId="11" borderId="0" xfId="0" applyNumberFormat="1" applyFill="1"/>
    <xf numFmtId="172" fontId="0" fillId="11" borderId="50" xfId="0" applyNumberFormat="1" applyFill="1" applyBorder="1"/>
    <xf numFmtId="172" fontId="0" fillId="11" borderId="46" xfId="0" applyNumberFormat="1" applyFill="1" applyBorder="1"/>
    <xf numFmtId="0" fontId="0" fillId="0" borderId="0" xfId="0" applyAlignment="1">
      <alignment horizontal="left" indent="3"/>
    </xf>
    <xf numFmtId="5" fontId="11" fillId="6" borderId="11" xfId="3" applyNumberFormat="1" applyFont="1" applyFill="1" applyBorder="1"/>
    <xf numFmtId="170" fontId="14" fillId="6" borderId="0" xfId="3" applyNumberFormat="1" applyFont="1" applyFill="1"/>
    <xf numFmtId="10" fontId="25" fillId="0" borderId="0" xfId="0" applyNumberFormat="1" applyFont="1" applyAlignment="1">
      <alignment horizontal="center" vertical="center"/>
    </xf>
    <xf numFmtId="0" fontId="13" fillId="0" borderId="0" xfId="0" applyFont="1" applyAlignment="1">
      <alignment horizontal="left" vertical="top" indent="1"/>
    </xf>
    <xf numFmtId="0" fontId="4" fillId="0" borderId="0" xfId="0" applyFont="1" applyAlignment="1">
      <alignment horizontal="center" vertical="center"/>
    </xf>
    <xf numFmtId="10" fontId="11" fillId="0" borderId="0" xfId="0" applyNumberFormat="1" applyFont="1"/>
    <xf numFmtId="170" fontId="63" fillId="11" borderId="11" xfId="3" applyNumberFormat="1" applyFont="1" applyFill="1" applyBorder="1"/>
    <xf numFmtId="165" fontId="63" fillId="11" borderId="0" xfId="1" applyNumberFormat="1" applyFont="1" applyFill="1" applyBorder="1"/>
    <xf numFmtId="172" fontId="63" fillId="11" borderId="8" xfId="0" applyNumberFormat="1" applyFont="1" applyFill="1" applyBorder="1"/>
    <xf numFmtId="165" fontId="3" fillId="11" borderId="11" xfId="1" applyNumberFormat="1" applyFont="1" applyFill="1" applyBorder="1"/>
    <xf numFmtId="0" fontId="0" fillId="11" borderId="0" xfId="0" applyFill="1" applyAlignment="1">
      <alignment vertical="center"/>
    </xf>
    <xf numFmtId="37" fontId="78" fillId="0" borderId="0" xfId="0" applyNumberFormat="1" applyFont="1"/>
    <xf numFmtId="0" fontId="61" fillId="27" borderId="0" xfId="0" applyFont="1" applyFill="1" applyAlignment="1">
      <alignment horizontal="centerContinuous" vertical="center"/>
    </xf>
    <xf numFmtId="0" fontId="0" fillId="0" borderId="10" xfId="0" applyBorder="1"/>
    <xf numFmtId="170" fontId="0" fillId="0" borderId="11" xfId="3" applyNumberFormat="1" applyFont="1" applyBorder="1" applyAlignment="1">
      <alignment horizontal="center"/>
    </xf>
    <xf numFmtId="170" fontId="0" fillId="0" borderId="12" xfId="3" applyNumberFormat="1" applyFont="1" applyBorder="1" applyAlignment="1">
      <alignment horizontal="center"/>
    </xf>
    <xf numFmtId="172" fontId="0" fillId="0" borderId="8" xfId="0" applyNumberFormat="1" applyBorder="1" applyAlignment="1">
      <alignment horizontal="center"/>
    </xf>
    <xf numFmtId="172" fontId="0" fillId="0" borderId="9" xfId="0" applyNumberFormat="1" applyBorder="1" applyAlignment="1">
      <alignment horizontal="center"/>
    </xf>
    <xf numFmtId="37" fontId="0" fillId="0" borderId="0" xfId="1" applyNumberFormat="1" applyFont="1" applyFill="1" applyBorder="1" applyAlignment="1">
      <alignment horizontal="center"/>
    </xf>
    <xf numFmtId="37" fontId="3" fillId="8" borderId="23" xfId="1" applyNumberFormat="1" applyFont="1" applyFill="1" applyBorder="1" applyAlignment="1">
      <alignment horizontal="center"/>
    </xf>
    <xf numFmtId="37" fontId="0" fillId="0" borderId="0" xfId="1" applyNumberFormat="1" applyFont="1" applyBorder="1" applyAlignment="1">
      <alignment horizontal="center"/>
    </xf>
    <xf numFmtId="37" fontId="3" fillId="0" borderId="0" xfId="1" applyNumberFormat="1" applyFont="1" applyFill="1" applyBorder="1" applyAlignment="1">
      <alignment horizontal="center"/>
    </xf>
    <xf numFmtId="37" fontId="3" fillId="0" borderId="11" xfId="1" applyNumberFormat="1" applyFont="1" applyFill="1" applyBorder="1" applyAlignment="1">
      <alignment horizontal="center"/>
    </xf>
    <xf numFmtId="37" fontId="3" fillId="0" borderId="0" xfId="1" applyNumberFormat="1" applyFont="1" applyBorder="1" applyAlignment="1">
      <alignment horizontal="center"/>
    </xf>
    <xf numFmtId="37" fontId="3" fillId="0" borderId="11" xfId="1" applyNumberFormat="1" applyFont="1" applyBorder="1" applyAlignment="1">
      <alignment horizontal="center"/>
    </xf>
    <xf numFmtId="170" fontId="0" fillId="0" borderId="0" xfId="3" applyNumberFormat="1" applyFont="1" applyBorder="1" applyAlignment="1">
      <alignment horizontal="center"/>
    </xf>
    <xf numFmtId="5" fontId="3" fillId="8" borderId="23" xfId="1" applyNumberFormat="1" applyFont="1" applyFill="1" applyBorder="1" applyAlignment="1">
      <alignment horizontal="center"/>
    </xf>
    <xf numFmtId="37" fontId="0" fillId="0" borderId="0" xfId="0" applyNumberFormat="1" applyAlignment="1">
      <alignment horizontal="center"/>
    </xf>
    <xf numFmtId="0" fontId="3" fillId="31" borderId="2" xfId="0" applyFont="1" applyFill="1" applyBorder="1"/>
    <xf numFmtId="170" fontId="3" fillId="31" borderId="3" xfId="3" applyNumberFormat="1" applyFont="1" applyFill="1" applyBorder="1" applyAlignment="1">
      <alignment horizontal="center"/>
    </xf>
    <xf numFmtId="170" fontId="3" fillId="31" borderId="4" xfId="3" applyNumberFormat="1" applyFont="1" applyFill="1" applyBorder="1" applyAlignment="1">
      <alignment horizontal="center"/>
    </xf>
    <xf numFmtId="5" fontId="14" fillId="0" borderId="11" xfId="3" applyNumberFormat="1" applyFont="1" applyBorder="1"/>
    <xf numFmtId="5" fontId="23" fillId="6" borderId="11" xfId="0" applyNumberFormat="1" applyFont="1" applyFill="1" applyBorder="1"/>
    <xf numFmtId="172" fontId="0" fillId="0" borderId="50" xfId="0" applyNumberFormat="1" applyBorder="1"/>
    <xf numFmtId="172" fontId="0" fillId="0" borderId="46" xfId="0" applyNumberFormat="1" applyBorder="1"/>
    <xf numFmtId="37" fontId="79" fillId="0" borderId="0" xfId="12" applyFont="1"/>
    <xf numFmtId="37" fontId="80" fillId="0" borderId="0" xfId="12" applyFont="1"/>
    <xf numFmtId="38" fontId="80" fillId="0" borderId="0" xfId="12" applyNumberFormat="1" applyFont="1"/>
    <xf numFmtId="37" fontId="81" fillId="0" borderId="0" xfId="12" applyFont="1"/>
    <xf numFmtId="0" fontId="80" fillId="0" borderId="0" xfId="0" applyFont="1"/>
    <xf numFmtId="37" fontId="80" fillId="0" borderId="0" xfId="12" applyFont="1" applyAlignment="1">
      <alignment horizontal="left" indent="1"/>
    </xf>
    <xf numFmtId="5" fontId="80" fillId="0" borderId="0" xfId="12" applyNumberFormat="1" applyFont="1"/>
    <xf numFmtId="37" fontId="82" fillId="0" borderId="0" xfId="12" applyFont="1" applyAlignment="1">
      <alignment horizontal="left" indent="1"/>
    </xf>
    <xf numFmtId="37" fontId="82" fillId="0" borderId="0" xfId="12" applyFont="1"/>
    <xf numFmtId="38" fontId="82" fillId="0" borderId="0" xfId="12" applyNumberFormat="1" applyFont="1"/>
    <xf numFmtId="37" fontId="82" fillId="0" borderId="11" xfId="12" applyFont="1" applyBorder="1"/>
    <xf numFmtId="0" fontId="82" fillId="0" borderId="0" xfId="0" applyFont="1"/>
    <xf numFmtId="5" fontId="83" fillId="24" borderId="1" xfId="12" applyNumberFormat="1" applyFont="1" applyFill="1" applyBorder="1"/>
    <xf numFmtId="0" fontId="14" fillId="24" borderId="2" xfId="0" applyFont="1" applyFill="1" applyBorder="1" applyAlignment="1">
      <alignment horizontal="left" indent="1"/>
    </xf>
    <xf numFmtId="0" fontId="14" fillId="24" borderId="3" xfId="0" applyFont="1" applyFill="1" applyBorder="1"/>
    <xf numFmtId="5" fontId="14" fillId="24" borderId="4" xfId="0" applyNumberFormat="1" applyFont="1" applyFill="1" applyBorder="1"/>
    <xf numFmtId="0" fontId="10" fillId="14" borderId="22" xfId="9" applyFont="1" applyFill="1" applyBorder="1"/>
    <xf numFmtId="0" fontId="10" fillId="14" borderId="3" xfId="9" applyFont="1" applyFill="1" applyBorder="1"/>
    <xf numFmtId="0" fontId="10" fillId="14" borderId="4" xfId="9" applyFont="1" applyFill="1" applyBorder="1"/>
    <xf numFmtId="44" fontId="11" fillId="15" borderId="0" xfId="9" applyNumberFormat="1" applyFont="1" applyFill="1"/>
    <xf numFmtId="44" fontId="11" fillId="0" borderId="0" xfId="9" applyNumberFormat="1" applyFont="1" applyAlignment="1">
      <alignment vertical="center"/>
    </xf>
    <xf numFmtId="10" fontId="11" fillId="10" borderId="0" xfId="9" applyNumberFormat="1" applyFont="1" applyFill="1" applyAlignment="1">
      <alignment vertical="center"/>
    </xf>
    <xf numFmtId="0" fontId="10" fillId="14" borderId="2" xfId="9" applyFont="1" applyFill="1" applyBorder="1"/>
    <xf numFmtId="7" fontId="10" fillId="12" borderId="1" xfId="9" applyNumberFormat="1" applyFont="1" applyFill="1" applyBorder="1" applyAlignment="1">
      <alignment horizontal="center" vertical="center"/>
    </xf>
    <xf numFmtId="7" fontId="11" fillId="0" borderId="1" xfId="9" applyNumberFormat="1" applyFont="1" applyBorder="1"/>
    <xf numFmtId="7" fontId="10" fillId="0" borderId="1" xfId="9" applyNumberFormat="1" applyFont="1" applyBorder="1"/>
    <xf numFmtId="7" fontId="11" fillId="3" borderId="1" xfId="9" applyNumberFormat="1" applyFont="1" applyFill="1" applyBorder="1"/>
    <xf numFmtId="7" fontId="10" fillId="3" borderId="2" xfId="9" applyNumberFormat="1" applyFont="1" applyFill="1" applyBorder="1"/>
    <xf numFmtId="7" fontId="10" fillId="0" borderId="2" xfId="9" applyNumberFormat="1" applyFont="1" applyBorder="1"/>
    <xf numFmtId="7" fontId="11" fillId="0" borderId="0" xfId="9" applyNumberFormat="1" applyFont="1"/>
    <xf numFmtId="7" fontId="11" fillId="6" borderId="1" xfId="9" applyNumberFormat="1" applyFont="1" applyFill="1" applyBorder="1"/>
    <xf numFmtId="7" fontId="10" fillId="14" borderId="4" xfId="9" applyNumberFormat="1" applyFont="1" applyFill="1" applyBorder="1"/>
    <xf numFmtId="7" fontId="10" fillId="14" borderId="2" xfId="9" applyNumberFormat="1" applyFont="1" applyFill="1" applyBorder="1"/>
    <xf numFmtId="7" fontId="10" fillId="3" borderId="1" xfId="9" applyNumberFormat="1" applyFont="1" applyFill="1" applyBorder="1"/>
    <xf numFmtId="5" fontId="11" fillId="15" borderId="0" xfId="9" applyNumberFormat="1" applyFont="1" applyFill="1"/>
    <xf numFmtId="5" fontId="10" fillId="15" borderId="0" xfId="9" applyNumberFormat="1" applyFont="1" applyFill="1"/>
    <xf numFmtId="5" fontId="11" fillId="0" borderId="0" xfId="9" applyNumberFormat="1" applyFont="1" applyAlignment="1">
      <alignment vertical="center"/>
    </xf>
    <xf numFmtId="5" fontId="11" fillId="3" borderId="1" xfId="9" applyNumberFormat="1" applyFont="1" applyFill="1" applyBorder="1"/>
    <xf numFmtId="5" fontId="10" fillId="0" borderId="1" xfId="16" applyNumberFormat="1" applyFont="1" applyBorder="1" applyAlignment="1">
      <alignment horizontal="center" vertical="center"/>
    </xf>
    <xf numFmtId="5" fontId="11" fillId="0" borderId="1" xfId="9" applyNumberFormat="1" applyFont="1" applyBorder="1"/>
    <xf numFmtId="5" fontId="11" fillId="6" borderId="1" xfId="9" applyNumberFormat="1" applyFont="1" applyFill="1" applyBorder="1"/>
    <xf numFmtId="5" fontId="10" fillId="14" borderId="3" xfId="3" applyNumberFormat="1" applyFont="1" applyFill="1" applyBorder="1" applyAlignment="1">
      <alignment vertical="center"/>
    </xf>
    <xf numFmtId="5" fontId="10" fillId="3" borderId="1" xfId="9" applyNumberFormat="1" applyFont="1" applyFill="1" applyBorder="1"/>
    <xf numFmtId="5" fontId="10" fillId="8" borderId="1" xfId="16" applyNumberFormat="1" applyFont="1" applyFill="1" applyBorder="1" applyAlignment="1">
      <alignment horizontal="center" vertical="center"/>
    </xf>
    <xf numFmtId="5" fontId="10" fillId="0" borderId="0" xfId="16" applyNumberFormat="1" applyFont="1" applyAlignment="1">
      <alignment horizontal="center" vertical="center"/>
    </xf>
    <xf numFmtId="7" fontId="10" fillId="3" borderId="1" xfId="16" applyNumberFormat="1" applyFont="1" applyFill="1" applyBorder="1" applyAlignment="1">
      <alignment horizontal="center" vertical="center"/>
    </xf>
    <xf numFmtId="7" fontId="10" fillId="0" borderId="1" xfId="16" applyNumberFormat="1" applyFont="1" applyBorder="1" applyAlignment="1">
      <alignment horizontal="center" vertical="center"/>
    </xf>
    <xf numFmtId="7" fontId="10" fillId="0" borderId="1" xfId="16" applyNumberFormat="1" applyFont="1" applyFill="1" applyBorder="1" applyAlignment="1">
      <alignment horizontal="center" vertical="center"/>
    </xf>
    <xf numFmtId="7" fontId="10" fillId="14" borderId="1" xfId="16" applyNumberFormat="1" applyFont="1" applyFill="1" applyBorder="1" applyAlignment="1">
      <alignment horizontal="center" vertical="center"/>
    </xf>
    <xf numFmtId="0" fontId="68" fillId="0" borderId="0" xfId="9" applyFont="1"/>
    <xf numFmtId="39" fontId="0" fillId="0" borderId="0" xfId="0" applyNumberFormat="1" applyAlignment="1">
      <alignment horizontal="right"/>
    </xf>
    <xf numFmtId="5" fontId="11" fillId="0" borderId="11" xfId="0" applyNumberFormat="1" applyFont="1" applyBorder="1"/>
    <xf numFmtId="0" fontId="14" fillId="0" borderId="0" xfId="0" applyFont="1" applyAlignment="1">
      <alignment horizontal="left" indent="2"/>
    </xf>
    <xf numFmtId="5" fontId="11" fillId="0" borderId="11" xfId="2" applyNumberFormat="1" applyFont="1" applyFill="1" applyBorder="1"/>
    <xf numFmtId="8" fontId="4" fillId="0" borderId="12" xfId="0" applyNumberFormat="1" applyFont="1" applyBorder="1"/>
    <xf numFmtId="10" fontId="4" fillId="0" borderId="5" xfId="0" applyNumberFormat="1" applyFont="1" applyBorder="1"/>
    <xf numFmtId="8" fontId="4" fillId="0" borderId="6" xfId="0" applyNumberFormat="1" applyFont="1" applyBorder="1"/>
    <xf numFmtId="10" fontId="4" fillId="0" borderId="7" xfId="0" applyNumberFormat="1" applyFont="1" applyBorder="1"/>
    <xf numFmtId="10" fontId="4" fillId="0" borderId="8" xfId="0" applyNumberFormat="1" applyFont="1" applyBorder="1"/>
    <xf numFmtId="5" fontId="11" fillId="0" borderId="3" xfId="2" applyNumberFormat="1" applyFont="1" applyFill="1" applyBorder="1"/>
    <xf numFmtId="7" fontId="4" fillId="0" borderId="4" xfId="0" applyNumberFormat="1" applyFont="1" applyBorder="1"/>
    <xf numFmtId="7" fontId="11" fillId="0" borderId="0" xfId="0" applyNumberFormat="1" applyFont="1"/>
    <xf numFmtId="7" fontId="11" fillId="6" borderId="0" xfId="1" applyNumberFormat="1" applyFont="1" applyFill="1" applyBorder="1"/>
    <xf numFmtId="7" fontId="14" fillId="6" borderId="0" xfId="0" applyNumberFormat="1" applyFont="1" applyFill="1"/>
    <xf numFmtId="7" fontId="10" fillId="6" borderId="0" xfId="1" applyNumberFormat="1" applyFont="1" applyFill="1" applyBorder="1"/>
    <xf numFmtId="7" fontId="10" fillId="6" borderId="0" xfId="1" applyNumberFormat="1" applyFont="1" applyFill="1"/>
    <xf numFmtId="7" fontId="14" fillId="6" borderId="11" xfId="1" applyNumberFormat="1" applyFont="1" applyFill="1" applyBorder="1"/>
    <xf numFmtId="7" fontId="14" fillId="6" borderId="0" xfId="1" applyNumberFormat="1" applyFont="1" applyFill="1"/>
    <xf numFmtId="7" fontId="14" fillId="6" borderId="3" xfId="1" applyNumberFormat="1" applyFont="1" applyFill="1" applyBorder="1"/>
    <xf numFmtId="7" fontId="4" fillId="6" borderId="0" xfId="1" applyNumberFormat="1" applyFont="1" applyFill="1"/>
    <xf numFmtId="7" fontId="10" fillId="6" borderId="11" xfId="1" applyNumberFormat="1" applyFont="1" applyFill="1" applyBorder="1"/>
    <xf numFmtId="7" fontId="13" fillId="6" borderId="0" xfId="3" applyNumberFormat="1" applyFont="1" applyFill="1"/>
    <xf numFmtId="7" fontId="14" fillId="6" borderId="23" xfId="1" applyNumberFormat="1" applyFont="1" applyFill="1" applyBorder="1"/>
    <xf numFmtId="7" fontId="14" fillId="0" borderId="0" xfId="1" applyNumberFormat="1" applyFont="1" applyFill="1" applyBorder="1"/>
    <xf numFmtId="7" fontId="13" fillId="0" borderId="0" xfId="3" applyNumberFormat="1" applyFont="1" applyFill="1" applyBorder="1"/>
    <xf numFmtId="7" fontId="4" fillId="0" borderId="0" xfId="1" applyNumberFormat="1" applyFont="1" applyFill="1" applyBorder="1"/>
    <xf numFmtId="0" fontId="7" fillId="6" borderId="2" xfId="0" applyFont="1" applyFill="1" applyBorder="1" applyAlignment="1">
      <alignment horizontal="center"/>
    </xf>
    <xf numFmtId="0" fontId="7" fillId="6" borderId="3" xfId="0" applyFont="1" applyFill="1" applyBorder="1" applyAlignment="1">
      <alignment horizontal="center"/>
    </xf>
    <xf numFmtId="0" fontId="7" fillId="6" borderId="4" xfId="0" applyFont="1" applyFill="1" applyBorder="1" applyAlignment="1">
      <alignment horizontal="center"/>
    </xf>
    <xf numFmtId="0" fontId="21" fillId="2" borderId="0" xfId="0" applyFont="1" applyFill="1" applyAlignment="1">
      <alignment horizontal="center"/>
    </xf>
    <xf numFmtId="38" fontId="55" fillId="0" borderId="19" xfId="12" applyNumberFormat="1" applyFont="1" applyBorder="1" applyAlignment="1">
      <alignment horizontal="center"/>
    </xf>
    <xf numFmtId="0" fontId="11" fillId="3" borderId="2" xfId="9" applyFont="1" applyFill="1" applyBorder="1" applyAlignment="1">
      <alignment horizontal="center"/>
    </xf>
    <xf numFmtId="0" fontId="11" fillId="3" borderId="3" xfId="9" applyFont="1" applyFill="1" applyBorder="1" applyAlignment="1">
      <alignment horizontal="center"/>
    </xf>
    <xf numFmtId="0" fontId="11" fillId="3" borderId="4" xfId="9" applyFont="1" applyFill="1" applyBorder="1" applyAlignment="1">
      <alignment horizontal="center"/>
    </xf>
    <xf numFmtId="0" fontId="11" fillId="0" borderId="2" xfId="9" applyFont="1" applyBorder="1" applyAlignment="1">
      <alignment horizontal="left"/>
    </xf>
    <xf numFmtId="0" fontId="11" fillId="0" borderId="3" xfId="9" applyFont="1" applyBorder="1" applyAlignment="1">
      <alignment horizontal="left"/>
    </xf>
    <xf numFmtId="0" fontId="11" fillId="0" borderId="4" xfId="9" applyFont="1" applyBorder="1" applyAlignment="1">
      <alignment horizontal="left"/>
    </xf>
    <xf numFmtId="0" fontId="10" fillId="12" borderId="1" xfId="9" applyFont="1" applyFill="1" applyBorder="1" applyAlignment="1">
      <alignment horizontal="center" vertical="center"/>
    </xf>
    <xf numFmtId="0" fontId="10" fillId="3" borderId="2" xfId="9" applyFont="1" applyFill="1" applyBorder="1" applyAlignment="1">
      <alignment horizontal="center"/>
    </xf>
    <xf numFmtId="0" fontId="10" fillId="3" borderId="4" xfId="9" applyFont="1" applyFill="1" applyBorder="1" applyAlignment="1">
      <alignment horizontal="center"/>
    </xf>
    <xf numFmtId="165" fontId="10" fillId="6" borderId="3" xfId="17" applyNumberFormat="1" applyFont="1" applyFill="1" applyBorder="1" applyAlignment="1">
      <alignment horizontal="center"/>
    </xf>
    <xf numFmtId="165" fontId="10" fillId="6" borderId="4" xfId="17" applyNumberFormat="1" applyFont="1" applyFill="1" applyBorder="1" applyAlignment="1">
      <alignment horizontal="center"/>
    </xf>
    <xf numFmtId="200" fontId="10" fillId="0" borderId="2" xfId="16" applyFont="1" applyBorder="1" applyAlignment="1">
      <alignment horizontal="center"/>
    </xf>
    <xf numFmtId="200" fontId="10" fillId="0" borderId="4" xfId="16" applyFont="1" applyBorder="1" applyAlignment="1">
      <alignment horizontal="center"/>
    </xf>
    <xf numFmtId="0" fontId="11" fillId="6" borderId="1" xfId="9" applyFont="1" applyFill="1" applyBorder="1" applyAlignment="1">
      <alignment horizontal="left"/>
    </xf>
    <xf numFmtId="0" fontId="10" fillId="13" borderId="5" xfId="9" applyFont="1" applyFill="1" applyBorder="1" applyAlignment="1">
      <alignment horizontal="center"/>
    </xf>
    <xf numFmtId="0" fontId="10" fillId="13" borderId="0" xfId="9" applyFont="1" applyFill="1" applyAlignment="1">
      <alignment horizontal="center"/>
    </xf>
    <xf numFmtId="0" fontId="11" fillId="0" borderId="2" xfId="9" applyFont="1" applyBorder="1" applyAlignment="1">
      <alignment horizontal="center"/>
    </xf>
    <xf numFmtId="0" fontId="11" fillId="0" borderId="3" xfId="9" applyFont="1" applyBorder="1" applyAlignment="1">
      <alignment horizontal="center"/>
    </xf>
    <xf numFmtId="0" fontId="11" fillId="0" borderId="4" xfId="9" applyFont="1" applyBorder="1" applyAlignment="1">
      <alignment horizontal="center"/>
    </xf>
    <xf numFmtId="0" fontId="11" fillId="3" borderId="2" xfId="9" applyFont="1" applyFill="1" applyBorder="1" applyAlignment="1">
      <alignment horizontal="left"/>
    </xf>
    <xf numFmtId="0" fontId="11" fillId="3" borderId="3" xfId="9" applyFont="1" applyFill="1" applyBorder="1" applyAlignment="1">
      <alignment horizontal="left"/>
    </xf>
    <xf numFmtId="0" fontId="11" fillId="3" borderId="4" xfId="9" applyFont="1" applyFill="1" applyBorder="1" applyAlignment="1">
      <alignment horizontal="left"/>
    </xf>
    <xf numFmtId="0" fontId="11" fillId="3" borderId="1" xfId="9" applyFont="1" applyFill="1" applyBorder="1" applyAlignment="1">
      <alignment horizontal="left"/>
    </xf>
    <xf numFmtId="202" fontId="11" fillId="0" borderId="1" xfId="1" applyNumberFormat="1" applyFont="1" applyBorder="1" applyAlignment="1">
      <alignment horizontal="left"/>
    </xf>
    <xf numFmtId="178" fontId="11" fillId="0" borderId="1" xfId="1" applyNumberFormat="1" applyFont="1" applyBorder="1" applyAlignment="1">
      <alignment horizontal="left"/>
    </xf>
    <xf numFmtId="0" fontId="11" fillId="0" borderId="1" xfId="9" applyFont="1" applyBorder="1" applyAlignment="1">
      <alignment horizontal="left"/>
    </xf>
    <xf numFmtId="224" fontId="11" fillId="0" borderId="2" xfId="9" applyNumberFormat="1" applyFont="1" applyBorder="1" applyAlignment="1">
      <alignment horizontal="left"/>
    </xf>
    <xf numFmtId="0" fontId="11" fillId="0" borderId="0" xfId="9" applyFont="1" applyAlignment="1">
      <alignment horizontal="center" vertical="center"/>
    </xf>
    <xf numFmtId="0" fontId="11" fillId="14" borderId="1" xfId="9" applyFont="1" applyFill="1" applyBorder="1" applyAlignment="1">
      <alignment horizontal="left"/>
    </xf>
    <xf numFmtId="0" fontId="10" fillId="3" borderId="1" xfId="9" applyFont="1" applyFill="1" applyBorder="1" applyAlignment="1">
      <alignment horizontal="center"/>
    </xf>
    <xf numFmtId="200" fontId="10" fillId="0" borderId="1" xfId="16" applyFont="1" applyBorder="1" applyAlignment="1">
      <alignment horizontal="center"/>
    </xf>
    <xf numFmtId="200" fontId="4" fillId="0" borderId="1" xfId="16" applyFont="1" applyBorder="1" applyAlignment="1">
      <alignment horizontal="center"/>
    </xf>
    <xf numFmtId="7" fontId="42" fillId="19" borderId="3" xfId="0" applyNumberFormat="1" applyFont="1" applyFill="1" applyBorder="1" applyAlignment="1">
      <alignment horizontal="center"/>
    </xf>
  </cellXfs>
  <cellStyles count="21">
    <cellStyle name="Comma" xfId="1" builtinId="3"/>
    <cellStyle name="Comma 2" xfId="18" xr:uid="{0C88CF66-5025-4B1D-81BC-B8B60768462D}"/>
    <cellStyle name="Comma 2 2" xfId="5" xr:uid="{138EEB15-F7D6-48F4-B902-C0713543F767}"/>
    <cellStyle name="Comma 4" xfId="11" xr:uid="{ABC229E7-2E51-4EA6-83B2-A42CAB12AFD8}"/>
    <cellStyle name="Comma 4 2" xfId="17" xr:uid="{ED95CCC5-85C9-45DD-BC8A-C7A592813132}"/>
    <cellStyle name="Comma 5" xfId="8" xr:uid="{96E58FB9-08AF-4CD0-B097-236C9D109D08}"/>
    <cellStyle name="Currency" xfId="2" builtinId="4"/>
    <cellStyle name="Currency 2" xfId="10" xr:uid="{0BD49A33-3A0C-461F-BE2E-4BD3C63130B4}"/>
    <cellStyle name="Currency 2 2" xfId="16" xr:uid="{53A19814-AE4D-4DF5-A656-BDB558795F12}"/>
    <cellStyle name="Currency 3" xfId="19" xr:uid="{8548189C-01BA-423A-A15E-29BA2D5C0344}"/>
    <cellStyle name="Currency 3 2" xfId="20" xr:uid="{A4D265AA-FC87-4204-8A07-4A6B204D36E1}"/>
    <cellStyle name="Hyperlink" xfId="15" builtinId="8"/>
    <cellStyle name="Normal" xfId="0" builtinId="0"/>
    <cellStyle name="Normal 3" xfId="9" xr:uid="{413099CF-68F7-439E-B60C-35F90D3ACC13}"/>
    <cellStyle name="Normal 4" xfId="6" xr:uid="{CD8106CF-BBE2-45BB-9652-65BB85BB2D47}"/>
    <cellStyle name="Normal 5" xfId="7" xr:uid="{439C2ABF-7BC8-42DF-A6D3-C87AC17A7964}"/>
    <cellStyle name="Normal_CC- Lev CCP V2" xfId="12" xr:uid="{72A5C429-44AC-4CB8-B83A-01A5FE3E84D4}"/>
    <cellStyle name="Percent" xfId="3" builtinId="5"/>
    <cellStyle name="Percent 2 2" xfId="4" xr:uid="{B02A486C-E88D-423A-9415-59AC7DB469CA}"/>
    <cellStyle name="Percent 3" xfId="14" xr:uid="{DA82AA30-D12E-4AEF-A10D-8F967CC39EF6}"/>
    <cellStyle name="Percent 4" xfId="13" xr:uid="{7BB65793-89D2-45CE-80D4-1A3A1E544D4D}"/>
  </cellStyles>
  <dxfs count="2">
    <dxf>
      <font>
        <b/>
        <i val="0"/>
        <color rgb="FF00B050"/>
      </font>
    </dxf>
    <dxf>
      <font>
        <b/>
        <i val="0"/>
        <color rgb="FFFF0000"/>
      </font>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711200</xdr:colOff>
      <xdr:row>0</xdr:row>
      <xdr:rowOff>70275</xdr:rowOff>
    </xdr:from>
    <xdr:to>
      <xdr:col>5</xdr:col>
      <xdr:colOff>402167</xdr:colOff>
      <xdr:row>4</xdr:row>
      <xdr:rowOff>65062</xdr:rowOff>
    </xdr:to>
    <xdr:pic>
      <xdr:nvPicPr>
        <xdr:cNvPr id="2" name="Picture 1">
          <a:extLst>
            <a:ext uri="{FF2B5EF4-FFF2-40B4-BE49-F238E27FC236}">
              <a16:creationId xmlns:a16="http://schemas.microsoft.com/office/drawing/2014/main" id="{14604651-E8EA-4687-9DF4-1131906F96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59125" y="70275"/>
          <a:ext cx="1291167" cy="7567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2</xdr:col>
      <xdr:colOff>5823</xdr:colOff>
      <xdr:row>7</xdr:row>
      <xdr:rowOff>16932</xdr:rowOff>
    </xdr:to>
    <xdr:pic>
      <xdr:nvPicPr>
        <xdr:cNvPr id="2" name="Picture 1">
          <a:extLst>
            <a:ext uri="{FF2B5EF4-FFF2-40B4-BE49-F238E27FC236}">
              <a16:creationId xmlns:a16="http://schemas.microsoft.com/office/drawing/2014/main" id="{4043496E-C447-4ECB-A468-745FFC4C8B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1476375"/>
          <a:ext cx="2901423" cy="6074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74085</xdr:colOff>
      <xdr:row>3</xdr:row>
      <xdr:rowOff>67734</xdr:rowOff>
    </xdr:from>
    <xdr:to>
      <xdr:col>1</xdr:col>
      <xdr:colOff>2868086</xdr:colOff>
      <xdr:row>6</xdr:row>
      <xdr:rowOff>104776</xdr:rowOff>
    </xdr:to>
    <xdr:pic>
      <xdr:nvPicPr>
        <xdr:cNvPr id="2" name="Picture 1">
          <a:extLst>
            <a:ext uri="{FF2B5EF4-FFF2-40B4-BE49-F238E27FC236}">
              <a16:creationId xmlns:a16="http://schemas.microsoft.com/office/drawing/2014/main" id="{B31D343D-1593-4EF6-B544-D797ED8352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85" y="67734"/>
          <a:ext cx="2898776" cy="62759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787399</xdr:colOff>
      <xdr:row>1</xdr:row>
      <xdr:rowOff>67733</xdr:rowOff>
    </xdr:from>
    <xdr:to>
      <xdr:col>4</xdr:col>
      <xdr:colOff>33866</xdr:colOff>
      <xdr:row>5</xdr:row>
      <xdr:rowOff>130485</xdr:rowOff>
    </xdr:to>
    <xdr:pic>
      <xdr:nvPicPr>
        <xdr:cNvPr id="3" name="Picture 2">
          <a:extLst>
            <a:ext uri="{FF2B5EF4-FFF2-40B4-BE49-F238E27FC236}">
              <a16:creationId xmlns:a16="http://schemas.microsoft.com/office/drawing/2014/main" id="{AD5AD15C-6628-4C1C-90E8-00607D5D07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87749" y="248708"/>
          <a:ext cx="1322917" cy="8247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spe\Downloads\Hampden%20Street%20SS%20Model%20-%20Development%20Model%20-%203.21.25.xlsx" TargetMode="External"/><Relationship Id="rId1" Type="http://schemas.openxmlformats.org/officeDocument/2006/relationships/externalLinkPath" Target="/Users/Olga%20Y/AppData/Local/Microsoft/Windows/INetCache/Content.Outlook/W295S6PT/Hampden%20Street%20SS%20Model%20-%20Development%20Model%20-%203.21.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umptions &amp; Inputs"/>
      <sheetName val="SF Breakdown"/>
      <sheetName val="Sources &amp; Uses"/>
      <sheetName val="Untrended Pro Forma"/>
      <sheetName val="Partner Returns"/>
      <sheetName val="Monthly PF Cash Flow"/>
      <sheetName val="Pro Forma (Annual)"/>
      <sheetName val="Budget to Convert Existing Bldg"/>
      <sheetName val="Budget for New Bldg"/>
      <sheetName val="RE Tax UW"/>
      <sheetName val="ESS 5 Yr Budget (Monthly)"/>
      <sheetName val="ESS 5 Yr Budget (Annual)"/>
      <sheetName val="Public Storage 5yr (Monthly)"/>
      <sheetName val="Construction Budget - OLD"/>
      <sheetName val="Const. Budget Retail - OLD"/>
      <sheetName val="Comps"/>
    </sheetNames>
    <sheetDataSet>
      <sheetData sheetId="0">
        <row r="28">
          <cell r="J28">
            <v>0.15</v>
          </cell>
        </row>
      </sheetData>
      <sheetData sheetId="1">
        <row r="12">
          <cell r="B12">
            <v>73280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google.com/maps/search/?api=1&amp;query=42.330968254299734,-71.06260120868683" TargetMode="External"/><Relationship Id="rId2" Type="http://schemas.openxmlformats.org/officeDocument/2006/relationships/hyperlink" Target="https://www.google.com/maps/search/?api=1&amp;query=42.33248711377982,-71.0699987411499" TargetMode="External"/><Relationship Id="rId1" Type="http://schemas.openxmlformats.org/officeDocument/2006/relationships/hyperlink" Target="https://www.google.com/maps/search/?api=1&amp;query=42.3289774221023,-71.06849133968353" TargetMode="External"/><Relationship Id="rId6" Type="http://schemas.openxmlformats.org/officeDocument/2006/relationships/hyperlink" Target="https://www.google.com/maps/search/?api=1&amp;query=42.30555066900072,-71.10994756221771" TargetMode="External"/><Relationship Id="rId5" Type="http://schemas.openxmlformats.org/officeDocument/2006/relationships/hyperlink" Target="https://www.google.com/maps/search/?api=1&amp;query=42.29454033619413,-71.12087488174438" TargetMode="External"/><Relationship Id="rId4" Type="http://schemas.openxmlformats.org/officeDocument/2006/relationships/hyperlink" Target="https://www.google.com/maps/search/?api=1&amp;query=42.31330634209269,-71.10126256942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FAB2-76E9-4E35-A923-056B2A85A8C2}">
  <sheetPr>
    <tabColor theme="3" tint="0.249977111117893"/>
  </sheetPr>
  <dimension ref="B2:W59"/>
  <sheetViews>
    <sheetView showGridLines="0" tabSelected="1" view="pageBreakPreview" zoomScale="60" zoomScaleNormal="90" workbookViewId="0">
      <selection activeCell="E6" sqref="E6"/>
    </sheetView>
  </sheetViews>
  <sheetFormatPr defaultColWidth="8.7265625" defaultRowHeight="13"/>
  <cols>
    <col min="1" max="1" width="8.7265625" style="13"/>
    <col min="2" max="2" width="17" style="13" customWidth="1"/>
    <col min="3" max="3" width="9.81640625" style="13" customWidth="1"/>
    <col min="4" max="4" width="9.7265625" style="13" bestFit="1" customWidth="1"/>
    <col min="5" max="5" width="20.26953125" style="13" customWidth="1"/>
    <col min="6" max="6" width="8.7265625" style="13"/>
    <col min="7" max="7" width="21" style="13" customWidth="1"/>
    <col min="8" max="8" width="4.7265625" style="13" customWidth="1"/>
    <col min="9" max="9" width="9.7265625" style="13" customWidth="1"/>
    <col min="10" max="10" width="11.36328125" style="13" bestFit="1" customWidth="1"/>
    <col min="11" max="11" width="8.7265625" style="13"/>
    <col min="12" max="12" width="13.26953125" style="13" customWidth="1"/>
    <col min="13" max="13" width="12.7265625" style="13" customWidth="1"/>
    <col min="14" max="14" width="13.36328125" style="13" bestFit="1" customWidth="1"/>
    <col min="15" max="15" width="12.26953125" style="13" customWidth="1"/>
    <col min="16" max="16" width="8.7265625" style="13"/>
    <col min="17" max="17" width="13.26953125" style="13" customWidth="1"/>
    <col min="18" max="19" width="12.26953125" style="13" customWidth="1"/>
    <col min="20" max="20" width="12.81640625" style="13" bestFit="1" customWidth="1"/>
    <col min="21" max="21" width="10.36328125" style="13" bestFit="1" customWidth="1"/>
    <col min="22" max="22" width="11.36328125" style="13" bestFit="1" customWidth="1"/>
    <col min="23" max="23" width="8.7265625" style="13"/>
    <col min="24" max="24" width="12.26953125" style="13" customWidth="1"/>
    <col min="25" max="16384" width="8.7265625" style="13"/>
  </cols>
  <sheetData>
    <row r="2" spans="2:22">
      <c r="M2" s="42"/>
      <c r="N2" s="136"/>
    </row>
    <row r="3" spans="2:22">
      <c r="V3" s="301"/>
    </row>
    <row r="4" spans="2:22">
      <c r="B4" s="44" t="s">
        <v>6</v>
      </c>
      <c r="C4" s="45"/>
      <c r="D4" s="45"/>
      <c r="E4" s="46"/>
      <c r="G4" s="294" t="s">
        <v>143</v>
      </c>
      <c r="H4" s="295"/>
      <c r="I4" s="295"/>
      <c r="J4" s="296"/>
      <c r="L4" s="232" t="s">
        <v>304</v>
      </c>
      <c r="M4" s="95"/>
      <c r="N4" s="821">
        <f ca="1">'Sources &amp; Uses'!D51</f>
        <v>21626965.701469414</v>
      </c>
      <c r="O4" s="233"/>
      <c r="Q4" s="44" t="s">
        <v>100</v>
      </c>
      <c r="R4" s="45"/>
      <c r="S4" s="45"/>
      <c r="T4" s="46"/>
    </row>
    <row r="5" spans="2:22">
      <c r="B5" s="43" t="s">
        <v>7</v>
      </c>
      <c r="E5" s="90" t="s">
        <v>96</v>
      </c>
      <c r="G5" s="669" t="s">
        <v>367</v>
      </c>
      <c r="H5" s="36"/>
      <c r="I5" s="36"/>
      <c r="J5" s="670" t="s">
        <v>368</v>
      </c>
      <c r="L5" s="800" t="s">
        <v>51</v>
      </c>
      <c r="M5" s="83"/>
      <c r="N5" s="820">
        <f ca="1">'Monthly PF Cash Flow'!C183</f>
        <v>3.6485757935695475</v>
      </c>
      <c r="O5" s="234"/>
      <c r="Q5" s="68" t="s">
        <v>101</v>
      </c>
      <c r="R5" s="36"/>
      <c r="S5" s="36"/>
      <c r="T5" s="98">
        <v>0.06</v>
      </c>
    </row>
    <row r="6" spans="2:22">
      <c r="B6" s="43" t="s">
        <v>8</v>
      </c>
      <c r="E6" s="90"/>
      <c r="G6" s="671" t="s">
        <v>146</v>
      </c>
      <c r="J6" s="86"/>
      <c r="Q6" s="43" t="s">
        <v>385</v>
      </c>
      <c r="T6" s="88">
        <v>0.02</v>
      </c>
    </row>
    <row r="7" spans="2:22">
      <c r="B7" s="43" t="s">
        <v>95</v>
      </c>
      <c r="E7" s="90"/>
      <c r="G7" s="672" t="s">
        <v>147</v>
      </c>
      <c r="J7" s="86">
        <v>6000</v>
      </c>
      <c r="L7" s="44" t="s">
        <v>107</v>
      </c>
      <c r="M7" s="45"/>
      <c r="N7" s="45"/>
      <c r="O7" s="46"/>
      <c r="Q7" s="43" t="s">
        <v>102</v>
      </c>
      <c r="T7" s="62">
        <v>48</v>
      </c>
    </row>
    <row r="8" spans="2:22">
      <c r="B8" s="43" t="s">
        <v>0</v>
      </c>
      <c r="E8" s="51">
        <v>45839</v>
      </c>
      <c r="G8" s="672" t="s">
        <v>148</v>
      </c>
      <c r="J8" s="86">
        <v>3000</v>
      </c>
      <c r="L8" s="103" t="s">
        <v>108</v>
      </c>
      <c r="M8" s="36"/>
      <c r="N8" s="504">
        <f ca="1">N9/'Sources &amp; Uses'!D51</f>
        <v>0.67970700110747528</v>
      </c>
      <c r="O8" s="376" t="s">
        <v>363</v>
      </c>
      <c r="Q8" s="43" t="s">
        <v>103</v>
      </c>
      <c r="T8" s="54">
        <f>EDATE(E8,T7)</f>
        <v>47300</v>
      </c>
    </row>
    <row r="9" spans="2:22">
      <c r="B9" s="43" t="s">
        <v>537</v>
      </c>
      <c r="E9" s="61">
        <f ca="1">'SF Breakdown'!E12</f>
        <v>105607</v>
      </c>
      <c r="G9" s="672" t="s">
        <v>149</v>
      </c>
      <c r="J9" s="86">
        <v>5000</v>
      </c>
      <c r="L9" s="810" t="s">
        <v>109</v>
      </c>
      <c r="N9" s="503">
        <v>14700000</v>
      </c>
      <c r="O9" s="298">
        <f>N9/$E$11</f>
        <v>16838.487972508592</v>
      </c>
      <c r="Q9" s="99" t="s">
        <v>394</v>
      </c>
      <c r="R9" s="100"/>
      <c r="S9" s="100"/>
      <c r="T9" s="291">
        <f>'Untrended Pro Forma'!D93</f>
        <v>35868128.850837424</v>
      </c>
      <c r="U9" s="39" t="s">
        <v>363</v>
      </c>
      <c r="V9" s="39" t="s">
        <v>395</v>
      </c>
    </row>
    <row r="10" spans="2:22">
      <c r="B10" s="43" t="s">
        <v>538</v>
      </c>
      <c r="E10" s="61">
        <f>SUM(E21,E26:E29)</f>
        <v>79196.100000000006</v>
      </c>
      <c r="G10" s="672" t="s">
        <v>150</v>
      </c>
      <c r="J10" s="86">
        <v>5000</v>
      </c>
      <c r="L10" s="101" t="s">
        <v>582</v>
      </c>
      <c r="N10" s="91">
        <v>0.08</v>
      </c>
      <c r="O10" s="298"/>
      <c r="Q10" s="65" t="s">
        <v>104</v>
      </c>
      <c r="T10" s="289">
        <f ca="1">-'Sources &amp; Uses'!D51</f>
        <v>-21626965.701469414</v>
      </c>
      <c r="U10" s="145">
        <f>T9/E11</f>
        <v>41086.058248381931</v>
      </c>
      <c r="V10" s="97">
        <f>T9/E10</f>
        <v>452.90271681102251</v>
      </c>
    </row>
    <row r="11" spans="2:22">
      <c r="B11" s="43" t="s">
        <v>342</v>
      </c>
      <c r="E11" s="223">
        <f>E35+E41</f>
        <v>873</v>
      </c>
      <c r="G11" s="672" t="s">
        <v>140</v>
      </c>
      <c r="I11" s="673">
        <v>0.03</v>
      </c>
      <c r="J11" s="674">
        <f>N9*I11</f>
        <v>441000</v>
      </c>
      <c r="L11" s="102" t="s">
        <v>110</v>
      </c>
      <c r="N11" s="377">
        <v>6</v>
      </c>
      <c r="O11" s="298"/>
      <c r="Q11" s="99" t="s">
        <v>105</v>
      </c>
      <c r="R11" s="100"/>
      <c r="S11" s="100"/>
      <c r="T11" s="290">
        <f ca="1">T9+T10</f>
        <v>14241163.14936801</v>
      </c>
    </row>
    <row r="12" spans="2:22">
      <c r="B12" s="43" t="s">
        <v>97</v>
      </c>
      <c r="E12" s="88">
        <v>0.03</v>
      </c>
      <c r="G12" s="672" t="s">
        <v>151</v>
      </c>
      <c r="J12" s="86">
        <v>10000</v>
      </c>
      <c r="L12" s="80" t="s">
        <v>699</v>
      </c>
      <c r="M12" s="56"/>
      <c r="N12" s="809">
        <f ca="1">N9/(N4-'Sources &amp; Uses'!D13)</f>
        <v>0.70244297284664736</v>
      </c>
      <c r="O12" s="85"/>
      <c r="Q12" s="80" t="s">
        <v>106</v>
      </c>
      <c r="R12" s="56"/>
      <c r="S12" s="56"/>
      <c r="T12" s="299">
        <f ca="1">T11/-T10</f>
        <v>0.65849104058089913</v>
      </c>
    </row>
    <row r="13" spans="2:22">
      <c r="B13" s="43" t="s">
        <v>93</v>
      </c>
      <c r="D13" s="355"/>
      <c r="E13" s="88">
        <v>0</v>
      </c>
      <c r="G13" s="672" t="s">
        <v>366</v>
      </c>
      <c r="I13" s="673">
        <v>0</v>
      </c>
      <c r="J13" s="674">
        <f>I13*N9</f>
        <v>0</v>
      </c>
    </row>
    <row r="14" spans="2:22">
      <c r="B14" s="55" t="s">
        <v>94</v>
      </c>
      <c r="C14" s="56"/>
      <c r="D14" s="56"/>
      <c r="E14" s="89">
        <v>0.05</v>
      </c>
      <c r="G14" s="675" t="s">
        <v>153</v>
      </c>
      <c r="J14" s="86"/>
      <c r="L14" s="44" t="s">
        <v>343</v>
      </c>
      <c r="M14" s="45"/>
      <c r="N14" s="45" t="s">
        <v>344</v>
      </c>
      <c r="O14" s="46"/>
      <c r="Q14" s="669" t="s">
        <v>694</v>
      </c>
      <c r="R14" s="18"/>
      <c r="S14" s="18"/>
      <c r="T14" s="802">
        <f>'Untrended Pro Forma'!D85</f>
        <v>1988602.7730144127</v>
      </c>
    </row>
    <row r="15" spans="2:22">
      <c r="G15" s="672" t="s">
        <v>135</v>
      </c>
      <c r="J15" s="86">
        <v>100000</v>
      </c>
      <c r="L15" s="224" t="s">
        <v>345</v>
      </c>
      <c r="M15" s="369" t="s">
        <v>346</v>
      </c>
      <c r="N15" s="225">
        <v>25</v>
      </c>
      <c r="O15" s="370" t="s">
        <v>347</v>
      </c>
      <c r="Q15" s="55" t="s">
        <v>695</v>
      </c>
      <c r="R15" s="56"/>
      <c r="S15" s="56"/>
      <c r="T15" s="801">
        <f ca="1">T14/N4</f>
        <v>9.1950151512900397E-2</v>
      </c>
    </row>
    <row r="16" spans="2:22">
      <c r="B16" s="44" t="s">
        <v>1</v>
      </c>
      <c r="C16" s="45"/>
      <c r="D16" s="45"/>
      <c r="E16" s="46"/>
      <c r="G16" s="676" t="s">
        <v>136</v>
      </c>
      <c r="H16" s="56"/>
      <c r="I16" s="56"/>
      <c r="J16" s="677">
        <f>N9/1000*1.25</f>
        <v>18375</v>
      </c>
      <c r="L16" s="226" t="s">
        <v>622</v>
      </c>
      <c r="M16" s="372">
        <v>0.04</v>
      </c>
      <c r="N16" s="227">
        <f>M16+O16</f>
        <v>7.2500000000000009E-2</v>
      </c>
      <c r="O16" s="371">
        <v>3.2500000000000001E-2</v>
      </c>
    </row>
    <row r="17" spans="2:22">
      <c r="B17" s="47" t="s">
        <v>994</v>
      </c>
      <c r="C17" s="48"/>
      <c r="D17" s="48"/>
      <c r="E17" s="49"/>
      <c r="L17" s="102" t="s">
        <v>111</v>
      </c>
      <c r="N17" s="377">
        <v>0</v>
      </c>
      <c r="O17" s="298"/>
      <c r="Q17" s="235" t="s">
        <v>348</v>
      </c>
      <c r="R17" s="236"/>
      <c r="S17" s="93"/>
      <c r="T17" s="237"/>
    </row>
    <row r="18" spans="2:22">
      <c r="B18" s="43" t="s">
        <v>9</v>
      </c>
      <c r="D18" s="50">
        <f>DATEDIF($E$8,E18,"M")</f>
        <v>1</v>
      </c>
      <c r="E18" s="51">
        <v>45870</v>
      </c>
      <c r="G18" s="44" t="s">
        <v>356</v>
      </c>
      <c r="H18" s="45"/>
      <c r="I18" s="45"/>
      <c r="J18" s="46"/>
      <c r="L18" s="102" t="s">
        <v>691</v>
      </c>
      <c r="N18" s="378">
        <f>IF(N17=0,N9*(N16/360*365),PMT(N16/12,N17*12,-N9)*12)</f>
        <v>1080552.0833333335</v>
      </c>
      <c r="O18" s="298">
        <f>N18/$E$11</f>
        <v>1237.7457999236351</v>
      </c>
      <c r="Q18" s="241" t="s">
        <v>349</v>
      </c>
      <c r="R18" s="105"/>
      <c r="S18" s="105"/>
      <c r="T18" s="242">
        <f ca="1">'Monthly PF Cash Flow'!E129</f>
        <v>0.23494554162025452</v>
      </c>
    </row>
    <row r="19" spans="2:22">
      <c r="B19" s="43" t="s">
        <v>2</v>
      </c>
      <c r="D19" s="52">
        <v>8</v>
      </c>
      <c r="E19" s="53"/>
      <c r="G19" s="363" t="s">
        <v>391</v>
      </c>
      <c r="I19" s="361" t="str">
        <f>IF(J19=TRUE,"Yes","No")</f>
        <v>No</v>
      </c>
      <c r="J19" s="362" t="b">
        <v>0</v>
      </c>
      <c r="L19" s="102" t="s">
        <v>692</v>
      </c>
      <c r="N19" s="136">
        <f>N9*((1+N16)^(1/12)-1)</f>
        <v>85991.192003891454</v>
      </c>
      <c r="O19" s="298">
        <f>N19/$E$11</f>
        <v>98.500792673415177</v>
      </c>
      <c r="Q19" s="243" t="s">
        <v>350</v>
      </c>
      <c r="R19" s="105"/>
      <c r="S19" s="105"/>
      <c r="T19" s="244">
        <f ca="1">'Monthly PF Cash Flow'!E126</f>
        <v>21792520.597241271</v>
      </c>
      <c r="V19" s="136"/>
    </row>
    <row r="20" spans="2:22">
      <c r="B20" s="43" t="s">
        <v>10</v>
      </c>
      <c r="D20" s="50">
        <f>D19</f>
        <v>8</v>
      </c>
      <c r="E20" s="54">
        <f>EDATE($E$8,D20)</f>
        <v>46082</v>
      </c>
      <c r="G20" s="43" t="s">
        <v>364</v>
      </c>
      <c r="J20" s="86">
        <f ca="1">('Sources &amp; Uses'!D51*0.005)/12*(T7-(D25+1))</f>
        <v>297370.77839520446</v>
      </c>
      <c r="L20" s="101" t="s">
        <v>112</v>
      </c>
      <c r="N20" s="145">
        <f>T33/T5</f>
        <v>33853011.318913355</v>
      </c>
      <c r="O20" s="298">
        <f>N20/E11</f>
        <v>38777.790743314268</v>
      </c>
      <c r="Q20" s="245" t="s">
        <v>351</v>
      </c>
      <c r="R20" s="105"/>
      <c r="S20" s="105"/>
      <c r="T20" s="246">
        <f ca="1">'Monthly PF Cash Flow'!E130</f>
        <v>2.1072590825924271</v>
      </c>
    </row>
    <row r="21" spans="2:22">
      <c r="B21" s="55" t="s">
        <v>3</v>
      </c>
      <c r="C21" s="56"/>
      <c r="D21" s="56"/>
      <c r="E21" s="444">
        <f>'SF Breakdown'!C18</f>
        <v>54552</v>
      </c>
      <c r="G21" s="43" t="s">
        <v>137</v>
      </c>
      <c r="J21" s="86">
        <v>75000</v>
      </c>
      <c r="L21" s="104" t="s">
        <v>113</v>
      </c>
      <c r="M21" s="56"/>
      <c r="N21" s="297">
        <f>N9/N20</f>
        <v>0.43423020367429616</v>
      </c>
      <c r="O21" s="85"/>
      <c r="Q21" s="235" t="s">
        <v>352</v>
      </c>
      <c r="R21" s="93"/>
      <c r="S21" s="93"/>
      <c r="T21" s="94"/>
    </row>
    <row r="22" spans="2:22">
      <c r="B22" s="47" t="s">
        <v>995</v>
      </c>
      <c r="C22" s="48"/>
      <c r="D22" s="48"/>
      <c r="E22" s="49"/>
      <c r="G22" s="43" t="s">
        <v>357</v>
      </c>
      <c r="J22" s="63">
        <v>18</v>
      </c>
      <c r="L22" s="685"/>
      <c r="M22" s="686"/>
      <c r="N22" s="686"/>
      <c r="O22" s="687"/>
      <c r="Q22" s="241" t="s">
        <v>353</v>
      </c>
      <c r="R22" s="105"/>
      <c r="S22" s="105"/>
      <c r="T22" s="247">
        <f ca="1">'Monthly PF Cash Flow'!C180</f>
        <v>0.40168938040733349</v>
      </c>
    </row>
    <row r="23" spans="2:22">
      <c r="B23" s="43" t="s">
        <v>9</v>
      </c>
      <c r="C23" s="36"/>
      <c r="D23" s="50">
        <f>DATEDIF($E$8,E23,"M")</f>
        <v>1</v>
      </c>
      <c r="E23" s="57">
        <v>45870</v>
      </c>
      <c r="G23" s="43" t="s">
        <v>358</v>
      </c>
      <c r="J23" s="63">
        <v>15</v>
      </c>
      <c r="L23" s="44" t="s">
        <v>609</v>
      </c>
      <c r="M23" s="95"/>
      <c r="N23" s="95"/>
      <c r="O23" s="678"/>
      <c r="Q23" s="243" t="s">
        <v>354</v>
      </c>
      <c r="R23" s="105"/>
      <c r="S23" s="105"/>
      <c r="T23" s="244">
        <f ca="1">'Monthly PF Cash Flow'!C182</f>
        <v>18346593.679798037</v>
      </c>
    </row>
    <row r="24" spans="2:22">
      <c r="B24" s="43" t="s">
        <v>2</v>
      </c>
      <c r="D24" s="52">
        <v>13</v>
      </c>
      <c r="E24" s="53"/>
      <c r="G24" s="43"/>
      <c r="J24" s="88"/>
      <c r="L24" s="668" t="s">
        <v>573</v>
      </c>
      <c r="M24" s="36"/>
      <c r="N24" s="36"/>
      <c r="O24" s="679">
        <f>N9</f>
        <v>14700000</v>
      </c>
      <c r="Q24" s="248" t="s">
        <v>51</v>
      </c>
      <c r="R24" s="249"/>
      <c r="S24" s="249"/>
      <c r="T24" s="250">
        <f ca="1">'Monthly PF Cash Flow'!C183</f>
        <v>3.6485757935695475</v>
      </c>
      <c r="U24" s="136"/>
      <c r="V24" s="136"/>
    </row>
    <row r="25" spans="2:22">
      <c r="B25" s="43" t="s">
        <v>10</v>
      </c>
      <c r="D25" s="50">
        <f>D23+D24</f>
        <v>14</v>
      </c>
      <c r="E25" s="54">
        <f>EDATE($E$8,D25)</f>
        <v>46266</v>
      </c>
      <c r="G25" s="43" t="s">
        <v>359</v>
      </c>
      <c r="J25" s="63">
        <v>24</v>
      </c>
      <c r="L25" s="65" t="s">
        <v>606</v>
      </c>
      <c r="O25" s="680">
        <f>'Untrended Pro Forma'!D107</f>
        <v>6.25E-2</v>
      </c>
    </row>
    <row r="26" spans="2:22">
      <c r="B26" s="43" t="s">
        <v>544</v>
      </c>
      <c r="D26" s="50"/>
      <c r="E26" s="443">
        <f>'SF Breakdown'!D20</f>
        <v>501</v>
      </c>
      <c r="G26" s="55"/>
      <c r="H26" s="56"/>
      <c r="I26" s="56"/>
      <c r="J26" s="356"/>
      <c r="L26" s="65" t="s">
        <v>111</v>
      </c>
      <c r="O26" s="53">
        <f>'Untrended Pro Forma'!D108</f>
        <v>30</v>
      </c>
      <c r="Q26" s="345" t="s">
        <v>355</v>
      </c>
      <c r="R26" s="346"/>
      <c r="S26" s="346"/>
      <c r="T26" s="347"/>
    </row>
    <row r="27" spans="2:22">
      <c r="B27" s="43" t="s">
        <v>3</v>
      </c>
      <c r="E27" s="443">
        <f>'SF Breakdown'!D18</f>
        <v>17134</v>
      </c>
      <c r="L27" s="65" t="s">
        <v>574</v>
      </c>
      <c r="O27" s="681">
        <f>PMT(O25/12,O26*12,-O24)*12</f>
        <v>1086125.1415521547</v>
      </c>
      <c r="Q27" s="238">
        <v>1</v>
      </c>
      <c r="R27" s="36"/>
      <c r="S27" s="36"/>
      <c r="T27" s="348">
        <f ca="1">_xlfn.XLOOKUP(Q27,'Pro Forma (Annual)'!$E$3:$I$3,'Pro Forma (Annual)'!$E$40:$I$40)/$N$4</f>
        <v>-7.6516253573917139E-3</v>
      </c>
    </row>
    <row r="28" spans="2:22">
      <c r="B28" s="43" t="s">
        <v>4</v>
      </c>
      <c r="E28" s="443">
        <f>'SF Breakdown'!D21</f>
        <v>3481.75</v>
      </c>
      <c r="G28" s="44" t="s">
        <v>610</v>
      </c>
      <c r="H28" s="95"/>
      <c r="I28" s="95"/>
      <c r="J28" s="799">
        <f ca="1">N4-N9</f>
        <v>6926965.7014694139</v>
      </c>
      <c r="L28" s="796" t="s">
        <v>607</v>
      </c>
      <c r="M28" s="71"/>
      <c r="N28" s="71"/>
      <c r="O28" s="797">
        <f>T33/O27</f>
        <v>1.8701166204771678</v>
      </c>
      <c r="Q28" s="239">
        <f>Q27+1</f>
        <v>2</v>
      </c>
      <c r="T28" s="349">
        <f ca="1">_xlfn.XLOOKUP(Q28,'Pro Forma (Annual)'!$E$3:$I$3,'Pro Forma (Annual)'!$E$40:$I$40)/$N$4</f>
        <v>2.4458818795453294E-2</v>
      </c>
    </row>
    <row r="29" spans="2:22">
      <c r="B29" s="55" t="s">
        <v>5</v>
      </c>
      <c r="C29" s="56"/>
      <c r="D29" s="56"/>
      <c r="E29" s="444">
        <f>'SF Breakdown'!D22</f>
        <v>3527.35</v>
      </c>
      <c r="G29" s="65" t="s">
        <v>611</v>
      </c>
      <c r="J29" s="682">
        <f>T14-O27</f>
        <v>902477.63146225805</v>
      </c>
      <c r="L29" s="796" t="s">
        <v>576</v>
      </c>
      <c r="M29" s="15"/>
      <c r="N29" s="15"/>
      <c r="O29" s="798">
        <f>T33/O24</f>
        <v>0.13817555640372797</v>
      </c>
      <c r="Q29" s="239">
        <f>Q28+1</f>
        <v>3</v>
      </c>
      <c r="T29" s="349">
        <f ca="1">_xlfn.XLOOKUP(Q29,'Pro Forma (Annual)'!$E$3:$I$3,'Pro Forma (Annual)'!$E$40:$I$40)/$N$4</f>
        <v>7.4810567358064906E-2</v>
      </c>
    </row>
    <row r="30" spans="2:22">
      <c r="G30" s="65" t="s">
        <v>612</v>
      </c>
      <c r="J30" s="349">
        <f ca="1">J29/J28</f>
        <v>0.13028469756546013</v>
      </c>
      <c r="L30" s="65" t="s">
        <v>608</v>
      </c>
      <c r="O30" s="349">
        <f>O27/O24</f>
        <v>7.3886064051166989E-2</v>
      </c>
      <c r="Q30" s="239">
        <f>Q29+1</f>
        <v>4</v>
      </c>
      <c r="T30" s="349">
        <f ca="1">_xlfn.XLOOKUP(Q30,'Pro Forma (Annual)'!$E$3:$I$3,'Pro Forma (Annual)'!$E$40:$I$40)/$N$4</f>
        <v>9.1689777668928871E-2</v>
      </c>
    </row>
    <row r="31" spans="2:22" ht="13.9" customHeight="1">
      <c r="B31" s="44" t="s">
        <v>116</v>
      </c>
      <c r="C31" s="45"/>
      <c r="D31" s="45"/>
      <c r="E31" s="46"/>
      <c r="G31" s="65" t="s">
        <v>613</v>
      </c>
      <c r="J31" s="289">
        <f ca="1">T11</f>
        <v>14241163.14936801</v>
      </c>
      <c r="L31" s="80" t="s">
        <v>616</v>
      </c>
      <c r="M31" s="56"/>
      <c r="N31" s="56"/>
      <c r="O31" s="299">
        <f>O24/T9</f>
        <v>0.40983459329958316</v>
      </c>
      <c r="Q31" s="240">
        <f>Q30+1</f>
        <v>5</v>
      </c>
      <c r="R31" s="56"/>
      <c r="S31" s="56"/>
      <c r="T31" s="299">
        <f ca="1">_xlfn.XLOOKUP(Q31,'Pro Forma (Annual)'!$E$3:$I$3,'Pro Forma (Annual)'!$E$40:$I$40)/$N$4</f>
        <v>0.1006747329232618</v>
      </c>
    </row>
    <row r="32" spans="2:22">
      <c r="B32" s="58" t="s">
        <v>994</v>
      </c>
      <c r="C32" s="59"/>
      <c r="D32" s="59"/>
      <c r="E32" s="60"/>
      <c r="G32" s="80" t="s">
        <v>623</v>
      </c>
      <c r="H32" s="56"/>
      <c r="I32" s="56"/>
      <c r="J32" s="683">
        <f ca="1">(J31+J28)/J28</f>
        <v>3.0559020735943645</v>
      </c>
      <c r="Q32" s="366" t="s">
        <v>392</v>
      </c>
      <c r="R32" s="105"/>
      <c r="S32" s="105"/>
      <c r="T32" s="368">
        <v>48</v>
      </c>
    </row>
    <row r="33" spans="2:23">
      <c r="B33" s="43" t="s">
        <v>12</v>
      </c>
      <c r="E33" s="61">
        <f>E21</f>
        <v>54552</v>
      </c>
      <c r="G33" s="1157" t="s">
        <v>982</v>
      </c>
      <c r="H33" s="1158"/>
      <c r="I33" s="1158"/>
      <c r="J33" s="1159">
        <f ca="1">'Sources &amp; Uses'!D16</f>
        <v>5626965.7014694288</v>
      </c>
      <c r="Q33" s="366" t="s">
        <v>393</v>
      </c>
      <c r="R33" s="105"/>
      <c r="S33" s="105"/>
      <c r="T33" s="373" cm="1">
        <f t="array" ref="T33">_xlfn.XLOOKUP(T32,'Monthly PF Cash Flow'!$G$6:CA6,'Monthly PF Cash Flow'!$G$86:$CA$86,0)*12</f>
        <v>2031180.679134801</v>
      </c>
    </row>
    <row r="34" spans="2:23">
      <c r="B34" s="43" t="s">
        <v>13</v>
      </c>
      <c r="E34" s="62">
        <v>82</v>
      </c>
      <c r="J34" s="91"/>
      <c r="Q34" s="367" t="s">
        <v>696</v>
      </c>
      <c r="R34" s="249"/>
      <c r="S34" s="249"/>
      <c r="T34" s="374">
        <f ca="1">T33/N4</f>
        <v>9.3918893069534728E-2</v>
      </c>
    </row>
    <row r="35" spans="2:23">
      <c r="B35" s="43" t="s">
        <v>14</v>
      </c>
      <c r="E35" s="53">
        <f>ROUNDDOWN(E33/E34,-0.1)</f>
        <v>665</v>
      </c>
      <c r="G35" s="44" t="s">
        <v>19</v>
      </c>
      <c r="H35" s="45"/>
      <c r="I35" s="45"/>
      <c r="J35" s="45"/>
      <c r="K35" s="45"/>
      <c r="L35" s="45"/>
      <c r="M35" s="45"/>
      <c r="N35" s="45"/>
      <c r="O35" s="46"/>
    </row>
    <row r="36" spans="2:23">
      <c r="B36" s="43"/>
      <c r="E36" s="63"/>
      <c r="G36" s="68"/>
      <c r="H36" s="36"/>
      <c r="I36" s="36"/>
      <c r="J36" s="69">
        <v>1</v>
      </c>
      <c r="K36" s="69">
        <f>J36+1</f>
        <v>2</v>
      </c>
      <c r="L36" s="69">
        <f>K36+1</f>
        <v>3</v>
      </c>
      <c r="M36" s="69">
        <f>L36+1</f>
        <v>4</v>
      </c>
      <c r="N36" s="69">
        <f>M36+1</f>
        <v>5</v>
      </c>
      <c r="O36" s="70">
        <f>N36+1</f>
        <v>6</v>
      </c>
    </row>
    <row r="37" spans="2:23">
      <c r="B37" s="47" t="s">
        <v>995</v>
      </c>
      <c r="C37" s="48"/>
      <c r="D37" s="48"/>
      <c r="E37" s="49"/>
      <c r="G37" s="43" t="s">
        <v>20</v>
      </c>
      <c r="J37" s="364"/>
      <c r="K37" s="364"/>
      <c r="L37" s="364"/>
      <c r="M37" s="364"/>
      <c r="N37" s="364"/>
      <c r="O37" s="365"/>
    </row>
    <row r="38" spans="2:23">
      <c r="B38" s="265" t="s">
        <v>17</v>
      </c>
      <c r="C38" s="18"/>
      <c r="D38" s="18"/>
      <c r="E38" s="64"/>
      <c r="G38" s="65" t="s">
        <v>88</v>
      </c>
      <c r="J38" s="78">
        <v>0</v>
      </c>
      <c r="K38" s="78">
        <v>0</v>
      </c>
      <c r="L38" s="78">
        <v>0.03</v>
      </c>
      <c r="M38" s="78">
        <v>0.03</v>
      </c>
      <c r="N38" s="78">
        <v>0.03</v>
      </c>
      <c r="O38" s="79">
        <v>0.03</v>
      </c>
      <c r="V38" s="145"/>
    </row>
    <row r="39" spans="2:23">
      <c r="B39" s="65" t="s">
        <v>16</v>
      </c>
      <c r="E39" s="66">
        <f>E27</f>
        <v>17134</v>
      </c>
      <c r="G39" s="55"/>
      <c r="H39" s="56"/>
      <c r="I39" s="56"/>
      <c r="J39" s="81"/>
      <c r="K39" s="81"/>
      <c r="L39" s="81"/>
      <c r="M39" s="81"/>
      <c r="N39" s="81"/>
      <c r="O39" s="82"/>
    </row>
    <row r="40" spans="2:23">
      <c r="B40" s="65" t="s">
        <v>13</v>
      </c>
      <c r="E40" s="62">
        <v>82</v>
      </c>
      <c r="P40" s="67"/>
    </row>
    <row r="41" spans="2:23">
      <c r="B41" s="65" t="s">
        <v>14</v>
      </c>
      <c r="E41" s="53">
        <f>ROUNDDOWN(E39/E40,-0.1)</f>
        <v>208</v>
      </c>
      <c r="G41" s="44" t="s">
        <v>847</v>
      </c>
      <c r="H41" s="45"/>
      <c r="I41" s="45"/>
      <c r="J41" s="45"/>
      <c r="K41" s="45"/>
      <c r="Q41" s="96"/>
      <c r="R41" s="689"/>
    </row>
    <row r="42" spans="2:23">
      <c r="B42" s="55"/>
      <c r="C42" s="56"/>
      <c r="D42" s="56"/>
      <c r="E42" s="85"/>
      <c r="G42" s="68" t="s">
        <v>846</v>
      </c>
      <c r="H42" s="36"/>
      <c r="I42" s="36"/>
      <c r="J42" s="1197">
        <f ca="1">K42*'SF Breakdown'!$E$12</f>
        <v>211214</v>
      </c>
      <c r="K42" s="1198">
        <v>2</v>
      </c>
      <c r="U42" s="71"/>
      <c r="V42" s="72"/>
      <c r="W42" s="72"/>
    </row>
    <row r="43" spans="2:23">
      <c r="B43" s="300" t="s">
        <v>115</v>
      </c>
      <c r="C43" s="45"/>
      <c r="D43" s="45"/>
      <c r="E43" s="46"/>
      <c r="G43" s="1199" t="s">
        <v>845</v>
      </c>
      <c r="J43" s="154">
        <f ca="1">K43*'SF Breakdown'!$E$12</f>
        <v>158410.5</v>
      </c>
      <c r="K43" s="1200">
        <v>1.5</v>
      </c>
    </row>
    <row r="44" spans="2:23">
      <c r="B44" s="65" t="s">
        <v>84</v>
      </c>
      <c r="E44" s="443">
        <f>'SF Breakdown'!D21</f>
        <v>3481.75</v>
      </c>
      <c r="G44" s="1201" t="s">
        <v>1010</v>
      </c>
      <c r="H44" s="1202"/>
      <c r="I44" s="56"/>
      <c r="J44" s="1203">
        <f ca="1">SUM(J42:J43)</f>
        <v>369624.5</v>
      </c>
      <c r="K44" s="1204">
        <f ca="1">J44/'SF Breakdown'!E12</f>
        <v>3.5</v>
      </c>
    </row>
    <row r="45" spans="2:23">
      <c r="B45" s="65" t="s">
        <v>18</v>
      </c>
      <c r="D45" s="73">
        <v>30</v>
      </c>
      <c r="E45" s="54">
        <f>EDATE($E$8,D45)</f>
        <v>46753</v>
      </c>
    </row>
    <row r="46" spans="2:23">
      <c r="B46" s="65" t="s">
        <v>86</v>
      </c>
      <c r="E46" s="87">
        <v>25</v>
      </c>
      <c r="J46" s="72"/>
      <c r="K46" s="72"/>
      <c r="L46" s="72"/>
      <c r="M46" s="72"/>
      <c r="N46" s="72"/>
      <c r="O46" s="1111"/>
    </row>
    <row r="47" spans="2:23">
      <c r="B47" s="65" t="s">
        <v>365</v>
      </c>
      <c r="E47" s="87">
        <v>5</v>
      </c>
      <c r="J47" s="72"/>
      <c r="K47" s="72"/>
      <c r="L47" s="72"/>
      <c r="M47" s="72"/>
      <c r="N47" s="72"/>
      <c r="O47" s="1111"/>
    </row>
    <row r="48" spans="2:23">
      <c r="B48" s="75"/>
      <c r="C48" s="76"/>
      <c r="D48" s="76"/>
      <c r="E48" s="77"/>
      <c r="J48" s="72"/>
      <c r="K48" s="72"/>
      <c r="L48" s="72"/>
      <c r="M48" s="72"/>
      <c r="N48" s="72"/>
      <c r="O48" s="1111"/>
    </row>
    <row r="49" spans="2:15">
      <c r="B49" s="65" t="s">
        <v>85</v>
      </c>
      <c r="E49" s="443">
        <f>'SF Breakdown'!D22</f>
        <v>3527.35</v>
      </c>
      <c r="F49" s="74" t="str">
        <f>IF($D$45&lt;$D$25,"CHECK DATE: NOT TO EXCEED VALUE CELL D43","")</f>
        <v/>
      </c>
      <c r="J49" s="72"/>
      <c r="K49" s="72"/>
      <c r="L49" s="72"/>
      <c r="M49" s="72"/>
      <c r="N49" s="72"/>
      <c r="O49" s="1111"/>
    </row>
    <row r="50" spans="2:15">
      <c r="B50" s="65" t="s">
        <v>18</v>
      </c>
      <c r="D50" s="73">
        <v>36</v>
      </c>
      <c r="E50" s="54">
        <f>EDATE($E$8,D50)</f>
        <v>46935</v>
      </c>
      <c r="G50" s="1112"/>
      <c r="J50" s="72"/>
      <c r="K50" s="72"/>
      <c r="L50" s="72"/>
      <c r="M50" s="72"/>
      <c r="N50" s="72"/>
      <c r="O50" s="72"/>
    </row>
    <row r="51" spans="2:15">
      <c r="B51" s="65" t="s">
        <v>86</v>
      </c>
      <c r="E51" s="87">
        <v>20</v>
      </c>
      <c r="J51" s="1113"/>
      <c r="K51" s="1113"/>
      <c r="L51" s="1113"/>
      <c r="M51" s="1113"/>
      <c r="N51" s="1113"/>
      <c r="O51" s="1113"/>
    </row>
    <row r="52" spans="2:15">
      <c r="B52" s="80" t="s">
        <v>365</v>
      </c>
      <c r="C52" s="56"/>
      <c r="D52" s="56"/>
      <c r="E52" s="293">
        <v>5</v>
      </c>
      <c r="F52" s="74" t="str">
        <f>IF($D$50&lt;$D$25,"CHECK DATE: NOT TO EXCEED VALUE CELL D43","")</f>
        <v/>
      </c>
      <c r="G52" s="16"/>
      <c r="J52" s="78"/>
      <c r="K52" s="78"/>
      <c r="L52" s="78"/>
      <c r="M52" s="78"/>
      <c r="N52" s="78"/>
      <c r="O52" s="78"/>
    </row>
    <row r="54" spans="2:15">
      <c r="J54" s="78"/>
      <c r="K54" s="78"/>
      <c r="L54" s="78"/>
      <c r="M54" s="78"/>
      <c r="N54" s="78"/>
      <c r="O54" s="78"/>
    </row>
    <row r="56" spans="2:15">
      <c r="G56" s="16"/>
    </row>
    <row r="59" spans="2:15">
      <c r="F59" s="97"/>
    </row>
  </sheetData>
  <conditionalFormatting sqref="I19">
    <cfRule type="expression" dxfId="1" priority="1">
      <formula>$I$19="No"</formula>
    </cfRule>
    <cfRule type="colorScale" priority="2">
      <colorScale>
        <cfvo type="min"/>
        <cfvo type="max"/>
        <color rgb="FFFF7128"/>
        <color rgb="FFFFEF9C"/>
      </colorScale>
    </cfRule>
    <cfRule type="expression" dxfId="0" priority="3">
      <formula>$I$19="Yes"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EFF42-75B8-442B-944E-EAAAF52DFB9F}">
  <sheetPr>
    <tabColor theme="9" tint="-0.249977111117893"/>
  </sheetPr>
  <dimension ref="B1:U78"/>
  <sheetViews>
    <sheetView showGridLines="0" workbookViewId="0">
      <selection activeCell="D9" sqref="D9:D10"/>
    </sheetView>
  </sheetViews>
  <sheetFormatPr defaultRowHeight="14.5"/>
  <cols>
    <col min="1" max="1" width="7.08984375" customWidth="1"/>
    <col min="2" max="2" width="28.6328125" bestFit="1" customWidth="1"/>
    <col min="3" max="4" width="12.7265625" style="399" customWidth="1"/>
    <col min="5" max="5" width="12.7265625" style="398" customWidth="1"/>
    <col min="6" max="10" width="9.08984375" style="398"/>
    <col min="11" max="11" width="17.7265625" style="568" bestFit="1" customWidth="1"/>
    <col min="12" max="12" width="8.26953125" style="568" bestFit="1" customWidth="1"/>
    <col min="13" max="13" width="9.08984375" style="568"/>
    <col min="14" max="14" width="16.36328125" style="568" bestFit="1" customWidth="1"/>
    <col min="15" max="15" width="8.36328125" style="568" bestFit="1" customWidth="1"/>
    <col min="16" max="16" width="7.26953125" style="568" bestFit="1" customWidth="1"/>
    <col min="17" max="17" width="26.81640625" style="553" bestFit="1" customWidth="1"/>
    <col min="18" max="18" width="8.26953125" style="568" bestFit="1" customWidth="1"/>
    <col min="19" max="19" width="9.08984375" style="568"/>
    <col min="20" max="20" width="9.08984375" style="553"/>
    <col min="21" max="21" width="9.08984375" style="13"/>
  </cols>
  <sheetData>
    <row r="1" spans="2:21">
      <c r="K1" s="598" t="s">
        <v>617</v>
      </c>
    </row>
    <row r="2" spans="2:21" ht="15" thickBot="1">
      <c r="B2" s="612" t="s">
        <v>413</v>
      </c>
      <c r="C2" s="627"/>
      <c r="D2" s="627"/>
      <c r="E2" s="628"/>
      <c r="K2" s="548" t="s">
        <v>618</v>
      </c>
      <c r="L2" s="548"/>
      <c r="M2" s="548"/>
      <c r="N2" s="548"/>
      <c r="O2" s="548"/>
      <c r="P2" s="549"/>
      <c r="Q2" s="548" t="s">
        <v>505</v>
      </c>
      <c r="R2" s="548"/>
      <c r="S2" s="548"/>
      <c r="T2" s="548"/>
    </row>
    <row r="3" spans="2:21">
      <c r="B3" s="419"/>
      <c r="C3" s="422"/>
      <c r="D3" s="422"/>
      <c r="E3" s="421"/>
      <c r="K3" s="550" t="s">
        <v>506</v>
      </c>
      <c r="L3" s="551" t="s">
        <v>507</v>
      </c>
      <c r="M3" s="552"/>
      <c r="N3" s="552"/>
      <c r="O3" s="552"/>
      <c r="P3" s="549"/>
      <c r="Q3" s="550" t="s">
        <v>508</v>
      </c>
      <c r="R3" s="551" t="s">
        <v>507</v>
      </c>
      <c r="S3" s="552"/>
    </row>
    <row r="4" spans="2:21" ht="26.5">
      <c r="B4" s="109"/>
      <c r="C4" s="402" t="s">
        <v>414</v>
      </c>
      <c r="D4" s="402" t="s">
        <v>415</v>
      </c>
      <c r="E4" s="402" t="s">
        <v>424</v>
      </c>
      <c r="K4" s="549" t="s">
        <v>223</v>
      </c>
      <c r="L4" s="554">
        <v>501</v>
      </c>
      <c r="M4" s="555"/>
      <c r="N4" s="555"/>
      <c r="O4" s="555"/>
      <c r="P4" s="549"/>
      <c r="Q4" s="556" t="s">
        <v>509</v>
      </c>
      <c r="R4" s="557">
        <f>SUM(L5,L12:L15,L17,L21,L23:L25,L27,L30,L32:L34,L36,L39,L41:L43,L45,L48,L50:L52,L54,L57,L59:L61,L63)</f>
        <v>75074</v>
      </c>
      <c r="S4" s="555"/>
    </row>
    <row r="5" spans="2:21">
      <c r="B5" s="112" t="s">
        <v>420</v>
      </c>
      <c r="C5" s="403"/>
      <c r="D5" s="403"/>
      <c r="E5" s="149"/>
      <c r="K5" s="558" t="s">
        <v>396</v>
      </c>
      <c r="L5" s="559">
        <v>11490</v>
      </c>
      <c r="M5" s="555"/>
      <c r="N5" s="555"/>
      <c r="O5" s="555"/>
      <c r="P5" s="549"/>
      <c r="Q5" s="556" t="s">
        <v>510</v>
      </c>
      <c r="R5" s="557">
        <f>SUM(L4,L6:L11,L16,L20,L22,L26,L31,L35,L40,L44,L49,L53,L58,L62)</f>
        <v>33567</v>
      </c>
      <c r="S5" s="555"/>
    </row>
    <row r="6" spans="2:21">
      <c r="B6" s="334" t="s">
        <v>416</v>
      </c>
      <c r="C6" s="404">
        <f>O75</f>
        <v>73280</v>
      </c>
      <c r="D6" s="404">
        <f>O66</f>
        <v>24040</v>
      </c>
      <c r="E6" s="405">
        <f>C6+D6</f>
        <v>97320</v>
      </c>
      <c r="K6" s="560" t="s">
        <v>511</v>
      </c>
      <c r="L6" s="561">
        <v>0</v>
      </c>
      <c r="M6" s="555"/>
      <c r="N6" s="555"/>
      <c r="O6" s="555"/>
      <c r="P6" s="549"/>
      <c r="Q6" s="556"/>
      <c r="R6" s="557"/>
      <c r="S6" s="555"/>
    </row>
    <row r="7" spans="2:21">
      <c r="B7" s="418" t="s">
        <v>423</v>
      </c>
      <c r="C7" s="407">
        <f>C6/$E$6</f>
        <v>0.75297986025482944</v>
      </c>
      <c r="D7" s="407">
        <f>D6/$E$6</f>
        <v>0.24702013974517056</v>
      </c>
      <c r="E7" s="407">
        <f>E6/$E$6</f>
        <v>1</v>
      </c>
      <c r="K7" s="549" t="s">
        <v>512</v>
      </c>
      <c r="L7" s="554">
        <v>291</v>
      </c>
      <c r="M7" s="555"/>
      <c r="N7" s="555"/>
      <c r="O7" s="555"/>
      <c r="P7" s="549"/>
      <c r="Q7" s="562" t="s">
        <v>513</v>
      </c>
      <c r="R7" s="554">
        <f>R4+R5</f>
        <v>108641</v>
      </c>
      <c r="S7" s="555"/>
    </row>
    <row r="8" spans="2:21">
      <c r="B8" s="334" t="s">
        <v>417</v>
      </c>
      <c r="C8" s="408"/>
      <c r="D8" s="404">
        <f>O67</f>
        <v>501</v>
      </c>
      <c r="E8" s="405">
        <f>C8+D8</f>
        <v>501</v>
      </c>
      <c r="K8" s="563" t="s">
        <v>514</v>
      </c>
      <c r="L8" s="564">
        <v>122</v>
      </c>
      <c r="M8" s="555"/>
      <c r="N8" s="555"/>
      <c r="O8" s="555"/>
      <c r="P8" s="549"/>
      <c r="Q8" s="556"/>
      <c r="R8" s="557"/>
      <c r="S8" s="555"/>
    </row>
    <row r="9" spans="2:21">
      <c r="B9" s="334" t="s">
        <v>418</v>
      </c>
      <c r="C9" s="408"/>
      <c r="D9" s="404">
        <f>O68</f>
        <v>3665</v>
      </c>
      <c r="E9" s="405">
        <f>C9+D9</f>
        <v>3665</v>
      </c>
      <c r="K9" s="549" t="s">
        <v>515</v>
      </c>
      <c r="L9" s="554">
        <v>3665</v>
      </c>
      <c r="M9" s="555"/>
      <c r="N9" s="555"/>
      <c r="O9" s="555"/>
      <c r="P9" s="549"/>
      <c r="Q9" s="549"/>
      <c r="R9" s="554"/>
      <c r="S9" s="555"/>
    </row>
    <row r="10" spans="2:21">
      <c r="B10" s="334" t="s">
        <v>419</v>
      </c>
      <c r="C10" s="408"/>
      <c r="D10" s="404">
        <f>O69</f>
        <v>3713</v>
      </c>
      <c r="E10" s="405">
        <f>C10+D10</f>
        <v>3713</v>
      </c>
      <c r="K10" s="563" t="s">
        <v>516</v>
      </c>
      <c r="L10" s="564">
        <v>210</v>
      </c>
      <c r="M10" s="555"/>
      <c r="N10" s="555"/>
      <c r="O10" s="555"/>
      <c r="P10" s="549"/>
      <c r="Q10" s="565" t="s">
        <v>539</v>
      </c>
      <c r="R10" s="566"/>
      <c r="S10" s="555"/>
    </row>
    <row r="11" spans="2:21">
      <c r="B11" s="334" t="s">
        <v>389</v>
      </c>
      <c r="C11" s="408"/>
      <c r="D11" s="404">
        <f ca="1">O70</f>
        <v>408</v>
      </c>
      <c r="E11" s="405">
        <f ca="1">C11+D11</f>
        <v>408</v>
      </c>
      <c r="K11" s="563" t="s">
        <v>517</v>
      </c>
      <c r="L11" s="564">
        <v>323</v>
      </c>
      <c r="M11" s="555"/>
      <c r="N11" s="555"/>
      <c r="O11" s="555"/>
      <c r="P11" s="549"/>
      <c r="Q11" s="556" t="s">
        <v>518</v>
      </c>
      <c r="R11" s="557">
        <f>R4-SUM(L12,L17,L25,L27,L34,L36,L43,L45,L52,L54,L61,L63)</f>
        <v>73280</v>
      </c>
      <c r="S11" s="555"/>
    </row>
    <row r="12" spans="2:21">
      <c r="B12" s="409" t="s">
        <v>420</v>
      </c>
      <c r="C12" s="410">
        <f>SUM(C6,C8:C11)</f>
        <v>73280</v>
      </c>
      <c r="D12" s="410">
        <f ca="1">SUM(D6,D8:D11)</f>
        <v>32327</v>
      </c>
      <c r="E12" s="410">
        <f ca="1">SUM(E6,E8:E11)</f>
        <v>105607</v>
      </c>
      <c r="K12" s="563" t="s">
        <v>519</v>
      </c>
      <c r="L12" s="564">
        <v>308</v>
      </c>
      <c r="M12" s="555"/>
      <c r="N12" s="555"/>
      <c r="O12" s="555"/>
      <c r="P12" s="549"/>
      <c r="Q12" s="556" t="s">
        <v>520</v>
      </c>
      <c r="R12" s="557">
        <f>R5-SUM(L8,L10:L11,L26,L35,L44,L53,L62)</f>
        <v>32327</v>
      </c>
      <c r="S12" s="567"/>
      <c r="T12" s="568"/>
      <c r="U12" s="547"/>
    </row>
    <row r="13" spans="2:21">
      <c r="B13" s="411"/>
      <c r="C13" s="412">
        <f ca="1">C12/$E$12</f>
        <v>0.69389339721798748</v>
      </c>
      <c r="D13" s="412">
        <f ca="1">D12/$E$12</f>
        <v>0.30610660278201257</v>
      </c>
      <c r="E13" s="412">
        <f ca="1">E12/$E$12</f>
        <v>1</v>
      </c>
      <c r="K13" s="549" t="s">
        <v>521</v>
      </c>
      <c r="L13" s="554">
        <v>175</v>
      </c>
      <c r="M13" s="555"/>
      <c r="N13" s="555"/>
      <c r="O13" s="555"/>
      <c r="P13" s="549"/>
      <c r="Q13" s="549"/>
      <c r="R13" s="554"/>
      <c r="S13" s="555"/>
    </row>
    <row r="14" spans="2:21">
      <c r="B14" s="109"/>
      <c r="C14" s="403"/>
      <c r="D14" s="403"/>
      <c r="E14" s="149"/>
      <c r="K14" s="549" t="s">
        <v>522</v>
      </c>
      <c r="L14" s="554">
        <v>130</v>
      </c>
      <c r="M14" s="555"/>
      <c r="N14" s="569" t="s">
        <v>523</v>
      </c>
      <c r="O14" s="555"/>
      <c r="P14" s="549"/>
      <c r="Q14" s="570" t="s">
        <v>513</v>
      </c>
      <c r="R14" s="571">
        <f>SUM(R11:R12)</f>
        <v>105607</v>
      </c>
      <c r="S14" s="555"/>
    </row>
    <row r="15" spans="2:21">
      <c r="B15" s="109"/>
      <c r="C15" s="403"/>
      <c r="D15" s="403"/>
      <c r="E15" s="149"/>
      <c r="K15" s="549" t="s">
        <v>524</v>
      </c>
      <c r="L15" s="554">
        <v>260</v>
      </c>
      <c r="M15" s="555"/>
      <c r="N15" s="554">
        <f>SUM(L4:L17)</f>
        <v>17623</v>
      </c>
      <c r="O15" s="555"/>
      <c r="P15" s="549"/>
      <c r="Q15" s="549"/>
      <c r="R15" s="554"/>
      <c r="S15" s="555"/>
    </row>
    <row r="16" spans="2:21" ht="26.5">
      <c r="B16" s="109"/>
      <c r="C16" s="402" t="s">
        <v>414</v>
      </c>
      <c r="D16" s="402" t="s">
        <v>415</v>
      </c>
      <c r="E16" s="402" t="s">
        <v>424</v>
      </c>
      <c r="K16" s="549" t="s">
        <v>525</v>
      </c>
      <c r="L16" s="554">
        <v>117</v>
      </c>
      <c r="M16" s="555"/>
      <c r="N16" s="569" t="s">
        <v>526</v>
      </c>
      <c r="O16" s="555"/>
      <c r="P16" s="549"/>
      <c r="Q16" s="549"/>
      <c r="R16" s="554"/>
      <c r="S16" s="555"/>
    </row>
    <row r="17" spans="2:19">
      <c r="B17" s="112" t="s">
        <v>421</v>
      </c>
      <c r="C17" s="413"/>
      <c r="D17" s="413"/>
      <c r="E17" s="149"/>
      <c r="K17" s="563" t="s">
        <v>527</v>
      </c>
      <c r="L17" s="564">
        <v>31</v>
      </c>
      <c r="M17" s="555"/>
      <c r="N17" s="554">
        <f>N15-SUM(L8,L10:L12,L17)</f>
        <v>16629</v>
      </c>
      <c r="O17" s="554"/>
      <c r="P17" s="549"/>
      <c r="Q17" s="549"/>
      <c r="R17" s="554"/>
      <c r="S17" s="555"/>
    </row>
    <row r="18" spans="2:19">
      <c r="B18" s="334" t="s">
        <v>416</v>
      </c>
      <c r="C18" s="822">
        <v>54552</v>
      </c>
      <c r="D18" s="822">
        <v>17134</v>
      </c>
      <c r="E18" s="415">
        <f>SUM(C18:D18)</f>
        <v>71686</v>
      </c>
      <c r="K18" s="549"/>
      <c r="L18" s="555"/>
      <c r="M18" s="555"/>
      <c r="N18" s="555"/>
      <c r="O18" s="555"/>
      <c r="P18" s="549"/>
      <c r="Q18" s="549"/>
      <c r="R18" s="555"/>
      <c r="S18" s="555"/>
    </row>
    <row r="19" spans="2:19">
      <c r="B19" s="406" t="s">
        <v>422</v>
      </c>
      <c r="C19" s="407">
        <f>C18/C6</f>
        <v>0.7444323144104803</v>
      </c>
      <c r="D19" s="407">
        <f>D18/D6</f>
        <v>0.71272878535773709</v>
      </c>
      <c r="E19" s="407">
        <f>E18/E6</f>
        <v>0.73660090423345659</v>
      </c>
      <c r="K19" s="550" t="s">
        <v>528</v>
      </c>
      <c r="L19" s="551" t="s">
        <v>507</v>
      </c>
      <c r="M19" s="552"/>
      <c r="N19" s="552"/>
      <c r="O19" s="552"/>
      <c r="P19" s="549"/>
      <c r="Q19" s="549"/>
      <c r="R19" s="555"/>
      <c r="S19" s="555"/>
    </row>
    <row r="20" spans="2:19">
      <c r="B20" s="334" t="s">
        <v>417</v>
      </c>
      <c r="C20" s="416"/>
      <c r="D20" s="414">
        <f>Q67</f>
        <v>501</v>
      </c>
      <c r="E20" s="415">
        <f>SUM(C20:D20)</f>
        <v>501</v>
      </c>
      <c r="K20" s="549" t="s">
        <v>223</v>
      </c>
      <c r="L20" s="554">
        <v>3713</v>
      </c>
      <c r="M20" s="555"/>
      <c r="N20" s="555"/>
      <c r="O20" s="555"/>
      <c r="P20" s="549"/>
      <c r="Q20" s="549"/>
      <c r="R20" s="555"/>
      <c r="S20" s="555"/>
    </row>
    <row r="21" spans="2:19">
      <c r="B21" s="334" t="s">
        <v>418</v>
      </c>
      <c r="C21" s="414"/>
      <c r="D21" s="414">
        <f>Q68</f>
        <v>3481.75</v>
      </c>
      <c r="E21" s="415">
        <f>SUM(C21:D21)</f>
        <v>3481.75</v>
      </c>
      <c r="K21" s="558" t="s">
        <v>396</v>
      </c>
      <c r="L21" s="572">
        <v>12000</v>
      </c>
      <c r="M21" s="555"/>
      <c r="N21" s="555"/>
      <c r="O21" s="555"/>
      <c r="P21" s="549"/>
      <c r="Q21" s="549"/>
      <c r="R21" s="555"/>
      <c r="S21" s="555"/>
    </row>
    <row r="22" spans="2:19">
      <c r="B22" s="334" t="s">
        <v>419</v>
      </c>
      <c r="C22" s="414"/>
      <c r="D22" s="414">
        <f>Q69</f>
        <v>3527.35</v>
      </c>
      <c r="E22" s="415">
        <f>SUM(C22:D22)</f>
        <v>3527.35</v>
      </c>
      <c r="K22" s="560" t="s">
        <v>511</v>
      </c>
      <c r="L22" s="573">
        <v>1200</v>
      </c>
      <c r="M22" s="555"/>
      <c r="N22" s="555"/>
      <c r="O22" s="555"/>
      <c r="P22" s="549"/>
      <c r="Q22" s="549"/>
      <c r="R22" s="555"/>
      <c r="S22" s="555"/>
    </row>
    <row r="23" spans="2:19">
      <c r="B23" s="334" t="s">
        <v>389</v>
      </c>
      <c r="C23" s="414"/>
      <c r="D23" s="414">
        <f ca="1">Q70</f>
        <v>0</v>
      </c>
      <c r="E23" s="415">
        <f ca="1">SUM(C23:D23)</f>
        <v>0</v>
      </c>
      <c r="K23" s="549" t="s">
        <v>521</v>
      </c>
      <c r="L23" s="554">
        <v>175</v>
      </c>
      <c r="M23" s="555"/>
      <c r="N23" s="555"/>
      <c r="O23" s="555"/>
      <c r="P23" s="549"/>
      <c r="Q23" s="549"/>
      <c r="R23" s="555"/>
      <c r="S23" s="555"/>
    </row>
    <row r="24" spans="2:19">
      <c r="B24" s="409" t="s">
        <v>421</v>
      </c>
      <c r="C24" s="417">
        <f>SUM(C18,C20:C23)</f>
        <v>54552</v>
      </c>
      <c r="D24" s="417">
        <f ca="1">SUM(D18,D20:D23)</f>
        <v>24644.1</v>
      </c>
      <c r="E24" s="417">
        <f ca="1">SUM(E18,E20:E23)</f>
        <v>79196.100000000006</v>
      </c>
      <c r="K24" s="549" t="s">
        <v>522</v>
      </c>
      <c r="L24" s="554">
        <v>130</v>
      </c>
      <c r="M24" s="555"/>
      <c r="N24" s="569" t="s">
        <v>523</v>
      </c>
      <c r="O24" s="555"/>
      <c r="P24" s="549"/>
      <c r="Q24" s="549"/>
      <c r="R24" s="555"/>
      <c r="S24" s="555"/>
    </row>
    <row r="25" spans="2:19">
      <c r="B25" s="411" t="s">
        <v>422</v>
      </c>
      <c r="C25" s="412">
        <f>C24/C12</f>
        <v>0.7444323144104803</v>
      </c>
      <c r="D25" s="412">
        <f ca="1">D24/D12</f>
        <v>0.7623379837287716</v>
      </c>
      <c r="E25" s="412">
        <f ca="1">E24/E12</f>
        <v>0.74991335801604064</v>
      </c>
      <c r="K25" s="563" t="s">
        <v>524</v>
      </c>
      <c r="L25" s="564">
        <v>260</v>
      </c>
      <c r="M25" s="555"/>
      <c r="N25" s="554">
        <f>SUM(L20:L27)</f>
        <v>17626</v>
      </c>
      <c r="O25" s="555"/>
      <c r="P25" s="549"/>
      <c r="Q25" s="549"/>
      <c r="R25" s="555"/>
      <c r="S25" s="555"/>
    </row>
    <row r="26" spans="2:19">
      <c r="B26" s="419"/>
      <c r="C26" s="420"/>
      <c r="D26" s="420"/>
      <c r="E26" s="421"/>
      <c r="K26" s="563" t="s">
        <v>525</v>
      </c>
      <c r="L26" s="564">
        <v>117</v>
      </c>
      <c r="M26" s="555"/>
      <c r="N26" s="569" t="s">
        <v>526</v>
      </c>
      <c r="O26" s="555"/>
      <c r="P26" s="549"/>
      <c r="Q26" s="549"/>
      <c r="R26" s="555"/>
      <c r="S26" s="555"/>
    </row>
    <row r="27" spans="2:19">
      <c r="B27" s="419"/>
      <c r="C27" s="420"/>
      <c r="D27" s="420"/>
      <c r="E27" s="421"/>
      <c r="K27" s="563" t="s">
        <v>527</v>
      </c>
      <c r="L27" s="564">
        <v>31</v>
      </c>
      <c r="M27" s="555"/>
      <c r="N27" s="554">
        <f>N25-SUM(L25:L27)</f>
        <v>17218</v>
      </c>
      <c r="O27" s="554"/>
      <c r="P27" s="549"/>
      <c r="Q27" s="549"/>
      <c r="R27" s="555"/>
      <c r="S27" s="555"/>
    </row>
    <row r="28" spans="2:19">
      <c r="B28" s="423" t="s">
        <v>425</v>
      </c>
      <c r="C28" s="424">
        <f>'Assumptions &amp; Inputs'!E35</f>
        <v>665</v>
      </c>
      <c r="D28" s="424">
        <f>'Assumptions &amp; Inputs'!E41</f>
        <v>208</v>
      </c>
      <c r="E28" s="425">
        <f>SUM(C28:D28)</f>
        <v>873</v>
      </c>
      <c r="K28" s="549"/>
      <c r="L28" s="555"/>
      <c r="M28" s="555"/>
      <c r="N28" s="555"/>
      <c r="O28" s="555"/>
      <c r="P28" s="549"/>
      <c r="Q28" s="549"/>
      <c r="R28" s="555"/>
      <c r="S28" s="555"/>
    </row>
    <row r="29" spans="2:19">
      <c r="B29" s="426" t="s">
        <v>423</v>
      </c>
      <c r="C29" s="427">
        <f>C28/$E$28</f>
        <v>0.76174112256586479</v>
      </c>
      <c r="D29" s="427">
        <f>D28/$E$28</f>
        <v>0.23825887743413515</v>
      </c>
      <c r="E29" s="427">
        <f>E28/$E$28</f>
        <v>1</v>
      </c>
      <c r="K29" s="550" t="s">
        <v>529</v>
      </c>
      <c r="L29" s="551" t="s">
        <v>507</v>
      </c>
      <c r="M29" s="552"/>
      <c r="N29" s="552"/>
      <c r="O29" s="552"/>
      <c r="P29" s="549"/>
      <c r="Q29" s="549"/>
      <c r="R29" s="555"/>
      <c r="S29" s="555"/>
    </row>
    <row r="30" spans="2:19">
      <c r="K30" s="558" t="s">
        <v>396</v>
      </c>
      <c r="L30" s="572">
        <v>11925</v>
      </c>
      <c r="M30" s="555"/>
      <c r="N30" s="555"/>
      <c r="O30" s="555"/>
      <c r="P30" s="549"/>
      <c r="Q30" s="549"/>
      <c r="R30" s="555"/>
      <c r="S30" s="555"/>
    </row>
    <row r="31" spans="2:19">
      <c r="C31" s="400"/>
      <c r="D31" s="400"/>
      <c r="K31" s="560" t="s">
        <v>511</v>
      </c>
      <c r="L31" s="573">
        <v>5710</v>
      </c>
      <c r="M31" s="555"/>
      <c r="N31" s="555"/>
      <c r="O31" s="555"/>
      <c r="P31" s="549"/>
      <c r="Q31" s="549"/>
      <c r="R31" s="555"/>
      <c r="S31" s="555"/>
    </row>
    <row r="32" spans="2:19">
      <c r="B32" s="7">
        <f>'Sources &amp; Uses'!D73</f>
        <v>5100000</v>
      </c>
      <c r="C32" s="1194">
        <f>B32/C12</f>
        <v>69.596069868995627</v>
      </c>
      <c r="D32" s="400"/>
      <c r="K32" s="549" t="s">
        <v>521</v>
      </c>
      <c r="L32" s="554">
        <v>175</v>
      </c>
      <c r="M32" s="555"/>
      <c r="N32" s="555"/>
      <c r="O32" s="555"/>
      <c r="P32" s="549"/>
      <c r="Q32" s="549"/>
      <c r="R32" s="555"/>
      <c r="S32" s="555"/>
    </row>
    <row r="33" spans="2:19">
      <c r="B33" s="7">
        <f>'Sources &amp; Uses'!D74</f>
        <v>5460000</v>
      </c>
      <c r="C33" s="1194">
        <f ca="1">B33/D12</f>
        <v>168.89906270300369</v>
      </c>
      <c r="D33" s="400"/>
      <c r="K33" s="549" t="s">
        <v>522</v>
      </c>
      <c r="L33" s="554">
        <v>130</v>
      </c>
      <c r="M33" s="555"/>
      <c r="N33" s="569" t="s">
        <v>523</v>
      </c>
      <c r="O33" s="555"/>
      <c r="P33" s="549"/>
      <c r="Q33" s="549"/>
      <c r="R33" s="555"/>
      <c r="S33" s="555"/>
    </row>
    <row r="34" spans="2:19">
      <c r="C34" s="400"/>
      <c r="D34" s="400"/>
      <c r="K34" s="563" t="s">
        <v>524</v>
      </c>
      <c r="L34" s="564">
        <v>260</v>
      </c>
      <c r="M34" s="555"/>
      <c r="N34" s="554">
        <f>SUM(L30:L36)</f>
        <v>18348</v>
      </c>
      <c r="O34" s="555"/>
      <c r="P34" s="549"/>
      <c r="Q34" s="549"/>
      <c r="R34" s="555"/>
      <c r="S34" s="555"/>
    </row>
    <row r="35" spans="2:19">
      <c r="C35" s="400"/>
      <c r="D35" s="400"/>
      <c r="K35" s="563" t="s">
        <v>525</v>
      </c>
      <c r="L35" s="564">
        <v>117</v>
      </c>
      <c r="M35" s="555"/>
      <c r="N35" s="569" t="s">
        <v>526</v>
      </c>
      <c r="O35" s="555"/>
      <c r="P35" s="549"/>
      <c r="Q35" s="549"/>
      <c r="R35" s="555"/>
      <c r="S35" s="555"/>
    </row>
    <row r="36" spans="2:19">
      <c r="C36" s="400"/>
      <c r="D36" s="400"/>
      <c r="K36" s="563" t="s">
        <v>527</v>
      </c>
      <c r="L36" s="564">
        <v>31</v>
      </c>
      <c r="M36" s="555"/>
      <c r="N36" s="554">
        <f>N34-SUM(L34:L36)</f>
        <v>17940</v>
      </c>
      <c r="O36" s="554"/>
      <c r="P36" s="549"/>
      <c r="Q36" s="549"/>
      <c r="R36" s="555"/>
      <c r="S36" s="555"/>
    </row>
    <row r="37" spans="2:19">
      <c r="C37" s="400"/>
      <c r="D37" s="400"/>
      <c r="K37" s="549"/>
      <c r="L37" s="555"/>
      <c r="M37" s="555"/>
      <c r="N37" s="555"/>
      <c r="O37" s="555"/>
      <c r="P37" s="549"/>
      <c r="Q37" s="549"/>
      <c r="R37" s="555"/>
      <c r="S37" s="555"/>
    </row>
    <row r="38" spans="2:19">
      <c r="C38" s="400"/>
      <c r="D38" s="400"/>
      <c r="K38" s="550" t="s">
        <v>530</v>
      </c>
      <c r="L38" s="551" t="s">
        <v>507</v>
      </c>
      <c r="M38" s="552"/>
      <c r="N38" s="552"/>
      <c r="O38" s="552"/>
      <c r="P38" s="549"/>
      <c r="Q38" s="549"/>
      <c r="R38" s="555"/>
      <c r="S38" s="555"/>
    </row>
    <row r="39" spans="2:19">
      <c r="C39" s="400"/>
      <c r="D39" s="400"/>
      <c r="K39" s="558" t="s">
        <v>396</v>
      </c>
      <c r="L39" s="572">
        <v>11925</v>
      </c>
      <c r="M39" s="555"/>
      <c r="N39" s="555"/>
      <c r="O39" s="555"/>
      <c r="P39" s="549"/>
      <c r="Q39" s="549"/>
      <c r="R39" s="555"/>
      <c r="S39" s="555"/>
    </row>
    <row r="40" spans="2:19">
      <c r="K40" s="560" t="s">
        <v>511</v>
      </c>
      <c r="L40" s="573">
        <v>5710</v>
      </c>
      <c r="M40" s="555"/>
      <c r="N40" s="555"/>
      <c r="O40" s="555"/>
      <c r="P40" s="549"/>
      <c r="Q40" s="549"/>
      <c r="R40" s="555"/>
      <c r="S40" s="555"/>
    </row>
    <row r="41" spans="2:19">
      <c r="K41" s="549" t="s">
        <v>521</v>
      </c>
      <c r="L41" s="554">
        <v>175</v>
      </c>
      <c r="M41" s="555"/>
      <c r="N41" s="555"/>
      <c r="O41" s="555"/>
      <c r="P41" s="549"/>
      <c r="Q41" s="549"/>
      <c r="R41" s="555"/>
      <c r="S41" s="555"/>
    </row>
    <row r="42" spans="2:19">
      <c r="K42" s="549" t="s">
        <v>522</v>
      </c>
      <c r="L42" s="554">
        <v>130</v>
      </c>
      <c r="M42" s="555"/>
      <c r="N42" s="569" t="s">
        <v>523</v>
      </c>
      <c r="O42" s="555"/>
      <c r="P42" s="549"/>
      <c r="Q42" s="549"/>
      <c r="R42" s="555"/>
      <c r="S42" s="555"/>
    </row>
    <row r="43" spans="2:19">
      <c r="K43" s="563" t="s">
        <v>524</v>
      </c>
      <c r="L43" s="564">
        <v>260</v>
      </c>
      <c r="M43" s="555"/>
      <c r="N43" s="554">
        <f>SUM(L39:L45)</f>
        <v>18348</v>
      </c>
      <c r="O43" s="555"/>
      <c r="P43" s="549"/>
      <c r="Q43" s="549"/>
      <c r="R43" s="555"/>
      <c r="S43" s="555"/>
    </row>
    <row r="44" spans="2:19">
      <c r="K44" s="563" t="s">
        <v>525</v>
      </c>
      <c r="L44" s="564">
        <v>117</v>
      </c>
      <c r="M44" s="555"/>
      <c r="N44" s="569" t="s">
        <v>526</v>
      </c>
      <c r="O44" s="555"/>
      <c r="P44" s="549"/>
      <c r="Q44" s="549"/>
      <c r="R44" s="555"/>
      <c r="S44" s="555"/>
    </row>
    <row r="45" spans="2:19">
      <c r="K45" s="563" t="s">
        <v>527</v>
      </c>
      <c r="L45" s="564">
        <v>31</v>
      </c>
      <c r="M45" s="555"/>
      <c r="N45" s="554">
        <f>N43-SUM(L43:L45)</f>
        <v>17940</v>
      </c>
      <c r="O45" s="554"/>
      <c r="P45" s="549"/>
      <c r="Q45" s="549"/>
      <c r="R45" s="555"/>
      <c r="S45" s="555"/>
    </row>
    <row r="46" spans="2:19">
      <c r="K46" s="549"/>
      <c r="L46" s="555"/>
      <c r="M46" s="555"/>
      <c r="N46" s="555"/>
      <c r="O46" s="555"/>
      <c r="P46" s="549"/>
      <c r="Q46" s="549"/>
      <c r="R46" s="555"/>
      <c r="S46" s="555"/>
    </row>
    <row r="47" spans="2:19">
      <c r="K47" s="550" t="s">
        <v>531</v>
      </c>
      <c r="L47" s="551" t="s">
        <v>507</v>
      </c>
      <c r="M47" s="552"/>
      <c r="N47" s="552"/>
      <c r="O47" s="552"/>
      <c r="P47" s="549"/>
      <c r="Q47" s="549"/>
      <c r="R47" s="555"/>
      <c r="S47" s="555"/>
    </row>
    <row r="48" spans="2:19">
      <c r="K48" s="558" t="s">
        <v>396</v>
      </c>
      <c r="L48" s="572">
        <v>11925</v>
      </c>
      <c r="M48" s="555"/>
      <c r="N48" s="555"/>
      <c r="O48" s="555"/>
      <c r="P48" s="549"/>
      <c r="Q48" s="549"/>
      <c r="R48" s="555"/>
      <c r="S48" s="555"/>
    </row>
    <row r="49" spans="11:19">
      <c r="K49" s="560" t="s">
        <v>511</v>
      </c>
      <c r="L49" s="573">
        <v>5710</v>
      </c>
      <c r="M49" s="555"/>
      <c r="N49" s="555"/>
      <c r="O49" s="555"/>
      <c r="P49" s="549"/>
      <c r="Q49" s="549"/>
      <c r="R49" s="555"/>
      <c r="S49" s="555"/>
    </row>
    <row r="50" spans="11:19">
      <c r="K50" s="549" t="s">
        <v>521</v>
      </c>
      <c r="L50" s="554">
        <v>175</v>
      </c>
      <c r="M50" s="555"/>
      <c r="N50" s="555"/>
      <c r="O50" s="555"/>
      <c r="P50" s="549"/>
      <c r="Q50" s="549"/>
      <c r="R50" s="555"/>
      <c r="S50" s="555"/>
    </row>
    <row r="51" spans="11:19">
      <c r="K51" s="549" t="s">
        <v>522</v>
      </c>
      <c r="L51" s="554">
        <v>130</v>
      </c>
      <c r="M51" s="555"/>
      <c r="N51" s="569" t="s">
        <v>523</v>
      </c>
      <c r="O51" s="555"/>
      <c r="P51" s="549"/>
      <c r="Q51" s="549"/>
      <c r="R51" s="555"/>
      <c r="S51" s="555"/>
    </row>
    <row r="52" spans="11:19">
      <c r="K52" s="563" t="s">
        <v>524</v>
      </c>
      <c r="L52" s="564">
        <v>260</v>
      </c>
      <c r="M52" s="555"/>
      <c r="N52" s="554">
        <f>SUM(L48:L54)</f>
        <v>18348</v>
      </c>
      <c r="O52" s="555"/>
      <c r="P52" s="549"/>
      <c r="Q52" s="549"/>
      <c r="R52" s="555"/>
      <c r="S52" s="555"/>
    </row>
    <row r="53" spans="11:19">
      <c r="K53" s="563" t="s">
        <v>525</v>
      </c>
      <c r="L53" s="564">
        <v>117</v>
      </c>
      <c r="M53" s="555"/>
      <c r="N53" s="569" t="s">
        <v>526</v>
      </c>
      <c r="O53" s="555"/>
      <c r="P53" s="549"/>
      <c r="Q53" s="549"/>
      <c r="R53" s="555"/>
      <c r="S53" s="555"/>
    </row>
    <row r="54" spans="11:19">
      <c r="K54" s="563" t="s">
        <v>527</v>
      </c>
      <c r="L54" s="564">
        <v>31</v>
      </c>
      <c r="M54" s="555"/>
      <c r="N54" s="554">
        <f>N52-SUM(L52:L54)</f>
        <v>17940</v>
      </c>
      <c r="O54" s="554"/>
      <c r="P54" s="549"/>
      <c r="Q54" s="549"/>
      <c r="R54" s="555"/>
      <c r="S54" s="555"/>
    </row>
    <row r="55" spans="11:19">
      <c r="K55" s="549"/>
      <c r="L55" s="555"/>
      <c r="M55" s="555"/>
      <c r="N55" s="555"/>
      <c r="O55" s="555"/>
      <c r="P55" s="549"/>
      <c r="Q55" s="549"/>
      <c r="R55" s="555"/>
      <c r="S55" s="555"/>
    </row>
    <row r="56" spans="11:19">
      <c r="K56" s="550" t="s">
        <v>532</v>
      </c>
      <c r="L56" s="551" t="s">
        <v>507</v>
      </c>
      <c r="M56" s="552"/>
      <c r="N56" s="552"/>
      <c r="O56" s="552"/>
      <c r="P56" s="549"/>
      <c r="Q56" s="549"/>
      <c r="R56" s="555"/>
      <c r="S56" s="555"/>
    </row>
    <row r="57" spans="11:19">
      <c r="K57" s="558" t="s">
        <v>396</v>
      </c>
      <c r="L57" s="572">
        <v>11925</v>
      </c>
      <c r="M57" s="555"/>
      <c r="N57" s="555"/>
      <c r="O57" s="555"/>
      <c r="P57" s="549"/>
      <c r="Q57" s="549"/>
      <c r="R57" s="555"/>
      <c r="S57" s="555"/>
    </row>
    <row r="58" spans="11:19">
      <c r="K58" s="560" t="s">
        <v>511</v>
      </c>
      <c r="L58" s="573">
        <v>5710</v>
      </c>
      <c r="M58" s="555"/>
      <c r="N58" s="555"/>
      <c r="O58" s="555"/>
      <c r="P58" s="549"/>
      <c r="Q58" s="549"/>
      <c r="R58" s="555"/>
      <c r="S58" s="555"/>
    </row>
    <row r="59" spans="11:19">
      <c r="K59" s="549" t="s">
        <v>521</v>
      </c>
      <c r="L59" s="554">
        <v>175</v>
      </c>
      <c r="M59" s="555"/>
      <c r="N59" s="555"/>
      <c r="O59" s="555"/>
      <c r="P59" s="549"/>
      <c r="Q59" s="549"/>
      <c r="R59" s="555"/>
      <c r="S59" s="555"/>
    </row>
    <row r="60" spans="11:19">
      <c r="K60" s="549" t="s">
        <v>522</v>
      </c>
      <c r="L60" s="554">
        <v>130</v>
      </c>
      <c r="M60" s="555"/>
      <c r="N60" s="569" t="s">
        <v>523</v>
      </c>
      <c r="O60" s="555"/>
      <c r="P60" s="549"/>
      <c r="Q60" s="549"/>
      <c r="R60" s="555"/>
      <c r="S60" s="555"/>
    </row>
    <row r="61" spans="11:19">
      <c r="K61" s="563" t="s">
        <v>524</v>
      </c>
      <c r="L61" s="564">
        <v>260</v>
      </c>
      <c r="M61" s="555"/>
      <c r="N61" s="554">
        <f>SUM(L57:L63)</f>
        <v>18348</v>
      </c>
      <c r="O61" s="555"/>
      <c r="P61" s="549"/>
      <c r="Q61" s="1058"/>
      <c r="R61" s="555"/>
      <c r="S61" s="555"/>
    </row>
    <row r="62" spans="11:19">
      <c r="K62" s="563" t="s">
        <v>525</v>
      </c>
      <c r="L62" s="564">
        <v>117</v>
      </c>
      <c r="M62" s="555"/>
      <c r="N62" s="569" t="s">
        <v>526</v>
      </c>
      <c r="O62" s="555"/>
      <c r="P62" s="549"/>
      <c r="Q62" s="549"/>
      <c r="R62" s="555"/>
      <c r="S62" s="555"/>
    </row>
    <row r="63" spans="11:19">
      <c r="K63" s="563" t="s">
        <v>527</v>
      </c>
      <c r="L63" s="564">
        <v>31</v>
      </c>
      <c r="M63" s="555"/>
      <c r="N63" s="554">
        <f>N61-SUM(L61:L63)</f>
        <v>17940</v>
      </c>
      <c r="O63" s="554"/>
      <c r="P63" s="549"/>
      <c r="Q63" s="549"/>
      <c r="R63" s="555"/>
      <c r="S63" s="555"/>
    </row>
    <row r="64" spans="11:19" ht="15" thickBot="1">
      <c r="K64" s="549"/>
      <c r="L64" s="555"/>
      <c r="M64" s="555"/>
      <c r="N64" s="555"/>
      <c r="O64" s="555"/>
      <c r="P64" s="549"/>
      <c r="Q64" s="549"/>
      <c r="R64" s="555"/>
      <c r="S64" s="555"/>
    </row>
    <row r="65" spans="11:19">
      <c r="K65" s="574"/>
      <c r="L65" s="575"/>
      <c r="M65" s="575"/>
      <c r="N65" s="575"/>
      <c r="O65" s="576" t="s">
        <v>536</v>
      </c>
      <c r="P65" s="577"/>
      <c r="Q65" s="578" t="s">
        <v>157</v>
      </c>
      <c r="R65" s="555"/>
      <c r="S65" s="555"/>
    </row>
    <row r="66" spans="11:19">
      <c r="K66" s="579" t="s">
        <v>508</v>
      </c>
      <c r="L66" s="554">
        <f>SUM(N15,N25,N34,N43,N52,N61)</f>
        <v>108641</v>
      </c>
      <c r="M66" s="580"/>
      <c r="N66" s="580" t="s">
        <v>533</v>
      </c>
      <c r="O66" s="555">
        <f>SUM(L6,L22,L31,L40,L49,L58)</f>
        <v>24040</v>
      </c>
      <c r="P66" s="581">
        <v>0.7127287853577372</v>
      </c>
      <c r="Q66" s="582">
        <f>O66*P66</f>
        <v>17134.000000000004</v>
      </c>
      <c r="R66" s="555"/>
      <c r="S66" s="555"/>
    </row>
    <row r="67" spans="11:19">
      <c r="K67" s="583" t="s">
        <v>534</v>
      </c>
      <c r="L67" s="584">
        <f>SUM(N17,N27,N36,N45,N54,N63)</f>
        <v>105607</v>
      </c>
      <c r="M67" s="580"/>
      <c r="N67" s="555" t="s">
        <v>540</v>
      </c>
      <c r="O67" s="555">
        <f>L4</f>
        <v>501</v>
      </c>
      <c r="P67" s="581">
        <v>1</v>
      </c>
      <c r="Q67" s="582">
        <f>O67*P67</f>
        <v>501</v>
      </c>
      <c r="R67" s="555"/>
      <c r="S67" s="555"/>
    </row>
    <row r="68" spans="11:19">
      <c r="K68" s="585"/>
      <c r="M68" s="580"/>
      <c r="N68" s="555" t="s">
        <v>515</v>
      </c>
      <c r="O68" s="555">
        <f>L9</f>
        <v>3665</v>
      </c>
      <c r="P68" s="586">
        <v>0.95</v>
      </c>
      <c r="Q68" s="582">
        <f>O68*P68</f>
        <v>3481.75</v>
      </c>
      <c r="R68" s="555"/>
      <c r="S68" s="555"/>
    </row>
    <row r="69" spans="11:19">
      <c r="K69" s="579"/>
      <c r="L69" s="554"/>
      <c r="M69" s="580"/>
      <c r="N69" s="555" t="s">
        <v>223</v>
      </c>
      <c r="O69" s="555">
        <f>L20</f>
        <v>3713</v>
      </c>
      <c r="P69" s="586">
        <v>0.95</v>
      </c>
      <c r="Q69" s="582">
        <f>O69*P69</f>
        <v>3527.35</v>
      </c>
      <c r="R69" s="555"/>
      <c r="S69" s="555"/>
    </row>
    <row r="70" spans="11:19">
      <c r="K70" s="579"/>
      <c r="L70" s="554"/>
      <c r="M70" s="580"/>
      <c r="N70" s="555" t="s">
        <v>389</v>
      </c>
      <c r="O70" s="555">
        <f ca="1">D11</f>
        <v>408</v>
      </c>
      <c r="P70" s="586">
        <v>0</v>
      </c>
      <c r="Q70" s="582">
        <f ca="1">O70*P70</f>
        <v>0</v>
      </c>
      <c r="R70" s="555"/>
      <c r="S70" s="555"/>
    </row>
    <row r="71" spans="11:19">
      <c r="K71" s="579"/>
      <c r="L71" s="554"/>
      <c r="M71" s="580"/>
      <c r="N71" s="587" t="s">
        <v>541</v>
      </c>
      <c r="O71" s="587">
        <f ca="1">SUM(O66:O70)</f>
        <v>32327</v>
      </c>
      <c r="P71" s="588"/>
      <c r="Q71" s="589">
        <f ca="1">SUM(Q66:Q70)</f>
        <v>24644.100000000002</v>
      </c>
      <c r="R71" s="555"/>
      <c r="S71" s="555"/>
    </row>
    <row r="72" spans="11:19">
      <c r="K72" s="579"/>
      <c r="L72" s="554"/>
      <c r="M72" s="580"/>
      <c r="N72" s="580"/>
      <c r="O72" s="580"/>
      <c r="P72" s="590"/>
      <c r="Q72" s="591"/>
      <c r="R72" s="555"/>
      <c r="S72" s="555"/>
    </row>
    <row r="73" spans="11:19">
      <c r="K73" s="585"/>
      <c r="M73" s="580"/>
      <c r="N73" s="580" t="s">
        <v>535</v>
      </c>
      <c r="O73" s="555">
        <f>SUM(L5,L21,L30,L39,L48,L57)</f>
        <v>71190</v>
      </c>
      <c r="P73" s="581">
        <v>0.76628739991571848</v>
      </c>
      <c r="Q73" s="582">
        <f>O73*P73</f>
        <v>54552</v>
      </c>
      <c r="R73" s="555"/>
      <c r="S73" s="555"/>
    </row>
    <row r="74" spans="11:19">
      <c r="K74" s="585"/>
      <c r="M74" s="580"/>
      <c r="N74" s="555" t="s">
        <v>542</v>
      </c>
      <c r="O74" s="555">
        <f>SUM(L13:L15,L23:L24,L32:L33,L41:L42,L50:L51,L59:L60)</f>
        <v>2090</v>
      </c>
      <c r="P74" s="586">
        <v>0</v>
      </c>
      <c r="Q74" s="582">
        <f>O74*P74</f>
        <v>0</v>
      </c>
      <c r="R74" s="555"/>
      <c r="S74" s="555"/>
    </row>
    <row r="75" spans="11:19">
      <c r="K75" s="585"/>
      <c r="M75" s="580"/>
      <c r="N75" s="587" t="s">
        <v>541</v>
      </c>
      <c r="O75" s="587">
        <f>SUM(O73:O74)</f>
        <v>73280</v>
      </c>
      <c r="P75" s="588"/>
      <c r="Q75" s="589">
        <f>SUM(Q73:Q74)</f>
        <v>54552</v>
      </c>
      <c r="R75" s="555"/>
      <c r="S75" s="555"/>
    </row>
    <row r="76" spans="11:19">
      <c r="K76" s="585"/>
      <c r="M76" s="580"/>
      <c r="N76" s="555"/>
      <c r="O76" s="555"/>
      <c r="P76" s="581"/>
      <c r="Q76" s="582"/>
      <c r="R76" s="555"/>
      <c r="S76" s="555"/>
    </row>
    <row r="77" spans="11:19" ht="15" thickBot="1">
      <c r="K77" s="592"/>
      <c r="L77" s="593"/>
      <c r="M77" s="593"/>
      <c r="N77" s="594" t="s">
        <v>128</v>
      </c>
      <c r="O77" s="594">
        <f ca="1">O71+O75</f>
        <v>105607</v>
      </c>
      <c r="P77" s="595"/>
      <c r="Q77" s="596">
        <f ca="1">Q71+Q75</f>
        <v>79196.100000000006</v>
      </c>
    </row>
    <row r="78" spans="11:19">
      <c r="Q78" s="597"/>
    </row>
  </sheetData>
  <pageMargins left="0.7" right="0.7" top="0.75" bottom="0.75" header="0.3" footer="0.3"/>
  <ignoredErrors>
    <ignoredError sqref="E7 E1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8B1ED-1AC2-4B13-A65B-891C72A39F77}">
  <sheetPr>
    <tabColor theme="9" tint="-0.249977111117893"/>
  </sheetPr>
  <dimension ref="A2:AA92"/>
  <sheetViews>
    <sheetView showGridLines="0" zoomScale="80" zoomScaleNormal="80" workbookViewId="0">
      <selection activeCell="D32" sqref="D32"/>
    </sheetView>
  </sheetViews>
  <sheetFormatPr defaultColWidth="9.26953125" defaultRowHeight="13"/>
  <cols>
    <col min="1" max="1" width="4.7265625" style="13" customWidth="1"/>
    <col min="2" max="2" width="29.26953125" style="13" bestFit="1" customWidth="1"/>
    <col min="3" max="3" width="9.81640625" style="13" bestFit="1" customWidth="1"/>
    <col min="4" max="4" width="14.7265625" style="13" bestFit="1" customWidth="1"/>
    <col min="5" max="7" width="11.7265625" style="13" customWidth="1"/>
    <col min="8" max="8" width="12.36328125" style="13" bestFit="1" customWidth="1"/>
    <col min="9" max="9" width="12.36328125" style="13" customWidth="1"/>
    <col min="10" max="10" width="14.26953125" style="13" bestFit="1" customWidth="1"/>
    <col min="11" max="11" width="9.81640625" style="13" bestFit="1" customWidth="1"/>
    <col min="12" max="12" width="39" style="13" bestFit="1" customWidth="1"/>
    <col min="13" max="13" width="15.26953125" style="13" bestFit="1" customWidth="1"/>
    <col min="14" max="14" width="12.26953125" style="13" bestFit="1" customWidth="1"/>
    <col min="15" max="15" width="9.7265625" style="13" bestFit="1" customWidth="1"/>
    <col min="16" max="16" width="11.6328125" style="13" bestFit="1" customWidth="1"/>
    <col min="17" max="18" width="9.26953125" style="13"/>
    <col min="19" max="19" width="10.7265625" style="13" bestFit="1" customWidth="1"/>
    <col min="20" max="20" width="35.26953125" style="13" bestFit="1" customWidth="1"/>
    <col min="21" max="21" width="8.6328125" style="13" bestFit="1" customWidth="1"/>
    <col min="22" max="22" width="15.7265625" style="13" bestFit="1" customWidth="1"/>
    <col min="23" max="23" width="1.7265625" style="13" customWidth="1"/>
    <col min="24" max="25" width="11" style="13" customWidth="1"/>
    <col min="26" max="26" width="9.26953125" style="13"/>
    <col min="27" max="27" width="10.7265625" style="13" bestFit="1" customWidth="1"/>
    <col min="28" max="16384" width="9.26953125" style="13"/>
  </cols>
  <sheetData>
    <row r="2" spans="1:27" s="109" customFormat="1"/>
    <row r="3" spans="1:27" s="109" customFormat="1" ht="18.5">
      <c r="B3" s="1220" t="s">
        <v>117</v>
      </c>
      <c r="C3" s="1221"/>
      <c r="D3" s="1221"/>
      <c r="E3" s="1221"/>
      <c r="F3" s="1221"/>
      <c r="G3" s="1222"/>
      <c r="L3" s="1220" t="s">
        <v>118</v>
      </c>
      <c r="M3" s="1221"/>
      <c r="N3" s="1221"/>
      <c r="O3" s="1221"/>
      <c r="P3" s="1221"/>
      <c r="Q3" s="1222"/>
    </row>
    <row r="4" spans="1:27" s="109" customFormat="1"/>
    <row r="5" spans="1:27" s="109" customFormat="1"/>
    <row r="6" spans="1:27" s="109" customFormat="1">
      <c r="B6" s="44" t="s">
        <v>119</v>
      </c>
      <c r="C6" s="95"/>
      <c r="D6" s="228" t="s">
        <v>120</v>
      </c>
      <c r="E6" s="228" t="s">
        <v>121</v>
      </c>
      <c r="F6" s="229" t="s">
        <v>426</v>
      </c>
      <c r="G6" s="229" t="s">
        <v>545</v>
      </c>
      <c r="L6" s="110"/>
      <c r="O6" s="111"/>
    </row>
    <row r="7" spans="1:27" ht="16">
      <c r="A7" s="109"/>
      <c r="B7" s="112" t="s">
        <v>123</v>
      </c>
      <c r="C7" s="113" t="s">
        <v>124</v>
      </c>
      <c r="D7" s="114"/>
      <c r="E7" s="114"/>
      <c r="F7" s="114"/>
      <c r="G7" s="114"/>
      <c r="H7" s="109"/>
      <c r="I7" s="109"/>
      <c r="J7" s="131"/>
      <c r="K7" s="109"/>
      <c r="L7" s="856" t="s">
        <v>844</v>
      </c>
      <c r="M7" s="857">
        <v>2400000</v>
      </c>
      <c r="N7" s="858"/>
      <c r="O7" s="118"/>
      <c r="P7" s="109"/>
      <c r="Q7" s="109"/>
      <c r="R7" s="109"/>
      <c r="S7" s="109"/>
      <c r="T7" s="109"/>
      <c r="U7" s="109"/>
      <c r="V7" s="109"/>
      <c r="W7" s="109"/>
      <c r="X7" s="109"/>
      <c r="Y7" s="109"/>
      <c r="Z7" s="109"/>
      <c r="AA7" s="109"/>
    </row>
    <row r="8" spans="1:27">
      <c r="A8" s="109"/>
      <c r="B8" s="119" t="s">
        <v>125</v>
      </c>
      <c r="C8" s="120">
        <f ca="1">D8/D19</f>
        <v>0.67970700110747473</v>
      </c>
      <c r="D8" s="121">
        <f>'Assumptions &amp; Inputs'!N9</f>
        <v>14700000</v>
      </c>
      <c r="E8" s="121">
        <f>D8/'Assumptions &amp; Inputs'!$E$11</f>
        <v>16838.487972508592</v>
      </c>
      <c r="F8" s="122">
        <f ca="1">D8/'Assumptions &amp; Inputs'!$E$9</f>
        <v>139.19531849214542</v>
      </c>
      <c r="G8" s="122">
        <f>D8/'Assumptions &amp; Inputs'!$E$10</f>
        <v>185.61520074852169</v>
      </c>
      <c r="H8" s="109"/>
      <c r="I8" s="791"/>
      <c r="J8" s="131"/>
      <c r="K8" s="109"/>
      <c r="L8" s="115"/>
      <c r="M8" s="116"/>
      <c r="N8" s="117"/>
      <c r="O8" s="118"/>
      <c r="P8" s="109"/>
      <c r="Q8" s="109"/>
      <c r="R8" s="109"/>
      <c r="S8" s="109"/>
      <c r="T8" s="109"/>
      <c r="U8" s="109"/>
      <c r="V8" s="109"/>
      <c r="W8" s="109"/>
      <c r="X8" s="109"/>
      <c r="Y8" s="109"/>
      <c r="Z8" s="109"/>
      <c r="AA8" s="109"/>
    </row>
    <row r="9" spans="1:27" ht="12.75" customHeight="1">
      <c r="A9" s="109"/>
      <c r="B9" s="531" t="s">
        <v>127</v>
      </c>
      <c r="C9" s="532">
        <f ca="1">D9/D51</f>
        <v>0.67970700110747528</v>
      </c>
      <c r="D9" s="278">
        <f>SUM(D8:D8)</f>
        <v>14700000</v>
      </c>
      <c r="E9" s="533">
        <f>D9/'Assumptions &amp; Inputs'!$E$11</f>
        <v>16838.487972508592</v>
      </c>
      <c r="F9" s="534">
        <f ca="1">D9/'Assumptions &amp; Inputs'!$E$9</f>
        <v>139.19531849214542</v>
      </c>
      <c r="G9" s="534">
        <f>D9/'Assumptions &amp; Inputs'!$E$10</f>
        <v>185.61520074852169</v>
      </c>
      <c r="H9" s="109"/>
      <c r="I9" s="791"/>
      <c r="J9" s="131"/>
      <c r="K9" s="109"/>
      <c r="L9" s="115"/>
      <c r="M9" s="116"/>
      <c r="N9" s="117"/>
      <c r="O9" s="109"/>
      <c r="P9" s="109"/>
      <c r="Q9" s="109"/>
      <c r="R9" s="109"/>
      <c r="S9" s="109"/>
      <c r="T9" s="109"/>
      <c r="U9" s="109"/>
      <c r="V9" s="109"/>
      <c r="W9" s="109"/>
      <c r="X9" s="109"/>
      <c r="Y9" s="109"/>
      <c r="Z9" s="109"/>
      <c r="AA9" s="109"/>
    </row>
    <row r="10" spans="1:27" ht="12.75" customHeight="1">
      <c r="A10" s="109"/>
      <c r="B10" s="109"/>
      <c r="C10" s="123"/>
      <c r="D10" s="109"/>
      <c r="E10" s="121"/>
      <c r="F10" s="122"/>
      <c r="G10" s="122"/>
      <c r="H10" s="109"/>
      <c r="I10" s="695"/>
      <c r="J10" s="131"/>
      <c r="K10" s="109"/>
      <c r="L10" s="115"/>
      <c r="M10" s="116"/>
      <c r="N10" s="117"/>
      <c r="O10" s="109"/>
      <c r="P10" s="109"/>
      <c r="Q10" s="109"/>
      <c r="R10" s="109"/>
      <c r="S10" s="109"/>
      <c r="T10" s="109"/>
      <c r="U10" s="109"/>
      <c r="V10" s="109"/>
      <c r="W10" s="109"/>
      <c r="X10" s="109"/>
      <c r="Y10" s="109"/>
      <c r="Z10" s="109"/>
      <c r="AA10" s="109"/>
    </row>
    <row r="11" spans="1:27" ht="12.75" customHeight="1">
      <c r="A11" s="109"/>
      <c r="B11" s="109" t="s">
        <v>122</v>
      </c>
      <c r="H11" s="109"/>
      <c r="I11" s="109"/>
      <c r="J11" s="109"/>
      <c r="K11" s="109"/>
      <c r="L11" s="115"/>
      <c r="M11" s="116"/>
      <c r="N11" s="117"/>
      <c r="O11" s="109"/>
      <c r="P11" s="109"/>
      <c r="Q11" s="109"/>
      <c r="R11" s="109"/>
      <c r="S11" s="109"/>
      <c r="T11" s="109"/>
      <c r="U11" s="109"/>
      <c r="V11" s="109"/>
      <c r="W11" s="109"/>
      <c r="X11" s="109"/>
      <c r="Y11" s="109"/>
      <c r="Z11" s="109"/>
      <c r="AA11" s="109"/>
    </row>
    <row r="12" spans="1:27" ht="12.75" customHeight="1">
      <c r="A12" s="109"/>
      <c r="B12" s="119" t="s">
        <v>594</v>
      </c>
      <c r="C12" s="120">
        <f ca="1">D12/$D$17</f>
        <v>8.6618012252135307E-2</v>
      </c>
      <c r="D12" s="96">
        <v>600000</v>
      </c>
      <c r="E12" s="121">
        <f>D12/'Assumptions &amp; Inputs'!$E$11</f>
        <v>687.28522336769754</v>
      </c>
      <c r="F12" s="122">
        <f ca="1">D12/'Assumptions &amp; Inputs'!$E$9</f>
        <v>5.6814415711079755</v>
      </c>
      <c r="G12" s="122">
        <f>D12/'Assumptions &amp; Inputs'!$E$10</f>
        <v>7.5761306427968043</v>
      </c>
      <c r="H12" s="501"/>
      <c r="K12" s="109"/>
      <c r="L12" s="115"/>
      <c r="M12" s="116"/>
      <c r="N12" s="117"/>
      <c r="O12" s="109"/>
      <c r="P12" s="109"/>
      <c r="Q12" s="109"/>
      <c r="R12" s="109"/>
    </row>
    <row r="13" spans="1:27">
      <c r="A13" s="109"/>
      <c r="B13" s="119" t="s">
        <v>848</v>
      </c>
      <c r="C13" s="120">
        <f ca="1">D13/$D$17</f>
        <v>0.10105434762749119</v>
      </c>
      <c r="D13" s="378">
        <v>700000</v>
      </c>
      <c r="E13" s="121">
        <f>D13/'Assumptions &amp; Inputs'!$E$11</f>
        <v>801.83276059564719</v>
      </c>
      <c r="F13" s="122">
        <f ca="1">D13/'Assumptions &amp; Inputs'!$E$9</f>
        <v>6.6283484996259716</v>
      </c>
      <c r="G13" s="122">
        <f>D13/'Assumptions &amp; Inputs'!$E$10</f>
        <v>8.838819083262937</v>
      </c>
      <c r="H13" s="793"/>
      <c r="K13" s="109"/>
      <c r="L13" s="109"/>
      <c r="M13" s="109"/>
      <c r="N13" s="109"/>
      <c r="O13" s="109"/>
      <c r="P13" s="109"/>
      <c r="Q13" s="109"/>
      <c r="R13" s="109"/>
    </row>
    <row r="14" spans="1:27">
      <c r="A14" s="109"/>
      <c r="B14" s="119" t="s">
        <v>592</v>
      </c>
      <c r="C14" s="599">
        <f ca="1">D14/$D$17</f>
        <v>0.18767235987962649</v>
      </c>
      <c r="D14" s="526">
        <f>SUM(D12:D13)</f>
        <v>1300000</v>
      </c>
      <c r="E14" s="125">
        <f>D14/'Assumptions &amp; Inputs'!$E$11</f>
        <v>1489.1179839633448</v>
      </c>
      <c r="F14" s="128">
        <f ca="1">D14/'Assumptions &amp; Inputs'!$E$9</f>
        <v>12.309790070733948</v>
      </c>
      <c r="G14" s="128">
        <f>D14/'Assumptions &amp; Inputs'!$E$10</f>
        <v>16.414949726059742</v>
      </c>
      <c r="K14" s="109"/>
      <c r="L14" s="109"/>
      <c r="M14" s="109"/>
      <c r="N14" s="109"/>
      <c r="O14" s="109"/>
      <c r="P14" s="109"/>
      <c r="Q14" s="109"/>
      <c r="R14" s="109"/>
    </row>
    <row r="15" spans="1:27">
      <c r="A15" s="109"/>
      <c r="B15" s="119"/>
      <c r="C15" s="120"/>
      <c r="H15" s="794"/>
      <c r="K15" s="137"/>
      <c r="L15" s="135" t="s">
        <v>129</v>
      </c>
      <c r="M15" s="109"/>
      <c r="N15" s="109"/>
      <c r="O15" s="109"/>
      <c r="P15" s="109"/>
      <c r="Q15" s="109"/>
      <c r="R15" s="109"/>
    </row>
    <row r="16" spans="1:27">
      <c r="A16" s="109"/>
      <c r="B16" s="109" t="s">
        <v>593</v>
      </c>
      <c r="C16" s="120">
        <f ca="1">D16/$D$17</f>
        <v>0.81232764012037351</v>
      </c>
      <c r="D16" s="136">
        <f ca="1">D51-D9-D14</f>
        <v>5626965.7014694139</v>
      </c>
      <c r="E16" s="121">
        <f ca="1">D16/'Assumptions &amp; Inputs'!$E$11</f>
        <v>6445.5506316946321</v>
      </c>
      <c r="F16" s="122">
        <f ca="1">D16/'Assumptions &amp; Inputs'!$E$9</f>
        <v>53.282128092545136</v>
      </c>
      <c r="G16" s="122">
        <f ca="1">D16/'Assumptions &amp; Inputs'!$E$10</f>
        <v>71.051045461448396</v>
      </c>
      <c r="K16" s="142"/>
      <c r="L16" s="138" t="s">
        <v>36</v>
      </c>
      <c r="M16" s="139">
        <f>D26</f>
        <v>4960000</v>
      </c>
      <c r="N16" s="117">
        <f>'Monthly PF Cash Flow'!E110</f>
        <v>4960000</v>
      </c>
      <c r="O16" s="109"/>
      <c r="P16" s="135">
        <f t="shared" ref="P16:P23" si="0">ROUND(M16-N16,0.01)</f>
        <v>0</v>
      </c>
      <c r="Q16" s="138" t="str">
        <f t="shared" ref="Q16:Q30" si="1">IF(P16=0,"CHECK","ERROR")</f>
        <v>CHECK</v>
      </c>
      <c r="R16" s="109"/>
      <c r="S16" s="136"/>
    </row>
    <row r="17" spans="1:19">
      <c r="A17" s="109"/>
      <c r="B17" s="531" t="s">
        <v>126</v>
      </c>
      <c r="C17" s="532">
        <f ca="1">D17/D19</f>
        <v>0.32029299889252522</v>
      </c>
      <c r="D17" s="535">
        <f ca="1">D14+D16</f>
        <v>6926965.7014694139</v>
      </c>
      <c r="E17" s="533">
        <f ca="1">D17/'Assumptions &amp; Inputs'!E11</f>
        <v>7934.6686156579772</v>
      </c>
      <c r="F17" s="534">
        <f ca="1">D17/'Assumptions &amp; Inputs'!$E$9</f>
        <v>65.591918163279075</v>
      </c>
      <c r="G17" s="534">
        <f ca="1">D17/'Assumptions &amp; Inputs'!$E$10</f>
        <v>87.465995187508142</v>
      </c>
      <c r="K17" s="144"/>
      <c r="L17" s="13" t="s">
        <v>614</v>
      </c>
      <c r="M17" s="136">
        <f>D28</f>
        <v>728000</v>
      </c>
      <c r="N17" s="117">
        <f>'Monthly PF Cash Flow'!E111</f>
        <v>728000</v>
      </c>
      <c r="P17" s="135">
        <f t="shared" si="0"/>
        <v>0</v>
      </c>
      <c r="Q17" s="138" t="str">
        <f t="shared" si="1"/>
        <v>CHECK</v>
      </c>
      <c r="R17" s="109"/>
      <c r="S17" s="136"/>
    </row>
    <row r="18" spans="1:19">
      <c r="A18" s="109"/>
      <c r="B18" s="521"/>
      <c r="C18" s="123"/>
      <c r="D18" s="109"/>
      <c r="E18" s="121"/>
      <c r="F18" s="122"/>
      <c r="G18" s="122"/>
      <c r="H18" s="109"/>
      <c r="I18" s="109"/>
      <c r="J18" s="109"/>
      <c r="K18" s="109"/>
      <c r="L18" s="138" t="s">
        <v>37</v>
      </c>
      <c r="M18" s="139">
        <f>SUM(D40,D41)</f>
        <v>471000</v>
      </c>
      <c r="N18" s="117">
        <f>'Monthly PF Cash Flow'!E112</f>
        <v>471000</v>
      </c>
      <c r="O18" s="109"/>
      <c r="P18" s="135">
        <f t="shared" si="0"/>
        <v>0</v>
      </c>
      <c r="Q18" s="138" t="str">
        <f t="shared" si="1"/>
        <v>CHECK</v>
      </c>
      <c r="R18" s="109"/>
      <c r="S18" s="136"/>
    </row>
    <row r="19" spans="1:19">
      <c r="A19" s="109"/>
      <c r="B19" s="129" t="s">
        <v>128</v>
      </c>
      <c r="C19" s="132">
        <f ca="1">D19/D19</f>
        <v>1</v>
      </c>
      <c r="D19" s="130">
        <f ca="1">D9+D17</f>
        <v>21626965.701469414</v>
      </c>
      <c r="E19" s="130">
        <f ca="1">D19/'Assumptions &amp; Inputs'!E11</f>
        <v>24773.156588166567</v>
      </c>
      <c r="F19" s="133">
        <f ca="1">D19/'Assumptions &amp; Inputs'!$E$9</f>
        <v>204.78723665542449</v>
      </c>
      <c r="G19" s="133">
        <f ca="1">D19/'Assumptions &amp; Inputs'!$E$10</f>
        <v>273.08119593602981</v>
      </c>
      <c r="H19" s="109"/>
      <c r="I19" s="109"/>
      <c r="J19" s="109"/>
      <c r="K19" s="134"/>
      <c r="L19" s="138" t="s">
        <v>568</v>
      </c>
      <c r="M19" s="139">
        <f>D31</f>
        <v>5100000</v>
      </c>
      <c r="N19" s="117">
        <f>'Monthly PF Cash Flow'!E114</f>
        <v>5100000</v>
      </c>
      <c r="O19" s="109"/>
      <c r="P19" s="135">
        <f t="shared" si="0"/>
        <v>0</v>
      </c>
      <c r="Q19" s="138" t="str">
        <f t="shared" si="1"/>
        <v>CHECK</v>
      </c>
      <c r="R19" s="109"/>
    </row>
    <row r="20" spans="1:19">
      <c r="A20" s="109"/>
      <c r="B20" s="522"/>
      <c r="C20" s="123"/>
      <c r="D20" s="134"/>
      <c r="E20" s="109"/>
      <c r="F20" s="134"/>
      <c r="G20" s="134"/>
      <c r="H20" s="109"/>
      <c r="I20" s="109"/>
      <c r="J20" s="109"/>
      <c r="K20" s="134"/>
      <c r="L20" s="138" t="s">
        <v>569</v>
      </c>
      <c r="M20" s="139">
        <f>D32</f>
        <v>5460000</v>
      </c>
      <c r="N20" s="117">
        <f>'Monthly PF Cash Flow'!E115</f>
        <v>5460000</v>
      </c>
      <c r="O20" s="109"/>
      <c r="P20" s="135">
        <f t="shared" si="0"/>
        <v>0</v>
      </c>
      <c r="Q20" s="138" t="str">
        <f t="shared" si="1"/>
        <v>CHECK</v>
      </c>
      <c r="R20" s="109"/>
    </row>
    <row r="21" spans="1:19">
      <c r="A21" s="109"/>
      <c r="B21" s="44" t="s">
        <v>130</v>
      </c>
      <c r="C21" s="230"/>
      <c r="D21" s="95"/>
      <c r="E21" s="95"/>
      <c r="F21" s="231"/>
      <c r="G21" s="231"/>
      <c r="H21" s="109"/>
      <c r="I21" s="109"/>
      <c r="J21" s="109"/>
      <c r="K21" s="109"/>
      <c r="L21" s="13" t="s">
        <v>570</v>
      </c>
      <c r="M21" s="136">
        <f>D33+D45</f>
        <v>460000</v>
      </c>
      <c r="N21" s="136">
        <f>'Monthly PF Cash Flow'!E116</f>
        <v>460000</v>
      </c>
      <c r="P21" s="135">
        <f t="shared" si="0"/>
        <v>0</v>
      </c>
      <c r="Q21" s="138" t="str">
        <f t="shared" si="1"/>
        <v>CHECK</v>
      </c>
      <c r="R21" s="109"/>
    </row>
    <row r="22" spans="1:19">
      <c r="A22" s="109"/>
      <c r="B22" s="114" t="s">
        <v>131</v>
      </c>
      <c r="C22" s="140" t="s">
        <v>124</v>
      </c>
      <c r="D22" s="141"/>
      <c r="E22" s="141"/>
      <c r="F22" s="134"/>
      <c r="G22" s="134"/>
      <c r="H22" s="137"/>
      <c r="I22" s="137"/>
      <c r="J22" s="137"/>
      <c r="K22" s="109"/>
      <c r="L22" s="138" t="s">
        <v>40</v>
      </c>
      <c r="M22" s="139">
        <f>SUM(D38:D39,D46)</f>
        <v>433375</v>
      </c>
      <c r="N22" s="117">
        <f>'Monthly PF Cash Flow'!E117</f>
        <v>433375</v>
      </c>
      <c r="O22" s="109"/>
      <c r="P22" s="135">
        <f t="shared" si="0"/>
        <v>0</v>
      </c>
      <c r="Q22" s="138" t="str">
        <f t="shared" si="1"/>
        <v>CHECK</v>
      </c>
      <c r="R22" s="109"/>
    </row>
    <row r="23" spans="1:19">
      <c r="A23" s="109"/>
      <c r="B23" s="13" t="s">
        <v>591</v>
      </c>
      <c r="C23" s="120">
        <f t="shared" ref="C23:C29" ca="1" si="2">D23/$D$51</f>
        <v>0.30517457192580522</v>
      </c>
      <c r="D23" s="124">
        <v>6600000</v>
      </c>
      <c r="E23" s="121">
        <f>D23/'Assumptions &amp; Inputs'!$E$11</f>
        <v>7560.1374570446733</v>
      </c>
      <c r="F23" s="122">
        <f ca="1">D23/'Assumptions &amp; Inputs'!$E$9</f>
        <v>62.495857282187735</v>
      </c>
      <c r="G23" s="122">
        <f>D23/'Assumptions &amp; Inputs'!$E$10</f>
        <v>83.337437070764835</v>
      </c>
      <c r="H23" s="157"/>
      <c r="I23" s="157"/>
      <c r="J23" s="157"/>
      <c r="K23" s="109"/>
      <c r="L23" s="323" t="s">
        <v>41</v>
      </c>
      <c r="M23" s="665">
        <f ca="1">D42</f>
        <v>990725.67260254326</v>
      </c>
      <c r="N23" s="666">
        <f ca="1">'Monthly PF Cash Flow'!E118</f>
        <v>990725.67260253755</v>
      </c>
      <c r="P23" s="667">
        <f t="shared" ca="1" si="0"/>
        <v>0</v>
      </c>
      <c r="Q23" s="323" t="str">
        <f t="shared" ca="1" si="1"/>
        <v>CHECK</v>
      </c>
      <c r="R23" s="109"/>
    </row>
    <row r="24" spans="1:19">
      <c r="A24" s="109"/>
      <c r="B24" s="143" t="s">
        <v>587</v>
      </c>
      <c r="C24" s="120">
        <f t="shared" ca="1" si="2"/>
        <v>-9.8950543018367143E-2</v>
      </c>
      <c r="D24" s="124">
        <f>-1200000-940000</f>
        <v>-2140000</v>
      </c>
      <c r="E24" s="121">
        <f>D24/'Assumptions &amp; Inputs'!$E$11</f>
        <v>-2451.3172966781212</v>
      </c>
      <c r="F24" s="122">
        <f ca="1">D24/'Assumptions &amp; Inputs'!$E$9</f>
        <v>-20.263808270285114</v>
      </c>
      <c r="G24" s="122">
        <f>D24/'Assumptions &amp; Inputs'!$E$10</f>
        <v>-27.021532625975269</v>
      </c>
      <c r="H24" s="109"/>
      <c r="I24" s="109"/>
      <c r="J24" s="109"/>
      <c r="K24" s="109"/>
      <c r="L24" s="138" t="s">
        <v>132</v>
      </c>
      <c r="M24" s="139">
        <f>D43</f>
        <v>459000</v>
      </c>
      <c r="N24" s="117">
        <f>'Monthly PF Cash Flow'!E119</f>
        <v>459000</v>
      </c>
      <c r="O24" s="109"/>
      <c r="P24" s="135">
        <f t="shared" ref="P24:P30" si="3">ROUND(M24-N24,0.01)</f>
        <v>0</v>
      </c>
      <c r="Q24" s="138" t="str">
        <f t="shared" si="1"/>
        <v>CHECK</v>
      </c>
      <c r="R24" s="109"/>
    </row>
    <row r="25" spans="1:19">
      <c r="A25" s="109"/>
      <c r="B25" s="143" t="s">
        <v>621</v>
      </c>
      <c r="C25" s="120">
        <f t="shared" ca="1" si="2"/>
        <v>2.3119285751954939E-2</v>
      </c>
      <c r="D25" s="124">
        <v>500000</v>
      </c>
      <c r="E25" s="121">
        <f>D25/'Assumptions &amp; Inputs'!$E$11</f>
        <v>572.73768613974801</v>
      </c>
      <c r="F25" s="122">
        <f ca="1">D25/'Assumptions &amp; Inputs'!$E$9</f>
        <v>4.7345346425899795</v>
      </c>
      <c r="G25" s="122">
        <f>D25/'Assumptions &amp; Inputs'!$E$10</f>
        <v>6.3134422023306698</v>
      </c>
      <c r="K25" s="146"/>
      <c r="L25" s="138" t="s">
        <v>139</v>
      </c>
      <c r="M25" s="139">
        <f>D47</f>
        <v>75362</v>
      </c>
      <c r="N25" s="117">
        <f>'Monthly PF Cash Flow'!E121</f>
        <v>75362.000000000029</v>
      </c>
      <c r="O25" s="109"/>
      <c r="P25" s="135">
        <f t="shared" si="3"/>
        <v>0</v>
      </c>
      <c r="Q25" s="138" t="str">
        <f t="shared" si="1"/>
        <v>CHECK</v>
      </c>
      <c r="R25" s="109"/>
    </row>
    <row r="26" spans="1:19">
      <c r="A26" s="109"/>
      <c r="B26" s="143" t="s">
        <v>590</v>
      </c>
      <c r="C26" s="126">
        <f t="shared" ca="1" si="2"/>
        <v>0.229343314659393</v>
      </c>
      <c r="D26" s="500">
        <f>SUM(D23:D25)</f>
        <v>4960000</v>
      </c>
      <c r="E26" s="125">
        <f>D26/'Assumptions &amp; Inputs'!$E$11</f>
        <v>5681.5578465062999</v>
      </c>
      <c r="F26" s="128">
        <f ca="1">D26/'Assumptions &amp; Inputs'!$E$9</f>
        <v>46.966583654492602</v>
      </c>
      <c r="G26" s="128">
        <f>D26/'Assumptions &amp; Inputs'!$E$10</f>
        <v>62.629346647120244</v>
      </c>
      <c r="K26" s="109"/>
      <c r="L26" s="13" t="s">
        <v>427</v>
      </c>
      <c r="M26" s="136">
        <f ca="1">D37</f>
        <v>613037.1423642087</v>
      </c>
      <c r="N26" s="136">
        <f ca="1">'Monthly PF Cash Flow'!E113</f>
        <v>613037.14236420929</v>
      </c>
      <c r="P26" s="135">
        <f t="shared" ca="1" si="3"/>
        <v>0</v>
      </c>
      <c r="Q26" s="138" t="str">
        <f t="shared" ca="1" si="1"/>
        <v>CHECK</v>
      </c>
      <c r="R26" s="109"/>
    </row>
    <row r="27" spans="1:19">
      <c r="A27" s="109"/>
      <c r="B27" s="143" t="s">
        <v>588</v>
      </c>
      <c r="C27" s="120">
        <f t="shared" ca="1" si="2"/>
        <v>0</v>
      </c>
      <c r="D27" s="124">
        <v>0</v>
      </c>
      <c r="E27" s="121">
        <f>D27/'Assumptions &amp; Inputs'!$E$11</f>
        <v>0</v>
      </c>
      <c r="F27" s="122">
        <f ca="1">D27/'Assumptions &amp; Inputs'!$E$9</f>
        <v>0</v>
      </c>
      <c r="G27" s="122">
        <f>D27/'Assumptions &amp; Inputs'!$E$10</f>
        <v>0</v>
      </c>
      <c r="H27" s="13" t="s">
        <v>690</v>
      </c>
      <c r="I27" s="630"/>
      <c r="K27" s="109"/>
      <c r="L27" s="109"/>
      <c r="M27" s="148">
        <f ca="1">SUM(M16:M26)</f>
        <v>19750499.814966749</v>
      </c>
      <c r="N27" s="125">
        <f ca="1">SUM(N16:N26)</f>
        <v>19750499.814966746</v>
      </c>
      <c r="O27" s="109"/>
      <c r="P27" s="135">
        <f t="shared" ca="1" si="3"/>
        <v>0</v>
      </c>
      <c r="Q27" s="138" t="str">
        <f t="shared" ca="1" si="1"/>
        <v>CHECK</v>
      </c>
      <c r="R27" s="109"/>
    </row>
    <row r="28" spans="1:19">
      <c r="A28" s="109"/>
      <c r="B28" s="143" t="s">
        <v>595</v>
      </c>
      <c r="C28" s="120">
        <f t="shared" ca="1" si="2"/>
        <v>3.3661680054846391E-2</v>
      </c>
      <c r="D28" s="124">
        <v>728000</v>
      </c>
      <c r="E28" s="121">
        <f>D28/'Assumptions &amp; Inputs'!$E$11</f>
        <v>833.90607101947307</v>
      </c>
      <c r="F28" s="122">
        <f ca="1">D28/'Assumptions &amp; Inputs'!$E$9</f>
        <v>6.8934824396110104</v>
      </c>
      <c r="G28" s="122">
        <f>D28/'Assumptions &amp; Inputs'!$E$10</f>
        <v>9.1923718465934545</v>
      </c>
      <c r="H28" s="13" t="s">
        <v>689</v>
      </c>
      <c r="K28" s="109"/>
      <c r="L28" s="109" t="s">
        <v>44</v>
      </c>
      <c r="M28" s="131">
        <f ca="1">D34+D48</f>
        <v>1697178.7001335833</v>
      </c>
      <c r="N28" s="117">
        <f ca="1">'Monthly PF Cash Flow'!E122</f>
        <v>1697178.700133584</v>
      </c>
      <c r="O28" s="109"/>
      <c r="P28" s="135">
        <f t="shared" ca="1" si="3"/>
        <v>0</v>
      </c>
      <c r="Q28" s="138" t="str">
        <f t="shared" ca="1" si="1"/>
        <v>CHECK</v>
      </c>
      <c r="R28" s="109"/>
    </row>
    <row r="29" spans="1:19">
      <c r="A29" s="109"/>
      <c r="B29" s="143" t="s">
        <v>589</v>
      </c>
      <c r="C29" s="126">
        <f t="shared" ca="1" si="2"/>
        <v>0.26300499471423938</v>
      </c>
      <c r="D29" s="1195">
        <f>SUM(D26:D28)</f>
        <v>5688000</v>
      </c>
      <c r="E29" s="125">
        <f>D29/'Assumptions &amp; Inputs'!$E$11</f>
        <v>6515.4639175257735</v>
      </c>
      <c r="F29" s="128">
        <f ca="1">D29/'Assumptions &amp; Inputs'!$E$9</f>
        <v>53.860066094103608</v>
      </c>
      <c r="G29" s="128">
        <f>D29/'Assumptions &amp; Inputs'!$E$10</f>
        <v>71.821718493713703</v>
      </c>
      <c r="K29" s="144"/>
      <c r="L29" s="109" t="s">
        <v>142</v>
      </c>
      <c r="M29" s="131">
        <f ca="1">D44</f>
        <v>179287.18636908074</v>
      </c>
      <c r="N29" s="117">
        <f ca="1">'Monthly PF Cash Flow'!E120</f>
        <v>179287.18636908074</v>
      </c>
      <c r="O29" s="109"/>
      <c r="P29" s="135">
        <f t="shared" ca="1" si="3"/>
        <v>0</v>
      </c>
      <c r="Q29" s="138" t="str">
        <f t="shared" ca="1" si="1"/>
        <v>CHECK</v>
      </c>
      <c r="R29" s="109"/>
    </row>
    <row r="30" spans="1:19" ht="12.75" customHeight="1">
      <c r="A30" s="109"/>
      <c r="B30" s="143"/>
      <c r="D30" s="14"/>
      <c r="K30" s="151"/>
      <c r="L30" s="109" t="s">
        <v>144</v>
      </c>
      <c r="M30" s="127">
        <f ca="1">SUM(M27:M29)</f>
        <v>21626965.701469414</v>
      </c>
      <c r="N30" s="125">
        <f ca="1">SUM(N27:N29)</f>
        <v>21626965.70146941</v>
      </c>
      <c r="O30" s="109"/>
      <c r="P30" s="135">
        <f t="shared" ca="1" si="3"/>
        <v>0</v>
      </c>
      <c r="Q30" s="138" t="str">
        <f t="shared" ca="1" si="1"/>
        <v>CHECK</v>
      </c>
      <c r="R30" s="109"/>
    </row>
    <row r="31" spans="1:19" ht="12.75" customHeight="1">
      <c r="A31" s="109"/>
      <c r="B31" s="143" t="s">
        <v>133</v>
      </c>
      <c r="C31" s="120">
        <f ca="1">D31/$D$51</f>
        <v>0.23581671466994039</v>
      </c>
      <c r="D31" s="124">
        <f>ROUNDUP('Budget to Convert Existing Bldg'!H235,-5)</f>
        <v>5100000</v>
      </c>
      <c r="E31" s="121">
        <f>D31/'Assumptions &amp; Inputs'!$E$11</f>
        <v>5841.9243986254296</v>
      </c>
      <c r="F31" s="122">
        <f>D31/'SF Breakdown'!$C$12</f>
        <v>69.596069868995627</v>
      </c>
      <c r="G31" s="122">
        <f>D31/'SF Breakdown'!$C$24</f>
        <v>93.488781346238454</v>
      </c>
      <c r="H31" s="134"/>
      <c r="I31" s="134"/>
      <c r="J31" s="134"/>
      <c r="K31" s="109"/>
      <c r="L31" s="109"/>
      <c r="M31" s="109"/>
      <c r="N31" s="149"/>
      <c r="O31" s="109"/>
      <c r="P31" s="135"/>
      <c r="Q31" s="138"/>
      <c r="R31" s="109"/>
    </row>
    <row r="32" spans="1:19">
      <c r="A32" s="109"/>
      <c r="B32" s="143" t="s">
        <v>134</v>
      </c>
      <c r="C32" s="120">
        <f ca="1">D32/$D$51</f>
        <v>0.25246260041134794</v>
      </c>
      <c r="D32" s="124">
        <f>ROUNDUP('Budget for New Bldg'!H242,-4)</f>
        <v>5460000</v>
      </c>
      <c r="E32" s="121">
        <f>D32/'Assumptions &amp; Inputs'!$E$11</f>
        <v>6254.2955326460478</v>
      </c>
      <c r="F32" s="122">
        <f ca="1">D32/'SF Breakdown'!$D$12</f>
        <v>168.89906270300369</v>
      </c>
      <c r="G32" s="122">
        <f ca="1">D32/'SF Breakdown'!$D$24</f>
        <v>221.55404336129135</v>
      </c>
      <c r="I32" s="13" t="s">
        <v>625</v>
      </c>
      <c r="K32" s="109"/>
      <c r="L32" s="138" t="s">
        <v>145</v>
      </c>
      <c r="M32" s="139">
        <f>-D27</f>
        <v>0</v>
      </c>
      <c r="N32" s="117">
        <f>'Monthly PF Cash Flow'!E99</f>
        <v>0</v>
      </c>
      <c r="O32" s="109"/>
      <c r="P32" s="135">
        <f>ROUND(M32-N32,0.01)</f>
        <v>0</v>
      </c>
      <c r="Q32" s="138" t="str">
        <f>IF(P32=0,"CHECK","ERROR")</f>
        <v>CHECK</v>
      </c>
      <c r="R32" s="109"/>
    </row>
    <row r="33" spans="1:18">
      <c r="A33" s="109"/>
      <c r="B33" s="143" t="s">
        <v>1005</v>
      </c>
      <c r="C33" s="120">
        <f ca="1">D33/$D$51</f>
        <v>1.6645885741407556E-2</v>
      </c>
      <c r="D33" s="378">
        <f>ROUNDUP('Budget for New Bldg'!K249,-4)</f>
        <v>360000</v>
      </c>
      <c r="E33" s="121">
        <f>D33/'Assumptions &amp; Inputs'!$E$11</f>
        <v>412.37113402061857</v>
      </c>
      <c r="F33" s="122">
        <f>D33/SUM('SF Breakdown'!$D$9:$D$10)</f>
        <v>48.793711032800218</v>
      </c>
      <c r="G33" s="122">
        <f>D33/SUM('SF Breakdown'!$D$21:$D$22)</f>
        <v>51.361801087158121</v>
      </c>
      <c r="I33" s="13" t="s">
        <v>626</v>
      </c>
      <c r="K33" s="151"/>
      <c r="L33" s="109"/>
      <c r="M33" s="109"/>
      <c r="N33" s="109"/>
      <c r="O33" s="109"/>
      <c r="P33" s="109"/>
      <c r="Q33" s="109"/>
      <c r="R33" s="109"/>
    </row>
    <row r="34" spans="1:18">
      <c r="A34" s="109"/>
      <c r="B34" s="489">
        <v>0.125</v>
      </c>
      <c r="C34" s="120">
        <f ca="1">D34/$D$51</f>
        <v>6.3115650102836984E-2</v>
      </c>
      <c r="D34" s="378">
        <f>SUM(D31:D33)*B34</f>
        <v>1365000</v>
      </c>
      <c r="E34" s="121">
        <f>D34/'Assumptions &amp; Inputs'!$E$11</f>
        <v>1563.573883161512</v>
      </c>
      <c r="F34" s="122">
        <f ca="1">D34/'SF Breakdown'!$E$12</f>
        <v>12.925279574270645</v>
      </c>
      <c r="G34" s="122">
        <f ca="1">D34/'SF Breakdown'!$E$24</f>
        <v>17.23569721236273</v>
      </c>
      <c r="I34" s="13" t="s">
        <v>627</v>
      </c>
      <c r="K34" s="109"/>
      <c r="L34" s="109" t="s">
        <v>615</v>
      </c>
      <c r="M34" s="131">
        <f>D27</f>
        <v>0</v>
      </c>
      <c r="N34" s="109"/>
      <c r="O34" s="109"/>
      <c r="P34" s="109"/>
      <c r="Q34" s="109"/>
      <c r="R34" s="109"/>
    </row>
    <row r="35" spans="1:18">
      <c r="A35" s="109"/>
      <c r="B35" s="15" t="s">
        <v>548</v>
      </c>
      <c r="C35" s="491">
        <f ca="1">D35/$D$51</f>
        <v>0.56804085092553291</v>
      </c>
      <c r="D35" s="1195">
        <f>SUM(D31:D34)</f>
        <v>12285000</v>
      </c>
      <c r="E35" s="492">
        <f>D35/'Assumptions &amp; Inputs'!$E$11</f>
        <v>14072.164948453608</v>
      </c>
      <c r="F35" s="493">
        <f ca="1">D35/'Assumptions &amp; Inputs'!$E$9</f>
        <v>116.32751616843581</v>
      </c>
      <c r="G35" s="493">
        <f>D35/'Assumptions &amp; Inputs'!$E$10</f>
        <v>155.12127491126455</v>
      </c>
      <c r="H35" s="134"/>
      <c r="I35" s="134"/>
      <c r="J35" s="134"/>
      <c r="K35" s="109"/>
      <c r="L35" s="129" t="s">
        <v>304</v>
      </c>
      <c r="M35" s="684">
        <f ca="1">M30+M34</f>
        <v>21626965.701469414</v>
      </c>
      <c r="N35" s="109"/>
      <c r="O35" s="109"/>
      <c r="P35" s="109"/>
      <c r="Q35" s="109"/>
      <c r="R35" s="109"/>
    </row>
    <row r="36" spans="1:18">
      <c r="A36" s="109"/>
      <c r="B36" s="74"/>
      <c r="C36" s="25"/>
      <c r="D36" s="378"/>
      <c r="E36" s="287"/>
      <c r="F36" s="287"/>
      <c r="G36" s="287"/>
      <c r="H36" s="109"/>
      <c r="I36" s="109"/>
      <c r="J36" s="109"/>
      <c r="K36" s="109"/>
      <c r="L36" s="109"/>
      <c r="M36" s="109"/>
      <c r="N36" s="109"/>
      <c r="O36" s="109"/>
      <c r="P36" s="109"/>
      <c r="Q36" s="109"/>
      <c r="R36" s="109"/>
    </row>
    <row r="37" spans="1:18">
      <c r="A37" s="109"/>
      <c r="B37" s="525">
        <v>0.04</v>
      </c>
      <c r="C37" s="120">
        <f t="shared" ref="C37:C49" ca="1" si="4">D37/$D$51</f>
        <v>2.8345961741760045E-2</v>
      </c>
      <c r="D37" s="124">
        <f ca="1">SUM(D35,D38:D48)*B37</f>
        <v>613037.14236420824</v>
      </c>
      <c r="E37" s="121">
        <f ca="1">D37/'Assumptions &amp; Inputs'!$E$11</f>
        <v>702.21894887079986</v>
      </c>
      <c r="F37" s="122">
        <f ca="1">D37/'Assumptions &amp; Inputs'!$E$9</f>
        <v>5.8048911754354187</v>
      </c>
      <c r="G37" s="122">
        <f ca="1">D37/'Assumptions &amp; Inputs'!$E$10</f>
        <v>7.7407491323967745</v>
      </c>
      <c r="H37" s="109"/>
      <c r="I37" s="109"/>
      <c r="J37" s="109"/>
      <c r="K37" s="109"/>
      <c r="L37" s="112" t="s">
        <v>993</v>
      </c>
      <c r="M37" s="109"/>
      <c r="N37" s="109"/>
      <c r="O37" s="109"/>
      <c r="P37" s="109"/>
      <c r="Q37" s="109"/>
      <c r="R37" s="109"/>
    </row>
    <row r="38" spans="1:18">
      <c r="A38" s="109"/>
      <c r="B38" s="143" t="s">
        <v>135</v>
      </c>
      <c r="C38" s="120">
        <f t="shared" ca="1" si="4"/>
        <v>4.6238571503909882E-3</v>
      </c>
      <c r="D38" s="124">
        <f>'Assumptions &amp; Inputs'!J15</f>
        <v>100000</v>
      </c>
      <c r="E38" s="121">
        <f>D38/'Assumptions &amp; Inputs'!$E$11</f>
        <v>114.5475372279496</v>
      </c>
      <c r="F38" s="122">
        <f ca="1">D38/'Assumptions &amp; Inputs'!$E$9</f>
        <v>0.94690692851799596</v>
      </c>
      <c r="G38" s="122">
        <f>D38/'Assumptions &amp; Inputs'!$E$10</f>
        <v>1.262688440466134</v>
      </c>
      <c r="H38" s="109"/>
      <c r="I38" s="109"/>
      <c r="J38" s="109"/>
      <c r="K38" s="109"/>
      <c r="L38" s="334" t="s">
        <v>990</v>
      </c>
      <c r="M38" s="131">
        <f>D8*'Assumptions &amp; Inputs'!N10*1.25</f>
        <v>1470000</v>
      </c>
      <c r="N38" s="109" t="s">
        <v>1011</v>
      </c>
      <c r="O38" s="109"/>
      <c r="P38" s="109"/>
      <c r="Q38" s="109"/>
      <c r="R38" s="109"/>
    </row>
    <row r="39" spans="1:18">
      <c r="A39" s="109"/>
      <c r="B39" s="143" t="s">
        <v>136</v>
      </c>
      <c r="C39" s="120">
        <f t="shared" ca="1" si="4"/>
        <v>8.496337513843441E-4</v>
      </c>
      <c r="D39" s="124">
        <f>'Assumptions &amp; Inputs'!J16</f>
        <v>18375</v>
      </c>
      <c r="E39" s="121">
        <f>D39/'Assumptions &amp; Inputs'!$E$11</f>
        <v>21.048109965635739</v>
      </c>
      <c r="F39" s="122">
        <f ca="1">D39/'Assumptions &amp; Inputs'!$E$9</f>
        <v>0.17399414811518177</v>
      </c>
      <c r="G39" s="122">
        <f>D39/'Assumptions &amp; Inputs'!$E$10</f>
        <v>0.23201900093565211</v>
      </c>
      <c r="H39" s="688"/>
      <c r="I39" s="158"/>
      <c r="J39" s="158"/>
      <c r="K39" s="109"/>
      <c r="L39" s="334" t="s">
        <v>991</v>
      </c>
      <c r="M39" s="131">
        <f ca="1">M23</f>
        <v>990725.67260254326</v>
      </c>
      <c r="N39" s="109" t="s">
        <v>1012</v>
      </c>
      <c r="O39" s="109"/>
      <c r="P39" s="109"/>
      <c r="Q39" s="109"/>
      <c r="R39" s="109"/>
    </row>
    <row r="40" spans="1:18">
      <c r="A40" s="109"/>
      <c r="B40" s="143" t="s">
        <v>138</v>
      </c>
      <c r="C40" s="120">
        <f t="shared" ca="1" si="4"/>
        <v>1.3871571451172964E-3</v>
      </c>
      <c r="D40" s="124">
        <f>ROUND(SUM('Assumptions &amp; Inputs'!J7,'Assumptions &amp; Inputs'!J8,'Assumptions &amp; Inputs'!J9,'Assumptions &amp; Inputs'!J10,'Assumptions &amp; Inputs'!J12,'Assumptions &amp; Inputs'!J13),-4)</f>
        <v>30000</v>
      </c>
      <c r="E40" s="121">
        <f>D40/'Assumptions &amp; Inputs'!$E$11</f>
        <v>34.364261168384878</v>
      </c>
      <c r="F40" s="122">
        <f ca="1">D40/'Assumptions &amp; Inputs'!$E$9</f>
        <v>0.28407207855539879</v>
      </c>
      <c r="G40" s="122">
        <f>D40/'Assumptions &amp; Inputs'!$E$10</f>
        <v>0.37880653213984017</v>
      </c>
      <c r="H40" s="109"/>
      <c r="I40" s="109"/>
      <c r="J40" s="109"/>
      <c r="K40" s="109"/>
      <c r="L40" s="334" t="s">
        <v>992</v>
      </c>
      <c r="M40" s="1141">
        <f ca="1">M38-M39</f>
        <v>479274.32739745674</v>
      </c>
      <c r="N40" s="146" t="s">
        <v>1013</v>
      </c>
      <c r="O40" s="109"/>
      <c r="P40" s="109"/>
      <c r="Q40" s="109"/>
      <c r="R40" s="109"/>
    </row>
    <row r="41" spans="1:18">
      <c r="B41" s="143" t="s">
        <v>140</v>
      </c>
      <c r="C41" s="120">
        <f t="shared" ca="1" si="4"/>
        <v>2.0391210033224257E-2</v>
      </c>
      <c r="D41" s="124">
        <f>'Assumptions &amp; Inputs'!J11</f>
        <v>441000</v>
      </c>
      <c r="E41" s="121">
        <f>D41/'Assumptions &amp; Inputs'!$E$11</f>
        <v>505.15463917525773</v>
      </c>
      <c r="F41" s="122">
        <f ca="1">D41/'Assumptions &amp; Inputs'!$E$9</f>
        <v>4.1758595547643624</v>
      </c>
      <c r="G41" s="122">
        <f>D41/'Assumptions &amp; Inputs'!$E$10</f>
        <v>5.568456022455651</v>
      </c>
      <c r="H41" s="109"/>
      <c r="I41" s="109"/>
      <c r="J41" s="109"/>
      <c r="K41" s="109"/>
      <c r="L41" s="109" t="s">
        <v>997</v>
      </c>
      <c r="M41" s="318">
        <f>D43</f>
        <v>459000</v>
      </c>
      <c r="N41" s="109" t="s">
        <v>1014</v>
      </c>
      <c r="O41" s="109"/>
      <c r="P41" s="109"/>
      <c r="Q41" s="109"/>
      <c r="R41" s="109"/>
    </row>
    <row r="42" spans="1:18">
      <c r="A42" s="109"/>
      <c r="B42" s="143" t="s">
        <v>41</v>
      </c>
      <c r="C42" s="120">
        <f t="shared" ca="1" si="4"/>
        <v>4.5809739853391908E-2</v>
      </c>
      <c r="D42" s="124">
        <f ca="1">'Monthly PF Cash Flow'!E118</f>
        <v>990725.67260253755</v>
      </c>
      <c r="E42" s="121">
        <f ca="1">D42/'Assumptions &amp; Inputs'!$E$11</f>
        <v>1134.8518586512457</v>
      </c>
      <c r="F42" s="122">
        <f ca="1">D42/'Assumptions &amp; Inputs'!$E$9</f>
        <v>9.3812500364799458</v>
      </c>
      <c r="G42" s="122">
        <f ca="1">D42/'Assumptions &amp; Inputs'!$E$10</f>
        <v>12.509778544682598</v>
      </c>
      <c r="H42" s="109"/>
      <c r="I42" s="109"/>
      <c r="J42" s="109"/>
      <c r="K42" s="109"/>
      <c r="L42" s="109"/>
      <c r="M42" s="109"/>
      <c r="N42" s="109"/>
      <c r="O42" s="109"/>
      <c r="P42" s="109"/>
      <c r="Q42" s="109"/>
      <c r="R42" s="109"/>
    </row>
    <row r="43" spans="1:18">
      <c r="A43" s="109"/>
      <c r="B43" s="143" t="s">
        <v>988</v>
      </c>
      <c r="C43" s="120">
        <f t="shared" ca="1" si="4"/>
        <v>2.1223504320294635E-2</v>
      </c>
      <c r="D43" s="124">
        <v>459000</v>
      </c>
      <c r="E43" s="121">
        <f>D43/'Assumptions &amp; Inputs'!$E$11</f>
        <v>525.7731958762887</v>
      </c>
      <c r="F43" s="122">
        <f ca="1">D43/'Assumptions &amp; Inputs'!$E$9</f>
        <v>4.3463028018976013</v>
      </c>
      <c r="G43" s="122">
        <f>D43/'Assumptions &amp; Inputs'!$E$10</f>
        <v>5.795739941739555</v>
      </c>
      <c r="H43" s="109" t="s">
        <v>998</v>
      </c>
      <c r="I43" s="109"/>
      <c r="J43" s="109"/>
      <c r="K43" s="109"/>
      <c r="L43" s="109"/>
      <c r="M43" s="109"/>
      <c r="N43" s="109"/>
      <c r="O43" s="109"/>
      <c r="P43" s="109"/>
      <c r="Q43" s="109"/>
      <c r="R43" s="109"/>
    </row>
    <row r="44" spans="1:18">
      <c r="A44" s="109"/>
      <c r="B44" s="143" t="s">
        <v>141</v>
      </c>
      <c r="C44" s="120">
        <f t="shared" ca="1" si="4"/>
        <v>8.289983386661556E-3</v>
      </c>
      <c r="D44" s="147">
        <f ca="1">N29</f>
        <v>179287.18636908074</v>
      </c>
      <c r="E44" s="121">
        <f ca="1">D44/'Assumptions &amp; Inputs'!$E$11</f>
        <v>205.36905655106614</v>
      </c>
      <c r="F44" s="122">
        <f ca="1">D44/'Assumptions &amp; Inputs'!$E$9</f>
        <v>1.6976827896737976</v>
      </c>
      <c r="G44" s="122">
        <f ca="1">D44/'Assumptions &amp; Inputs'!$E$10</f>
        <v>2.2638385775193566</v>
      </c>
      <c r="H44" s="144"/>
      <c r="I44" s="144"/>
      <c r="J44" s="144"/>
      <c r="K44" s="109"/>
      <c r="L44" s="109"/>
      <c r="M44" s="109"/>
      <c r="N44" s="109"/>
      <c r="O44" s="109"/>
      <c r="P44" s="109"/>
      <c r="Q44" s="109"/>
      <c r="R44" s="109"/>
    </row>
    <row r="45" spans="1:18">
      <c r="A45" s="109"/>
      <c r="B45" s="143" t="s">
        <v>87</v>
      </c>
      <c r="C45" s="120">
        <f t="shared" ca="1" si="4"/>
        <v>4.6238571503909882E-3</v>
      </c>
      <c r="D45" s="136">
        <f>ROUNDUP('Budget for New Bldg'!K250+'Budget for New Bldg'!K251,-4)</f>
        <v>100000</v>
      </c>
      <c r="E45" s="121">
        <f>D45/'Assumptions &amp; Inputs'!$E$11</f>
        <v>114.5475372279496</v>
      </c>
      <c r="F45" s="122">
        <f ca="1">D45/'Assumptions &amp; Inputs'!$E$9</f>
        <v>0.94690692851799596</v>
      </c>
      <c r="G45" s="122">
        <f>D45/'Assumptions &amp; Inputs'!$E$10</f>
        <v>1.262688440466134</v>
      </c>
      <c r="H45" s="109"/>
      <c r="L45" s="109"/>
      <c r="M45" s="109"/>
      <c r="N45" s="109"/>
      <c r="O45" s="109"/>
      <c r="P45" s="109"/>
      <c r="Q45" s="109"/>
    </row>
    <row r="46" spans="1:18">
      <c r="B46" s="143" t="s">
        <v>567</v>
      </c>
      <c r="C46" s="120">
        <f t="shared" ca="1" si="4"/>
        <v>1.4565150023731613E-2</v>
      </c>
      <c r="D46" s="136">
        <v>315000</v>
      </c>
      <c r="E46" s="121">
        <f>D46/'Assumptions &amp; Inputs'!$E$11</f>
        <v>360.82474226804123</v>
      </c>
      <c r="F46" s="122">
        <f ca="1">D46/'Assumptions &amp; Inputs'!$E$9</f>
        <v>2.9827568248316871</v>
      </c>
      <c r="G46" s="122">
        <f>D46/'Assumptions &amp; Inputs'!$E$10</f>
        <v>3.977468587468322</v>
      </c>
      <c r="H46" s="151"/>
      <c r="L46" s="109"/>
      <c r="M46" s="109"/>
      <c r="N46" s="109"/>
      <c r="O46" s="109"/>
      <c r="P46" s="109"/>
      <c r="Q46" s="109"/>
    </row>
    <row r="47" spans="1:18">
      <c r="B47" s="143" t="s">
        <v>139</v>
      </c>
      <c r="C47" s="120">
        <f t="shared" ca="1" si="4"/>
        <v>3.4846312256776564E-3</v>
      </c>
      <c r="D47" s="154">
        <f>'Assumptions &amp; Inputs'!J21+362</f>
        <v>75362</v>
      </c>
      <c r="E47" s="121">
        <f>D47/'Assumptions &amp; Inputs'!$E$11</f>
        <v>86.325315005727376</v>
      </c>
      <c r="F47" s="122">
        <f ca="1">D47/'Assumptions &amp; Inputs'!$E$9</f>
        <v>0.71360799946973208</v>
      </c>
      <c r="G47" s="122">
        <f>D47/'Assumptions &amp; Inputs'!$E$10</f>
        <v>0.95158726250408787</v>
      </c>
      <c r="H47" s="151"/>
      <c r="L47" s="109"/>
      <c r="M47" s="109"/>
      <c r="N47" s="109"/>
    </row>
    <row r="48" spans="1:18">
      <c r="B48" s="150">
        <v>0.1</v>
      </c>
      <c r="C48" s="120">
        <f t="shared" ca="1" si="4"/>
        <v>1.5359468578202529E-2</v>
      </c>
      <c r="D48" s="154">
        <f ca="1">SUM(D37:D47)*B48</f>
        <v>332178.70013358264</v>
      </c>
      <c r="E48" s="121">
        <f ca="1">D48/'Assumptions &amp; Inputs'!$E$11</f>
        <v>380.50252019883465</v>
      </c>
      <c r="F48" s="122">
        <f ca="1">D48/'Assumptions &amp; Inputs'!$E$9</f>
        <v>3.1454231266259116</v>
      </c>
      <c r="G48" s="122">
        <f ca="1">D48/'Assumptions &amp; Inputs'!$E$10</f>
        <v>4.1943820482774106</v>
      </c>
      <c r="H48" s="151"/>
      <c r="L48" s="109"/>
    </row>
    <row r="49" spans="2:17">
      <c r="B49" s="494" t="s">
        <v>564</v>
      </c>
      <c r="C49" s="491">
        <f t="shared" ca="1" si="4"/>
        <v>0.16895415436022782</v>
      </c>
      <c r="D49" s="495">
        <f ca="1">SUM(D37:D48)</f>
        <v>3653965.7014694088</v>
      </c>
      <c r="E49" s="492">
        <f ca="1">D49/'Assumptions &amp; Inputs'!$E$11</f>
        <v>4185.5277221871811</v>
      </c>
      <c r="F49" s="493">
        <f ca="1">D49/'Assumptions &amp; Inputs'!$E$9</f>
        <v>34.599654392885022</v>
      </c>
      <c r="G49" s="493">
        <f ca="1">D49/'Assumptions &amp; Inputs'!$E$10</f>
        <v>46.138202531051512</v>
      </c>
      <c r="H49" s="109"/>
      <c r="L49" s="109"/>
      <c r="M49" s="109"/>
      <c r="N49" s="109"/>
      <c r="O49" s="109"/>
      <c r="P49" s="109"/>
      <c r="Q49" s="109"/>
    </row>
    <row r="50" spans="2:17">
      <c r="B50" s="150"/>
      <c r="C50" s="120"/>
      <c r="D50" s="154"/>
      <c r="E50" s="121"/>
      <c r="F50" s="122"/>
      <c r="G50" s="122"/>
      <c r="L50" s="109"/>
      <c r="M50" s="109"/>
      <c r="N50" s="109"/>
      <c r="O50" s="109"/>
      <c r="P50" s="109"/>
      <c r="Q50" s="109"/>
    </row>
    <row r="51" spans="2:17">
      <c r="B51" s="536" t="s">
        <v>128</v>
      </c>
      <c r="C51" s="532">
        <f ca="1">D51/D51</f>
        <v>1</v>
      </c>
      <c r="D51" s="533">
        <f ca="1">SUM(D29,D35,D49)</f>
        <v>21626965.70146941</v>
      </c>
      <c r="E51" s="533">
        <f ca="1">D51/'Assumptions &amp; Inputs'!$E$11</f>
        <v>24773.156588166563</v>
      </c>
      <c r="F51" s="534">
        <f ca="1">D51/'Assumptions &amp; Inputs'!$E$9</f>
        <v>204.78723665542446</v>
      </c>
      <c r="G51" s="534">
        <f ca="1">D51/'Assumptions &amp; Inputs'!$E$10</f>
        <v>273.08119593602981</v>
      </c>
      <c r="L51" s="109"/>
      <c r="M51" s="109"/>
      <c r="N51" s="109"/>
      <c r="O51" s="109"/>
      <c r="P51" s="109"/>
      <c r="Q51" s="109"/>
    </row>
    <row r="52" spans="2:17">
      <c r="B52" s="109"/>
      <c r="C52" s="123"/>
      <c r="D52" s="109"/>
      <c r="E52" s="121"/>
      <c r="F52" s="122"/>
      <c r="G52" s="122"/>
      <c r="H52" s="109"/>
      <c r="L52" s="109"/>
      <c r="M52" s="109"/>
      <c r="N52" s="109"/>
      <c r="O52" s="109"/>
      <c r="P52" s="109"/>
      <c r="Q52" s="109"/>
    </row>
    <row r="53" spans="2:17">
      <c r="B53" s="129" t="s">
        <v>355</v>
      </c>
      <c r="C53" s="696"/>
      <c r="D53" s="697">
        <f ca="1">'Untrended Pro Forma'!D85/D51</f>
        <v>9.195015151290041E-2</v>
      </c>
      <c r="E53" s="130"/>
      <c r="F53" s="133"/>
      <c r="G53" s="133"/>
      <c r="H53" s="109"/>
      <c r="L53" s="109"/>
      <c r="M53" s="109"/>
      <c r="N53" s="109"/>
      <c r="O53" s="109"/>
      <c r="P53" s="109"/>
      <c r="Q53" s="109"/>
    </row>
    <row r="54" spans="2:17">
      <c r="B54" s="109"/>
      <c r="C54" s="109"/>
      <c r="D54" s="131"/>
      <c r="E54" s="131"/>
      <c r="F54" s="131"/>
      <c r="G54" s="131"/>
      <c r="J54" s="109"/>
    </row>
    <row r="55" spans="2:17">
      <c r="B55" s="143" t="s">
        <v>152</v>
      </c>
      <c r="C55" s="146"/>
      <c r="D55" s="117">
        <f>D27</f>
        <v>0</v>
      </c>
      <c r="E55" s="146">
        <f ca="1">D55/D51</f>
        <v>0</v>
      </c>
      <c r="F55" s="146"/>
      <c r="G55" s="117"/>
    </row>
    <row r="56" spans="2:17">
      <c r="B56" s="13" t="s">
        <v>154</v>
      </c>
      <c r="D56" s="152">
        <f>SUM(D55:D55)</f>
        <v>0</v>
      </c>
      <c r="E56" s="136"/>
      <c r="F56" s="136"/>
      <c r="G56" s="108"/>
      <c r="H56" s="156"/>
      <c r="I56" s="124"/>
      <c r="J56" s="124"/>
      <c r="K56" s="124"/>
    </row>
    <row r="57" spans="2:17">
      <c r="I57" s="124"/>
      <c r="J57" s="124">
        <v>9093909</v>
      </c>
      <c r="K57" s="124"/>
    </row>
    <row r="58" spans="2:17">
      <c r="D58" s="136"/>
      <c r="I58" s="124">
        <v>2140000</v>
      </c>
      <c r="J58" s="124">
        <v>3362753</v>
      </c>
      <c r="K58" s="124"/>
    </row>
    <row r="59" spans="2:17">
      <c r="D59" s="136"/>
      <c r="I59" s="124">
        <v>1200000</v>
      </c>
      <c r="J59" s="124">
        <f>J57-J58</f>
        <v>5731156</v>
      </c>
      <c r="K59" s="124"/>
    </row>
    <row r="60" spans="2:17">
      <c r="D60" s="136"/>
      <c r="I60" s="124">
        <f>I58-I59</f>
        <v>940000</v>
      </c>
      <c r="J60" s="124"/>
      <c r="K60" s="124"/>
    </row>
    <row r="61" spans="2:17">
      <c r="I61" s="124"/>
      <c r="J61" s="124">
        <v>5200000</v>
      </c>
      <c r="K61" s="124"/>
    </row>
    <row r="62" spans="2:17">
      <c r="B62" s="13" t="s">
        <v>547</v>
      </c>
      <c r="I62" s="124"/>
      <c r="J62" s="124">
        <f>J57-J61</f>
        <v>3893909</v>
      </c>
      <c r="K62" s="124"/>
    </row>
    <row r="63" spans="2:17">
      <c r="B63" s="44" t="s">
        <v>119</v>
      </c>
      <c r="C63" s="95"/>
      <c r="D63" s="228" t="s">
        <v>120</v>
      </c>
      <c r="E63" s="228" t="s">
        <v>121</v>
      </c>
      <c r="F63" s="229" t="s">
        <v>426</v>
      </c>
      <c r="G63" s="229" t="s">
        <v>155</v>
      </c>
      <c r="I63" s="124"/>
      <c r="J63" s="124"/>
      <c r="K63" s="124"/>
    </row>
    <row r="64" spans="2:17">
      <c r="B64" s="112" t="s">
        <v>123</v>
      </c>
      <c r="C64" s="113" t="s">
        <v>124</v>
      </c>
      <c r="D64" s="114"/>
      <c r="E64" s="114"/>
      <c r="F64" s="114"/>
      <c r="G64" s="114"/>
    </row>
    <row r="65" spans="2:8">
      <c r="B65" s="119" t="s">
        <v>125</v>
      </c>
      <c r="C65" s="120">
        <f ca="1">D65/D67</f>
        <v>0.67970700110747473</v>
      </c>
      <c r="D65" s="121">
        <f>D8</f>
        <v>14700000</v>
      </c>
      <c r="E65" s="121">
        <f>D65/'Assumptions &amp; Inputs'!$E$11</f>
        <v>16838.487972508592</v>
      </c>
      <c r="F65" s="122">
        <f ca="1">D65/'SF Breakdown'!$E$12</f>
        <v>139.19531849214542</v>
      </c>
      <c r="G65" s="122">
        <f ca="1">D65/'SF Breakdown'!$E$24</f>
        <v>185.61520074852169</v>
      </c>
    </row>
    <row r="66" spans="2:8">
      <c r="B66" s="119" t="s">
        <v>122</v>
      </c>
      <c r="C66" s="120">
        <f ca="1">D66/D67</f>
        <v>0.32029299889252522</v>
      </c>
      <c r="D66" s="131">
        <f ca="1">D17</f>
        <v>6926965.7014694139</v>
      </c>
      <c r="E66" s="121">
        <f ca="1">D66/'Assumptions &amp; Inputs'!$E$11</f>
        <v>7934.6686156579772</v>
      </c>
      <c r="F66" s="122">
        <f ca="1">D66/'SF Breakdown'!$E$12</f>
        <v>65.591918163279075</v>
      </c>
      <c r="G66" s="122">
        <f ca="1">D66/'SF Breakdown'!$E$24</f>
        <v>87.465995187508142</v>
      </c>
    </row>
    <row r="67" spans="2:8">
      <c r="B67" s="129" t="s">
        <v>128</v>
      </c>
      <c r="C67" s="132">
        <f ca="1">D67/D67</f>
        <v>1</v>
      </c>
      <c r="D67" s="130">
        <f ca="1">SUM(D65:D66)</f>
        <v>21626965.701469414</v>
      </c>
      <c r="E67" s="130">
        <f ca="1">D67/'Assumptions &amp; Inputs'!$E$11</f>
        <v>24773.156588166567</v>
      </c>
      <c r="F67" s="133">
        <f ca="1">D67/'SF Breakdown'!$E$12</f>
        <v>204.78723665542449</v>
      </c>
      <c r="G67" s="133">
        <f ca="1">D67/'SF Breakdown'!$E$24</f>
        <v>273.08119593602981</v>
      </c>
    </row>
    <row r="68" spans="2:8">
      <c r="B68" s="109"/>
      <c r="C68" s="123"/>
      <c r="D68" s="134"/>
      <c r="E68" s="121"/>
      <c r="F68" s="122"/>
      <c r="G68" s="122"/>
    </row>
    <row r="69" spans="2:8">
      <c r="B69" s="44" t="s">
        <v>130</v>
      </c>
      <c r="C69" s="230"/>
      <c r="D69" s="95"/>
      <c r="E69" s="95"/>
      <c r="F69" s="95"/>
      <c r="G69" s="95"/>
    </row>
    <row r="70" spans="2:8">
      <c r="B70" s="114" t="s">
        <v>131</v>
      </c>
      <c r="C70" s="140" t="s">
        <v>124</v>
      </c>
      <c r="D70" s="141"/>
      <c r="E70" s="121"/>
      <c r="F70" s="122"/>
      <c r="G70" s="122"/>
    </row>
    <row r="71" spans="2:8">
      <c r="B71" s="143" t="s">
        <v>1004</v>
      </c>
      <c r="C71" s="120">
        <f ca="1">D71/$D$51</f>
        <v>0.26300499471423944</v>
      </c>
      <c r="D71" s="124">
        <f>D29</f>
        <v>5688000</v>
      </c>
      <c r="E71" s="121">
        <f>D71/'Assumptions &amp; Inputs'!$E$11</f>
        <v>6515.4639175257735</v>
      </c>
      <c r="F71" s="122">
        <f ca="1">D71/'SF Breakdown'!$E$12</f>
        <v>53.860066094103608</v>
      </c>
      <c r="G71" s="122">
        <f ca="1">D71/'SF Breakdown'!$E$24</f>
        <v>71.821718493713703</v>
      </c>
    </row>
    <row r="72" spans="2:8">
      <c r="B72" s="143"/>
      <c r="C72" s="120"/>
      <c r="D72" s="124"/>
      <c r="E72" s="121"/>
      <c r="F72" s="122"/>
      <c r="G72" s="122"/>
    </row>
    <row r="73" spans="2:8">
      <c r="B73" s="143" t="s">
        <v>133</v>
      </c>
      <c r="C73" s="120">
        <f ca="1">D73/$D$51</f>
        <v>0.23581671466994042</v>
      </c>
      <c r="D73" s="124">
        <f>D31</f>
        <v>5100000</v>
      </c>
      <c r="E73" s="121">
        <f>D73/'Assumptions &amp; Inputs'!$E$11</f>
        <v>5841.9243986254296</v>
      </c>
      <c r="F73" s="122">
        <f>D73/'SF Breakdown'!$C$12</f>
        <v>69.596069868995627</v>
      </c>
      <c r="G73" s="122">
        <f>D73/'SF Breakdown'!$C$24</f>
        <v>93.488781346238454</v>
      </c>
      <c r="H73" s="13" t="s">
        <v>546</v>
      </c>
    </row>
    <row r="74" spans="2:8">
      <c r="B74" s="143" t="s">
        <v>134</v>
      </c>
      <c r="C74" s="120">
        <f ca="1">D74/$D$51</f>
        <v>0.25246260041134799</v>
      </c>
      <c r="D74" s="124">
        <f>D32</f>
        <v>5460000</v>
      </c>
      <c r="E74" s="121">
        <f>D74/'Assumptions &amp; Inputs'!$E$11</f>
        <v>6254.2955326460478</v>
      </c>
      <c r="F74" s="122">
        <f ca="1">D74/'SF Breakdown'!$D$12</f>
        <v>168.89906270300369</v>
      </c>
      <c r="G74" s="122">
        <f ca="1">D74/'SF Breakdown'!$D$24</f>
        <v>221.55404336129135</v>
      </c>
      <c r="H74" s="13" t="s">
        <v>546</v>
      </c>
    </row>
    <row r="75" spans="2:8">
      <c r="B75" s="143" t="s">
        <v>1005</v>
      </c>
      <c r="C75" s="120">
        <f ca="1">D75/$D$51</f>
        <v>1.6645885741407559E-2</v>
      </c>
      <c r="D75" s="124">
        <f>D33</f>
        <v>360000</v>
      </c>
      <c r="E75" s="121">
        <f>D75/'Assumptions &amp; Inputs'!$E$11</f>
        <v>412.37113402061857</v>
      </c>
      <c r="F75" s="122">
        <f>D75/SUM('SF Breakdown'!$D$9:$D$10)</f>
        <v>48.793711032800218</v>
      </c>
      <c r="G75" s="122">
        <f>D75/SUM('SF Breakdown'!$D$21:$D$22)</f>
        <v>51.361801087158121</v>
      </c>
      <c r="H75" s="13" t="s">
        <v>566</v>
      </c>
    </row>
    <row r="76" spans="2:8">
      <c r="B76" s="489">
        <f>B34</f>
        <v>0.125</v>
      </c>
      <c r="C76" s="120">
        <f ca="1">D76/$D$51</f>
        <v>6.3115650102836998E-2</v>
      </c>
      <c r="D76" s="124">
        <f>D34</f>
        <v>1365000</v>
      </c>
      <c r="E76" s="121">
        <f>D76/'Assumptions &amp; Inputs'!$E$11</f>
        <v>1563.573883161512</v>
      </c>
      <c r="F76" s="122">
        <f ca="1">D76/'SF Breakdown'!$E$12</f>
        <v>12.925279574270645</v>
      </c>
      <c r="G76" s="122">
        <f ca="1">D76/'SF Breakdown'!$E$24</f>
        <v>17.23569721236273</v>
      </c>
    </row>
    <row r="77" spans="2:8">
      <c r="B77" s="15" t="s">
        <v>548</v>
      </c>
      <c r="C77" s="126">
        <f ca="1">D77/$D$51</f>
        <v>0.56804085092553303</v>
      </c>
      <c r="D77" s="500">
        <f>SUM(D73:D76)</f>
        <v>12285000</v>
      </c>
      <c r="E77" s="125">
        <f>D77/'Assumptions &amp; Inputs'!$E$11</f>
        <v>14072.164948453608</v>
      </c>
      <c r="F77" s="128">
        <f ca="1">D77/'SF Breakdown'!$E$12</f>
        <v>116.32751616843581</v>
      </c>
      <c r="G77" s="128">
        <f ca="1">D77/'SF Breakdown'!$E$24</f>
        <v>155.12127491126455</v>
      </c>
    </row>
    <row r="78" spans="2:8">
      <c r="B78" s="15"/>
      <c r="C78" s="120"/>
      <c r="D78" s="124"/>
      <c r="E78" s="121"/>
      <c r="F78" s="122"/>
      <c r="G78" s="122"/>
    </row>
    <row r="79" spans="2:8">
      <c r="B79" s="143" t="s">
        <v>40</v>
      </c>
      <c r="C79" s="120">
        <f t="shared" ref="C79:C85" ca="1" si="5">D79/$D$51</f>
        <v>3.9026472692456106E-2</v>
      </c>
      <c r="D79" s="124">
        <f ca="1">SUM(D38:D41,D44,D47)</f>
        <v>844024.18636908079</v>
      </c>
      <c r="E79" s="121">
        <f ca="1">D79/'Assumptions &amp; Inputs'!$E$11</f>
        <v>966.80891909402158</v>
      </c>
      <c r="F79" s="122">
        <f ca="1">D79/'SF Breakdown'!$E$12</f>
        <v>7.9921234990964694</v>
      </c>
      <c r="G79" s="122">
        <f ca="1">D79/'SF Breakdown'!$E$24</f>
        <v>10.657395836020722</v>
      </c>
    </row>
    <row r="80" spans="2:8">
      <c r="B80" s="143" t="s">
        <v>567</v>
      </c>
      <c r="C80" s="120">
        <f t="shared" ca="1" si="5"/>
        <v>1.4565150023731615E-2</v>
      </c>
      <c r="D80" s="124">
        <f>SUM(D46:D46)</f>
        <v>315000</v>
      </c>
      <c r="E80" s="121">
        <f>D80/'Assumptions &amp; Inputs'!$E$11</f>
        <v>360.82474226804123</v>
      </c>
      <c r="F80" s="122">
        <f ca="1">D80/'SF Breakdown'!$E$12</f>
        <v>2.9827568248316871</v>
      </c>
      <c r="G80" s="122">
        <f ca="1">D80/'SF Breakdown'!$E$24</f>
        <v>3.977468587468322</v>
      </c>
    </row>
    <row r="81" spans="2:7">
      <c r="B81" s="143" t="s">
        <v>427</v>
      </c>
      <c r="C81" s="120">
        <f t="shared" ca="1" si="5"/>
        <v>2.8345961741760049E-2</v>
      </c>
      <c r="D81" s="124">
        <f ca="1">D37</f>
        <v>613037.14236420824</v>
      </c>
      <c r="E81" s="121">
        <f ca="1">D81/'Assumptions &amp; Inputs'!$E$11</f>
        <v>702.21894887079986</v>
      </c>
      <c r="F81" s="122">
        <f ca="1">D81/'SF Breakdown'!$E$12</f>
        <v>5.8048911754354187</v>
      </c>
      <c r="G81" s="122">
        <f ca="1">D81/'SF Breakdown'!$E$24</f>
        <v>7.7407491323967745</v>
      </c>
    </row>
    <row r="82" spans="2:7">
      <c r="B82" s="143" t="s">
        <v>41</v>
      </c>
      <c r="C82" s="120">
        <f t="shared" ca="1" si="5"/>
        <v>6.7033244173686543E-2</v>
      </c>
      <c r="D82" s="124">
        <f ca="1">SUM(D42:D43)</f>
        <v>1449725.6726025376</v>
      </c>
      <c r="E82" s="121">
        <f ca="1">D82/'Assumptions &amp; Inputs'!$E$11</f>
        <v>1660.6250545275345</v>
      </c>
      <c r="F82" s="122">
        <f ca="1">D82/'SF Breakdown'!$E$12</f>
        <v>13.727552838377546</v>
      </c>
      <c r="G82" s="122">
        <f ca="1">D82/'SF Breakdown'!$E$24</f>
        <v>18.305518486422152</v>
      </c>
    </row>
    <row r="83" spans="2:7">
      <c r="B83" s="143" t="s">
        <v>87</v>
      </c>
      <c r="C83" s="120">
        <f t="shared" ca="1" si="5"/>
        <v>4.623857150390989E-3</v>
      </c>
      <c r="D83" s="124">
        <f>D45</f>
        <v>100000</v>
      </c>
      <c r="E83" s="121">
        <f>D83/'Assumptions &amp; Inputs'!$E$11</f>
        <v>114.5475372279496</v>
      </c>
      <c r="F83" s="122">
        <f ca="1">D83/'SF Breakdown'!$E$12</f>
        <v>0.94690692851799596</v>
      </c>
      <c r="G83" s="122">
        <f ca="1">D83/'SF Breakdown'!$E$24</f>
        <v>1.262688440466134</v>
      </c>
    </row>
    <row r="84" spans="2:7">
      <c r="B84" s="150">
        <f>B48</f>
        <v>0.1</v>
      </c>
      <c r="C84" s="120">
        <f t="shared" ca="1" si="5"/>
        <v>1.5359468578202532E-2</v>
      </c>
      <c r="D84" s="124">
        <f ca="1">D48</f>
        <v>332178.70013358264</v>
      </c>
      <c r="E84" s="121">
        <f ca="1">D84/'Assumptions &amp; Inputs'!$E$11</f>
        <v>380.50252019883465</v>
      </c>
      <c r="F84" s="122">
        <f ca="1">D84/'SF Breakdown'!$E$12</f>
        <v>3.1454231266259116</v>
      </c>
      <c r="G84" s="122">
        <f ca="1">D84/'SF Breakdown'!$E$24</f>
        <v>4.1943820482774106</v>
      </c>
    </row>
    <row r="85" spans="2:7">
      <c r="B85" s="150" t="s">
        <v>564</v>
      </c>
      <c r="C85" s="126">
        <f t="shared" ca="1" si="5"/>
        <v>0.16895415436022784</v>
      </c>
      <c r="D85" s="500">
        <f ca="1">SUM(D79:D84)</f>
        <v>3653965.7014694093</v>
      </c>
      <c r="E85" s="125">
        <f ca="1">D85/'Assumptions &amp; Inputs'!$E$11</f>
        <v>4185.5277221871811</v>
      </c>
      <c r="F85" s="128">
        <f ca="1">D85/'SF Breakdown'!$E$12</f>
        <v>34.599654392885029</v>
      </c>
      <c r="G85" s="128">
        <f ca="1">D85/'SF Breakdown'!$E$24</f>
        <v>46.138202531051519</v>
      </c>
    </row>
    <row r="86" spans="2:7">
      <c r="B86" s="150"/>
      <c r="C86" s="120"/>
      <c r="D86" s="124"/>
      <c r="E86" s="121"/>
      <c r="F86" s="122"/>
      <c r="G86" s="122"/>
    </row>
    <row r="87" spans="2:7">
      <c r="B87" s="129" t="s">
        <v>128</v>
      </c>
      <c r="C87" s="132">
        <f ca="1">C71+C77+C85</f>
        <v>1.0000000000000002</v>
      </c>
      <c r="D87" s="130">
        <f ca="1">D71+D77+D85</f>
        <v>21626965.70146941</v>
      </c>
      <c r="E87" s="130">
        <f ca="1">D87/'Assumptions &amp; Inputs'!$E$11</f>
        <v>24773.156588166563</v>
      </c>
      <c r="F87" s="133">
        <f ca="1">D87/'SF Breakdown'!$E$12</f>
        <v>204.78723665542446</v>
      </c>
      <c r="G87" s="133">
        <f ca="1">D87/'SF Breakdown'!$E$24</f>
        <v>273.08119593602981</v>
      </c>
    </row>
    <row r="92" spans="2:7">
      <c r="B92" s="109"/>
      <c r="C92" s="123"/>
      <c r="D92" s="109"/>
      <c r="E92" s="121"/>
      <c r="F92" s="121"/>
      <c r="G92" s="122"/>
    </row>
  </sheetData>
  <mergeCells count="2">
    <mergeCell ref="L3:Q3"/>
    <mergeCell ref="B3:G3"/>
  </mergeCells>
  <pageMargins left="0.7" right="0.7" top="0.75" bottom="0.75" header="0.3" footer="0.3"/>
  <ignoredErrors>
    <ignoredError sqref="C76 C8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8745-8265-49D6-86F9-A488C0FA46AD}">
  <sheetPr>
    <tabColor rgb="FF0070C0"/>
  </sheetPr>
  <dimension ref="A2:LD196"/>
  <sheetViews>
    <sheetView showGridLines="0" zoomScaleNormal="100" workbookViewId="0">
      <pane xSplit="5" ySplit="7" topLeftCell="AH8" activePane="bottomRight" state="frozen"/>
      <selection pane="topRight" activeCell="E1" sqref="E1"/>
      <selection pane="bottomLeft" activeCell="A8" sqref="A8"/>
      <selection pane="bottomRight" activeCell="E95" sqref="E95"/>
    </sheetView>
  </sheetViews>
  <sheetFormatPr defaultColWidth="8.7265625" defaultRowHeight="13"/>
  <cols>
    <col min="1" max="1" width="2.6328125" style="13" customWidth="1"/>
    <col min="2" max="2" width="49.08984375" style="13" customWidth="1"/>
    <col min="3" max="3" width="12.81640625" style="13" bestFit="1" customWidth="1"/>
    <col min="4" max="4" width="12.81640625" style="13" customWidth="1"/>
    <col min="5" max="5" width="12.26953125" style="13" bestFit="1" customWidth="1"/>
    <col min="6" max="6" width="2.7265625" style="13" customWidth="1"/>
    <col min="7" max="79" width="14.7265625" style="13" customWidth="1"/>
    <col min="80" max="80" width="8.7265625" style="13"/>
    <col min="81" max="81" width="12.81640625" style="13" bestFit="1" customWidth="1"/>
    <col min="82" max="16384" width="8.7265625" style="13"/>
  </cols>
  <sheetData>
    <row r="2" spans="1:316">
      <c r="B2" s="13" t="str">
        <f>'Assumptions &amp; Inputs'!E5</f>
        <v>Bahlmann Group SS Model</v>
      </c>
    </row>
    <row r="3" spans="1:316" s="33" customFormat="1">
      <c r="A3" s="13"/>
      <c r="B3" s="13">
        <f>'Assumptions &amp; Inputs'!E6</f>
        <v>0</v>
      </c>
      <c r="C3" s="13"/>
      <c r="D3" s="13"/>
      <c r="E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row>
    <row r="4" spans="1:316">
      <c r="B4" s="13">
        <f>'Assumptions &amp; Inputs'!E7</f>
        <v>0</v>
      </c>
      <c r="F4" s="33"/>
      <c r="G4" s="34"/>
      <c r="H4" s="34"/>
      <c r="I4" s="34"/>
      <c r="J4" s="34"/>
      <c r="K4" s="34"/>
      <c r="L4" s="34"/>
      <c r="M4" s="1003"/>
      <c r="N4" s="1003"/>
      <c r="O4" s="1003"/>
      <c r="P4" s="1003">
        <v>1</v>
      </c>
      <c r="Q4" s="1003">
        <f t="shared" ref="Q4" si="0">P4+1</f>
        <v>2</v>
      </c>
      <c r="R4" s="1003">
        <f t="shared" ref="R4" si="1">Q4+1</f>
        <v>3</v>
      </c>
      <c r="S4" s="1003">
        <f t="shared" ref="S4" si="2">R4+1</f>
        <v>4</v>
      </c>
      <c r="T4" s="1003">
        <f t="shared" ref="T4" si="3">S4+1</f>
        <v>5</v>
      </c>
      <c r="U4" s="1003">
        <f t="shared" ref="U4" si="4">T4+1</f>
        <v>6</v>
      </c>
      <c r="V4" s="1003">
        <f t="shared" ref="V4" si="5">U4+1</f>
        <v>7</v>
      </c>
      <c r="W4" s="1003">
        <f t="shared" ref="W4" si="6">V4+1</f>
        <v>8</v>
      </c>
      <c r="X4" s="1003">
        <f t="shared" ref="X4" si="7">W4+1</f>
        <v>9</v>
      </c>
      <c r="Y4" s="1003">
        <f t="shared" ref="Y4" si="8">X4+1</f>
        <v>10</v>
      </c>
      <c r="Z4" s="1003">
        <f t="shared" ref="Z4" si="9">Y4+1</f>
        <v>11</v>
      </c>
      <c r="AA4" s="1003">
        <f t="shared" ref="AA4" si="10">Z4+1</f>
        <v>12</v>
      </c>
      <c r="AB4" s="1003">
        <f t="shared" ref="AB4" si="11">AA4+1</f>
        <v>13</v>
      </c>
      <c r="AC4" s="1003">
        <f t="shared" ref="AC4" si="12">AB4+1</f>
        <v>14</v>
      </c>
      <c r="AD4" s="1003">
        <f t="shared" ref="AD4" si="13">AC4+1</f>
        <v>15</v>
      </c>
      <c r="AE4" s="1003">
        <f t="shared" ref="AE4" si="14">AD4+1</f>
        <v>16</v>
      </c>
      <c r="AF4" s="1003">
        <f t="shared" ref="AF4" si="15">AE4+1</f>
        <v>17</v>
      </c>
      <c r="AG4" s="1003">
        <f t="shared" ref="AG4" si="16">AF4+1</f>
        <v>18</v>
      </c>
      <c r="AH4" s="1003">
        <f t="shared" ref="AH4" si="17">AG4+1</f>
        <v>19</v>
      </c>
      <c r="AI4" s="1003">
        <f t="shared" ref="AI4" si="18">AH4+1</f>
        <v>20</v>
      </c>
      <c r="AJ4" s="1003">
        <f t="shared" ref="AJ4" si="19">AI4+1</f>
        <v>21</v>
      </c>
      <c r="AK4" s="1003">
        <f t="shared" ref="AK4" si="20">AJ4+1</f>
        <v>22</v>
      </c>
      <c r="AL4" s="1003">
        <f t="shared" ref="AL4" si="21">AK4+1</f>
        <v>23</v>
      </c>
      <c r="AM4" s="1003">
        <f t="shared" ref="AM4" si="22">AL4+1</f>
        <v>24</v>
      </c>
      <c r="AN4" s="1003">
        <f t="shared" ref="AN4" si="23">AM4+1</f>
        <v>25</v>
      </c>
      <c r="AO4" s="1003">
        <f t="shared" ref="AO4" si="24">AN4+1</f>
        <v>26</v>
      </c>
      <c r="AP4" s="1003">
        <f t="shared" ref="AP4" si="25">AO4+1</f>
        <v>27</v>
      </c>
      <c r="AQ4" s="1003">
        <f t="shared" ref="AQ4" si="26">AP4+1</f>
        <v>28</v>
      </c>
      <c r="AR4" s="1003">
        <f t="shared" ref="AR4" si="27">AQ4+1</f>
        <v>29</v>
      </c>
      <c r="AS4" s="1003">
        <f t="shared" ref="AS4" si="28">AR4+1</f>
        <v>30</v>
      </c>
      <c r="AT4" s="1003">
        <f t="shared" ref="AT4" si="29">AS4+1</f>
        <v>31</v>
      </c>
      <c r="AU4" s="1003">
        <f t="shared" ref="AU4" si="30">AT4+1</f>
        <v>32</v>
      </c>
      <c r="AV4" s="1003">
        <f t="shared" ref="AV4" si="31">AU4+1</f>
        <v>33</v>
      </c>
      <c r="AW4" s="1003">
        <f t="shared" ref="AW4" si="32">AV4+1</f>
        <v>34</v>
      </c>
      <c r="AX4" s="1003">
        <f t="shared" ref="AX4" si="33">AW4+1</f>
        <v>35</v>
      </c>
      <c r="AY4" s="1003">
        <f t="shared" ref="AY4" si="34">AX4+1</f>
        <v>36</v>
      </c>
      <c r="AZ4" s="1003">
        <f t="shared" ref="AZ4" si="35">AY4+1</f>
        <v>37</v>
      </c>
      <c r="BA4" s="1003">
        <f t="shared" ref="BA4" si="36">AZ4+1</f>
        <v>38</v>
      </c>
      <c r="BB4" s="1003">
        <f t="shared" ref="BB4" si="37">BA4+1</f>
        <v>39</v>
      </c>
      <c r="BC4" s="1003">
        <f t="shared" ref="BC4" si="38">BB4+1</f>
        <v>40</v>
      </c>
      <c r="BD4" s="1003">
        <f t="shared" ref="BD4" si="39">BC4+1</f>
        <v>41</v>
      </c>
      <c r="BE4" s="1003">
        <f t="shared" ref="BE4" si="40">BD4+1</f>
        <v>42</v>
      </c>
      <c r="BF4" s="1003">
        <f t="shared" ref="BF4" si="41">BE4+1</f>
        <v>43</v>
      </c>
      <c r="BG4" s="1003">
        <f t="shared" ref="BG4" si="42">BF4+1</f>
        <v>44</v>
      </c>
      <c r="BH4" s="1003">
        <f t="shared" ref="BH4" si="43">BG4+1</f>
        <v>45</v>
      </c>
      <c r="BI4" s="1003">
        <f t="shared" ref="BI4" si="44">BH4+1</f>
        <v>46</v>
      </c>
      <c r="BJ4" s="1003">
        <f t="shared" ref="BJ4" si="45">BI4+1</f>
        <v>47</v>
      </c>
      <c r="BK4" s="1003">
        <f t="shared" ref="BK4" si="46">BJ4+1</f>
        <v>48</v>
      </c>
      <c r="BL4" s="1003">
        <f t="shared" ref="BL4" si="47">BK4+1</f>
        <v>49</v>
      </c>
      <c r="BM4" s="1003">
        <f t="shared" ref="BM4" si="48">BL4+1</f>
        <v>50</v>
      </c>
      <c r="BN4" s="1003">
        <f t="shared" ref="BN4" si="49">BM4+1</f>
        <v>51</v>
      </c>
      <c r="BO4" s="1003">
        <f t="shared" ref="BO4" si="50">BN4+1</f>
        <v>52</v>
      </c>
      <c r="BP4" s="1003">
        <f t="shared" ref="BP4" si="51">BO4+1</f>
        <v>53</v>
      </c>
      <c r="BQ4" s="1003">
        <f t="shared" ref="BQ4" si="52">BP4+1</f>
        <v>54</v>
      </c>
      <c r="BR4" s="1003">
        <f t="shared" ref="BR4" si="53">BQ4+1</f>
        <v>55</v>
      </c>
      <c r="BS4" s="1003">
        <f t="shared" ref="BS4" si="54">BR4+1</f>
        <v>56</v>
      </c>
      <c r="BT4" s="1003">
        <f t="shared" ref="BT4" si="55">BS4+1</f>
        <v>57</v>
      </c>
      <c r="BU4" s="1003">
        <f t="shared" ref="BU4" si="56">BT4+1</f>
        <v>58</v>
      </c>
      <c r="BV4" s="1003">
        <f t="shared" ref="BV4" si="57">BU4+1</f>
        <v>59</v>
      </c>
      <c r="BW4" s="1003">
        <f t="shared" ref="BW4" si="58">BV4+1</f>
        <v>60</v>
      </c>
      <c r="BX4" s="1003">
        <f t="shared" ref="BX4" si="59">BW4+1</f>
        <v>61</v>
      </c>
      <c r="BY4" s="1003">
        <f t="shared" ref="BY4" si="60">BX4+1</f>
        <v>62</v>
      </c>
      <c r="BZ4" s="1003">
        <f t="shared" ref="BZ4" si="61">BY4+1</f>
        <v>63</v>
      </c>
      <c r="CA4" s="1003">
        <f t="shared" ref="CA4" si="62">BZ4+1</f>
        <v>64</v>
      </c>
    </row>
    <row r="5" spans="1:316">
      <c r="F5" s="33"/>
      <c r="G5" s="35">
        <v>0</v>
      </c>
      <c r="H5" s="35">
        <v>1</v>
      </c>
      <c r="I5" s="35">
        <v>1</v>
      </c>
      <c r="J5" s="35">
        <v>1</v>
      </c>
      <c r="K5" s="35">
        <v>1</v>
      </c>
      <c r="L5" s="35">
        <v>1</v>
      </c>
      <c r="M5" s="35">
        <v>1</v>
      </c>
      <c r="N5" s="35">
        <v>1</v>
      </c>
      <c r="O5" s="35">
        <v>1</v>
      </c>
      <c r="P5" s="35">
        <v>1</v>
      </c>
      <c r="Q5" s="35">
        <v>1</v>
      </c>
      <c r="R5" s="35">
        <v>1</v>
      </c>
      <c r="S5" s="35">
        <v>1</v>
      </c>
      <c r="T5" s="35">
        <v>2</v>
      </c>
      <c r="U5" s="35">
        <v>2</v>
      </c>
      <c r="V5" s="35">
        <v>2</v>
      </c>
      <c r="W5" s="35">
        <v>2</v>
      </c>
      <c r="X5" s="35">
        <v>2</v>
      </c>
      <c r="Y5" s="35">
        <v>2</v>
      </c>
      <c r="Z5" s="35">
        <v>2</v>
      </c>
      <c r="AA5" s="35">
        <v>2</v>
      </c>
      <c r="AB5" s="35">
        <v>2</v>
      </c>
      <c r="AC5" s="35">
        <v>2</v>
      </c>
      <c r="AD5" s="35">
        <v>2</v>
      </c>
      <c r="AE5" s="35">
        <v>2</v>
      </c>
      <c r="AF5" s="35">
        <v>3</v>
      </c>
      <c r="AG5" s="35">
        <v>3</v>
      </c>
      <c r="AH5" s="35">
        <v>3</v>
      </c>
      <c r="AI5" s="35">
        <v>3</v>
      </c>
      <c r="AJ5" s="35">
        <v>3</v>
      </c>
      <c r="AK5" s="35">
        <v>3</v>
      </c>
      <c r="AL5" s="35">
        <v>3</v>
      </c>
      <c r="AM5" s="35">
        <v>3</v>
      </c>
      <c r="AN5" s="35">
        <v>3</v>
      </c>
      <c r="AO5" s="35">
        <v>3</v>
      </c>
      <c r="AP5" s="35">
        <v>3</v>
      </c>
      <c r="AQ5" s="35">
        <v>3</v>
      </c>
      <c r="AR5" s="35">
        <v>4</v>
      </c>
      <c r="AS5" s="35">
        <v>4</v>
      </c>
      <c r="AT5" s="35">
        <v>4</v>
      </c>
      <c r="AU5" s="35">
        <v>4</v>
      </c>
      <c r="AV5" s="35">
        <v>4</v>
      </c>
      <c r="AW5" s="35">
        <v>4</v>
      </c>
      <c r="AX5" s="35">
        <v>4</v>
      </c>
      <c r="AY5" s="35">
        <v>4</v>
      </c>
      <c r="AZ5" s="35">
        <v>4</v>
      </c>
      <c r="BA5" s="35">
        <v>4</v>
      </c>
      <c r="BB5" s="35">
        <v>4</v>
      </c>
      <c r="BC5" s="35">
        <v>4</v>
      </c>
      <c r="BD5" s="35">
        <v>5</v>
      </c>
      <c r="BE5" s="35">
        <v>5</v>
      </c>
      <c r="BF5" s="35">
        <v>5</v>
      </c>
      <c r="BG5" s="35">
        <v>5</v>
      </c>
      <c r="BH5" s="35">
        <v>5</v>
      </c>
      <c r="BI5" s="35">
        <v>5</v>
      </c>
      <c r="BJ5" s="35">
        <v>5</v>
      </c>
      <c r="BK5" s="35">
        <v>5</v>
      </c>
      <c r="BL5" s="35">
        <v>5</v>
      </c>
      <c r="BM5" s="35">
        <v>5</v>
      </c>
      <c r="BN5" s="35">
        <v>5</v>
      </c>
      <c r="BO5" s="35">
        <v>5</v>
      </c>
      <c r="BP5" s="35">
        <v>6</v>
      </c>
      <c r="BQ5" s="35">
        <v>6</v>
      </c>
      <c r="BR5" s="35">
        <v>6</v>
      </c>
      <c r="BS5" s="35">
        <v>6</v>
      </c>
      <c r="BT5" s="35">
        <v>6</v>
      </c>
      <c r="BU5" s="35">
        <v>6</v>
      </c>
      <c r="BV5" s="35">
        <v>6</v>
      </c>
      <c r="BW5" s="35">
        <v>6</v>
      </c>
      <c r="BX5" s="35">
        <v>6</v>
      </c>
      <c r="BY5" s="35">
        <v>6</v>
      </c>
      <c r="BZ5" s="35">
        <v>6</v>
      </c>
      <c r="CA5" s="35">
        <v>6</v>
      </c>
    </row>
    <row r="6" spans="1:316">
      <c r="F6" s="106"/>
      <c r="G6" s="107">
        <v>0</v>
      </c>
      <c r="H6" s="107">
        <f>G6+1</f>
        <v>1</v>
      </c>
      <c r="I6" s="107">
        <f>H6+1</f>
        <v>2</v>
      </c>
      <c r="J6" s="107">
        <f t="shared" ref="J6:BU6" si="63">I6+1</f>
        <v>3</v>
      </c>
      <c r="K6" s="107">
        <f t="shared" si="63"/>
        <v>4</v>
      </c>
      <c r="L6" s="107">
        <f t="shared" si="63"/>
        <v>5</v>
      </c>
      <c r="M6" s="107">
        <f t="shared" si="63"/>
        <v>6</v>
      </c>
      <c r="N6" s="107">
        <f t="shared" si="63"/>
        <v>7</v>
      </c>
      <c r="O6" s="107">
        <f t="shared" si="63"/>
        <v>8</v>
      </c>
      <c r="P6" s="107">
        <f t="shared" si="63"/>
        <v>9</v>
      </c>
      <c r="Q6" s="107">
        <f t="shared" si="63"/>
        <v>10</v>
      </c>
      <c r="R6" s="107">
        <f t="shared" si="63"/>
        <v>11</v>
      </c>
      <c r="S6" s="107">
        <f t="shared" si="63"/>
        <v>12</v>
      </c>
      <c r="T6" s="107">
        <f t="shared" si="63"/>
        <v>13</v>
      </c>
      <c r="U6" s="107">
        <f t="shared" si="63"/>
        <v>14</v>
      </c>
      <c r="V6" s="107">
        <f t="shared" si="63"/>
        <v>15</v>
      </c>
      <c r="W6" s="107">
        <f t="shared" si="63"/>
        <v>16</v>
      </c>
      <c r="X6" s="107">
        <f t="shared" si="63"/>
        <v>17</v>
      </c>
      <c r="Y6" s="107">
        <f t="shared" si="63"/>
        <v>18</v>
      </c>
      <c r="Z6" s="107">
        <f t="shared" si="63"/>
        <v>19</v>
      </c>
      <c r="AA6" s="107">
        <f t="shared" si="63"/>
        <v>20</v>
      </c>
      <c r="AB6" s="107">
        <f t="shared" si="63"/>
        <v>21</v>
      </c>
      <c r="AC6" s="107">
        <f t="shared" si="63"/>
        <v>22</v>
      </c>
      <c r="AD6" s="107">
        <f t="shared" si="63"/>
        <v>23</v>
      </c>
      <c r="AE6" s="107">
        <f t="shared" si="63"/>
        <v>24</v>
      </c>
      <c r="AF6" s="107">
        <f t="shared" si="63"/>
        <v>25</v>
      </c>
      <c r="AG6" s="107">
        <f t="shared" si="63"/>
        <v>26</v>
      </c>
      <c r="AH6" s="107">
        <f t="shared" si="63"/>
        <v>27</v>
      </c>
      <c r="AI6" s="107">
        <f t="shared" si="63"/>
        <v>28</v>
      </c>
      <c r="AJ6" s="107">
        <f t="shared" si="63"/>
        <v>29</v>
      </c>
      <c r="AK6" s="107">
        <f t="shared" si="63"/>
        <v>30</v>
      </c>
      <c r="AL6" s="107">
        <f t="shared" si="63"/>
        <v>31</v>
      </c>
      <c r="AM6" s="107">
        <f t="shared" si="63"/>
        <v>32</v>
      </c>
      <c r="AN6" s="107">
        <f t="shared" si="63"/>
        <v>33</v>
      </c>
      <c r="AO6" s="107">
        <f t="shared" si="63"/>
        <v>34</v>
      </c>
      <c r="AP6" s="107">
        <f t="shared" si="63"/>
        <v>35</v>
      </c>
      <c r="AQ6" s="107">
        <f t="shared" si="63"/>
        <v>36</v>
      </c>
      <c r="AR6" s="107">
        <f t="shared" si="63"/>
        <v>37</v>
      </c>
      <c r="AS6" s="107">
        <f t="shared" si="63"/>
        <v>38</v>
      </c>
      <c r="AT6" s="107">
        <f t="shared" si="63"/>
        <v>39</v>
      </c>
      <c r="AU6" s="107">
        <f t="shared" si="63"/>
        <v>40</v>
      </c>
      <c r="AV6" s="107">
        <f t="shared" si="63"/>
        <v>41</v>
      </c>
      <c r="AW6" s="107">
        <f t="shared" si="63"/>
        <v>42</v>
      </c>
      <c r="AX6" s="107">
        <f t="shared" si="63"/>
        <v>43</v>
      </c>
      <c r="AY6" s="107">
        <f t="shared" si="63"/>
        <v>44</v>
      </c>
      <c r="AZ6" s="107">
        <f t="shared" si="63"/>
        <v>45</v>
      </c>
      <c r="BA6" s="107">
        <f t="shared" si="63"/>
        <v>46</v>
      </c>
      <c r="BB6" s="107">
        <f t="shared" si="63"/>
        <v>47</v>
      </c>
      <c r="BC6" s="107">
        <f t="shared" si="63"/>
        <v>48</v>
      </c>
      <c r="BD6" s="107">
        <f t="shared" si="63"/>
        <v>49</v>
      </c>
      <c r="BE6" s="107">
        <f t="shared" si="63"/>
        <v>50</v>
      </c>
      <c r="BF6" s="107">
        <f t="shared" si="63"/>
        <v>51</v>
      </c>
      <c r="BG6" s="107">
        <f t="shared" si="63"/>
        <v>52</v>
      </c>
      <c r="BH6" s="107">
        <f t="shared" si="63"/>
        <v>53</v>
      </c>
      <c r="BI6" s="107">
        <f t="shared" si="63"/>
        <v>54</v>
      </c>
      <c r="BJ6" s="107">
        <f t="shared" si="63"/>
        <v>55</v>
      </c>
      <c r="BK6" s="107">
        <f t="shared" si="63"/>
        <v>56</v>
      </c>
      <c r="BL6" s="107">
        <f t="shared" si="63"/>
        <v>57</v>
      </c>
      <c r="BM6" s="107">
        <f t="shared" si="63"/>
        <v>58</v>
      </c>
      <c r="BN6" s="107">
        <f t="shared" si="63"/>
        <v>59</v>
      </c>
      <c r="BO6" s="107">
        <f t="shared" si="63"/>
        <v>60</v>
      </c>
      <c r="BP6" s="107">
        <f t="shared" si="63"/>
        <v>61</v>
      </c>
      <c r="BQ6" s="107">
        <f t="shared" si="63"/>
        <v>62</v>
      </c>
      <c r="BR6" s="107">
        <f t="shared" si="63"/>
        <v>63</v>
      </c>
      <c r="BS6" s="107">
        <f t="shared" si="63"/>
        <v>64</v>
      </c>
      <c r="BT6" s="107">
        <f t="shared" si="63"/>
        <v>65</v>
      </c>
      <c r="BU6" s="107">
        <f t="shared" si="63"/>
        <v>66</v>
      </c>
      <c r="BV6" s="107">
        <f t="shared" ref="BV6:CA6" si="64">BU6+1</f>
        <v>67</v>
      </c>
      <c r="BW6" s="107">
        <f t="shared" si="64"/>
        <v>68</v>
      </c>
      <c r="BX6" s="107">
        <f t="shared" si="64"/>
        <v>69</v>
      </c>
      <c r="BY6" s="107">
        <f t="shared" si="64"/>
        <v>70</v>
      </c>
      <c r="BZ6" s="107">
        <f t="shared" si="64"/>
        <v>71</v>
      </c>
      <c r="CA6" s="107">
        <f t="shared" si="64"/>
        <v>72</v>
      </c>
    </row>
    <row r="7" spans="1:316">
      <c r="A7" s="1005" t="s">
        <v>25</v>
      </c>
      <c r="B7" s="1006"/>
      <c r="G7" s="32">
        <f>'Assumptions &amp; Inputs'!E8-1</f>
        <v>45838</v>
      </c>
      <c r="H7" s="32">
        <f>'Assumptions &amp; Inputs'!E8</f>
        <v>45839</v>
      </c>
      <c r="I7" s="32">
        <f>EDATE(H7,1)</f>
        <v>45870</v>
      </c>
      <c r="J7" s="32">
        <f t="shared" ref="J7:BU7" si="65">EDATE(I7,1)</f>
        <v>45901</v>
      </c>
      <c r="K7" s="32">
        <f t="shared" si="65"/>
        <v>45931</v>
      </c>
      <c r="L7" s="32">
        <f t="shared" si="65"/>
        <v>45962</v>
      </c>
      <c r="M7" s="32">
        <f t="shared" si="65"/>
        <v>45992</v>
      </c>
      <c r="N7" s="32">
        <f t="shared" si="65"/>
        <v>46023</v>
      </c>
      <c r="O7" s="32">
        <f t="shared" si="65"/>
        <v>46054</v>
      </c>
      <c r="P7" s="32">
        <f t="shared" si="65"/>
        <v>46082</v>
      </c>
      <c r="Q7" s="32">
        <f t="shared" si="65"/>
        <v>46113</v>
      </c>
      <c r="R7" s="32">
        <f t="shared" si="65"/>
        <v>46143</v>
      </c>
      <c r="S7" s="32">
        <f t="shared" si="65"/>
        <v>46174</v>
      </c>
      <c r="T7" s="32">
        <f t="shared" si="65"/>
        <v>46204</v>
      </c>
      <c r="U7" s="32">
        <f t="shared" si="65"/>
        <v>46235</v>
      </c>
      <c r="V7" s="32">
        <f t="shared" si="65"/>
        <v>46266</v>
      </c>
      <c r="W7" s="32">
        <f t="shared" si="65"/>
        <v>46296</v>
      </c>
      <c r="X7" s="32">
        <f t="shared" si="65"/>
        <v>46327</v>
      </c>
      <c r="Y7" s="32">
        <f t="shared" si="65"/>
        <v>46357</v>
      </c>
      <c r="Z7" s="32">
        <f t="shared" si="65"/>
        <v>46388</v>
      </c>
      <c r="AA7" s="32">
        <f t="shared" si="65"/>
        <v>46419</v>
      </c>
      <c r="AB7" s="32">
        <f t="shared" si="65"/>
        <v>46447</v>
      </c>
      <c r="AC7" s="32">
        <f t="shared" si="65"/>
        <v>46478</v>
      </c>
      <c r="AD7" s="32">
        <f t="shared" si="65"/>
        <v>46508</v>
      </c>
      <c r="AE7" s="32">
        <f t="shared" si="65"/>
        <v>46539</v>
      </c>
      <c r="AF7" s="32">
        <f t="shared" si="65"/>
        <v>46569</v>
      </c>
      <c r="AG7" s="32">
        <f t="shared" si="65"/>
        <v>46600</v>
      </c>
      <c r="AH7" s="32">
        <f t="shared" si="65"/>
        <v>46631</v>
      </c>
      <c r="AI7" s="32">
        <f t="shared" si="65"/>
        <v>46661</v>
      </c>
      <c r="AJ7" s="32">
        <f t="shared" si="65"/>
        <v>46692</v>
      </c>
      <c r="AK7" s="32">
        <f t="shared" si="65"/>
        <v>46722</v>
      </c>
      <c r="AL7" s="32">
        <f t="shared" si="65"/>
        <v>46753</v>
      </c>
      <c r="AM7" s="32">
        <f t="shared" si="65"/>
        <v>46784</v>
      </c>
      <c r="AN7" s="32">
        <f t="shared" si="65"/>
        <v>46813</v>
      </c>
      <c r="AO7" s="32">
        <f t="shared" si="65"/>
        <v>46844</v>
      </c>
      <c r="AP7" s="32">
        <f t="shared" si="65"/>
        <v>46874</v>
      </c>
      <c r="AQ7" s="32">
        <f t="shared" si="65"/>
        <v>46905</v>
      </c>
      <c r="AR7" s="32">
        <f t="shared" si="65"/>
        <v>46935</v>
      </c>
      <c r="AS7" s="32">
        <f t="shared" si="65"/>
        <v>46966</v>
      </c>
      <c r="AT7" s="32">
        <f t="shared" si="65"/>
        <v>46997</v>
      </c>
      <c r="AU7" s="32">
        <f t="shared" si="65"/>
        <v>47027</v>
      </c>
      <c r="AV7" s="32">
        <f t="shared" si="65"/>
        <v>47058</v>
      </c>
      <c r="AW7" s="32">
        <f t="shared" si="65"/>
        <v>47088</v>
      </c>
      <c r="AX7" s="32">
        <f t="shared" si="65"/>
        <v>47119</v>
      </c>
      <c r="AY7" s="32">
        <f t="shared" si="65"/>
        <v>47150</v>
      </c>
      <c r="AZ7" s="32">
        <f t="shared" si="65"/>
        <v>47178</v>
      </c>
      <c r="BA7" s="32">
        <f t="shared" si="65"/>
        <v>47209</v>
      </c>
      <c r="BB7" s="32">
        <f t="shared" si="65"/>
        <v>47239</v>
      </c>
      <c r="BC7" s="32">
        <f t="shared" si="65"/>
        <v>47270</v>
      </c>
      <c r="BD7" s="32">
        <f t="shared" si="65"/>
        <v>47300</v>
      </c>
      <c r="BE7" s="32">
        <f t="shared" si="65"/>
        <v>47331</v>
      </c>
      <c r="BF7" s="32">
        <f t="shared" si="65"/>
        <v>47362</v>
      </c>
      <c r="BG7" s="32">
        <f t="shared" si="65"/>
        <v>47392</v>
      </c>
      <c r="BH7" s="32">
        <f t="shared" si="65"/>
        <v>47423</v>
      </c>
      <c r="BI7" s="32">
        <f t="shared" si="65"/>
        <v>47453</v>
      </c>
      <c r="BJ7" s="32">
        <f t="shared" si="65"/>
        <v>47484</v>
      </c>
      <c r="BK7" s="32">
        <f t="shared" si="65"/>
        <v>47515</v>
      </c>
      <c r="BL7" s="32">
        <f t="shared" si="65"/>
        <v>47543</v>
      </c>
      <c r="BM7" s="32">
        <f t="shared" si="65"/>
        <v>47574</v>
      </c>
      <c r="BN7" s="32">
        <f t="shared" si="65"/>
        <v>47604</v>
      </c>
      <c r="BO7" s="32">
        <f t="shared" si="65"/>
        <v>47635</v>
      </c>
      <c r="BP7" s="32">
        <f t="shared" si="65"/>
        <v>47665</v>
      </c>
      <c r="BQ7" s="32">
        <f t="shared" si="65"/>
        <v>47696</v>
      </c>
      <c r="BR7" s="32">
        <f t="shared" si="65"/>
        <v>47727</v>
      </c>
      <c r="BS7" s="32">
        <f t="shared" si="65"/>
        <v>47757</v>
      </c>
      <c r="BT7" s="32">
        <f t="shared" si="65"/>
        <v>47788</v>
      </c>
      <c r="BU7" s="32">
        <f t="shared" si="65"/>
        <v>47818</v>
      </c>
      <c r="BV7" s="32">
        <f t="shared" ref="BV7:CA7" si="66">EDATE(BU7,1)</f>
        <v>47849</v>
      </c>
      <c r="BW7" s="32">
        <f t="shared" si="66"/>
        <v>47880</v>
      </c>
      <c r="BX7" s="32">
        <f t="shared" si="66"/>
        <v>47908</v>
      </c>
      <c r="BY7" s="32">
        <f t="shared" si="66"/>
        <v>47939</v>
      </c>
      <c r="BZ7" s="32">
        <f t="shared" si="66"/>
        <v>47969</v>
      </c>
      <c r="CA7" s="32">
        <f t="shared" si="66"/>
        <v>48000</v>
      </c>
    </row>
    <row r="8" spans="1:316" ht="13.15" customHeight="1">
      <c r="A8" s="1061" t="s">
        <v>543</v>
      </c>
      <c r="B8" s="1059"/>
      <c r="C8" s="353" t="s">
        <v>11</v>
      </c>
      <c r="D8" s="353" t="s">
        <v>15</v>
      </c>
      <c r="E8" s="353" t="s">
        <v>128</v>
      </c>
    </row>
    <row r="9" spans="1:316" ht="13.15" customHeight="1">
      <c r="B9" s="8" t="s">
        <v>388</v>
      </c>
      <c r="C9" s="354">
        <f>'SF Breakdown'!C18</f>
        <v>54552</v>
      </c>
      <c r="D9" s="354">
        <f>'SF Breakdown'!D18</f>
        <v>17134</v>
      </c>
      <c r="E9" s="354">
        <f>SUM(C9:D9)</f>
        <v>71686</v>
      </c>
      <c r="G9" s="84">
        <v>0</v>
      </c>
      <c r="H9" s="84">
        <f>IF(H6&gt;='Assumptions &amp; Inputs'!$D$25,SUM($C$9:$D$9),$C$9)</f>
        <v>54552</v>
      </c>
      <c r="I9" s="84">
        <f>IF(I6&gt;='Assumptions &amp; Inputs'!$D$25,SUM($C$9:$D$9),$C$9)</f>
        <v>54552</v>
      </c>
      <c r="J9" s="84">
        <f>IF(J6&gt;='Assumptions &amp; Inputs'!$D$25,SUM($C$9:$D$9),$C$9)</f>
        <v>54552</v>
      </c>
      <c r="K9" s="84">
        <f>IF(K6&gt;='Assumptions &amp; Inputs'!$D$25,SUM($C$9:$D$9),$C$9)</f>
        <v>54552</v>
      </c>
      <c r="L9" s="84">
        <f>IF(L6&gt;='Assumptions &amp; Inputs'!$D$25,SUM($C$9:$D$9),$C$9)</f>
        <v>54552</v>
      </c>
      <c r="M9" s="84">
        <f>IF(M6&gt;='Assumptions &amp; Inputs'!$D$25,SUM($C$9:$D$9),$C$9)</f>
        <v>54552</v>
      </c>
      <c r="N9" s="84">
        <f>IF(N6&gt;='Assumptions &amp; Inputs'!$D$25,SUM($C$9:$D$9),$C$9)</f>
        <v>54552</v>
      </c>
      <c r="O9" s="84">
        <f>IF(O6&gt;='Assumptions &amp; Inputs'!$D$25,SUM($C$9:$D$9),$C$9)</f>
        <v>54552</v>
      </c>
      <c r="P9" s="84">
        <f>IF(P6&gt;='Assumptions &amp; Inputs'!$D$25,SUM($C$9:$D$9),$C$9)</f>
        <v>54552</v>
      </c>
      <c r="Q9" s="84">
        <f>IF(Q6&gt;='Assumptions &amp; Inputs'!$D$25,SUM($C$9:$D$9),$C$9)</f>
        <v>54552</v>
      </c>
      <c r="R9" s="84">
        <f>IF(R6&gt;='Assumptions &amp; Inputs'!$D$25,SUM($C$9:$D$9),$C$9)</f>
        <v>54552</v>
      </c>
      <c r="S9" s="84">
        <f>IF(S6&gt;='Assumptions &amp; Inputs'!$D$25,SUM($C$9:$D$9),$C$9)</f>
        <v>54552</v>
      </c>
      <c r="T9" s="84">
        <f>IF(T6&gt;='Assumptions &amp; Inputs'!$D$25,SUM($C$9:$D$9),$C$9)</f>
        <v>54552</v>
      </c>
      <c r="U9" s="84">
        <f>IF(U6&gt;='Assumptions &amp; Inputs'!$D$25,SUM($C$9:$D$9),$C$9)</f>
        <v>71686</v>
      </c>
      <c r="V9" s="84">
        <f>IF(V6&gt;='Assumptions &amp; Inputs'!$D$25,SUM($C$9:$D$9),$C$9)</f>
        <v>71686</v>
      </c>
      <c r="W9" s="84">
        <f>IF(W6&gt;='Assumptions &amp; Inputs'!$D$25,SUM($C$9:$D$9),$C$9)</f>
        <v>71686</v>
      </c>
      <c r="X9" s="84">
        <f>IF(X6&gt;='Assumptions &amp; Inputs'!$D$25,SUM($C$9:$D$9),$C$9)</f>
        <v>71686</v>
      </c>
      <c r="Y9" s="84">
        <f>IF(Y6&gt;='Assumptions &amp; Inputs'!$D$25,SUM($C$9:$D$9),$C$9)</f>
        <v>71686</v>
      </c>
      <c r="Z9" s="84">
        <f>IF(Z6&gt;='Assumptions &amp; Inputs'!$D$25,SUM($C$9:$D$9),$C$9)</f>
        <v>71686</v>
      </c>
      <c r="AA9" s="84">
        <f>IF(AA6&gt;='Assumptions &amp; Inputs'!$D$25,SUM($C$9:$D$9),$C$9)</f>
        <v>71686</v>
      </c>
      <c r="AB9" s="84">
        <f>IF(AB6&gt;='Assumptions &amp; Inputs'!$D$25,SUM($C$9:$D$9),$C$9)</f>
        <v>71686</v>
      </c>
      <c r="AC9" s="84">
        <f>IF(AC6&gt;='Assumptions &amp; Inputs'!$D$25,SUM($C$9:$D$9),$C$9)</f>
        <v>71686</v>
      </c>
      <c r="AD9" s="84">
        <f>IF(AD6&gt;='Assumptions &amp; Inputs'!$D$25,SUM($C$9:$D$9),$C$9)</f>
        <v>71686</v>
      </c>
      <c r="AE9" s="84">
        <f>IF(AE6&gt;='Assumptions &amp; Inputs'!$D$25,SUM($C$9:$D$9),$C$9)</f>
        <v>71686</v>
      </c>
      <c r="AF9" s="84">
        <f>IF(AF6&gt;='Assumptions &amp; Inputs'!$D$25,SUM($C$9:$D$9),$C$9)</f>
        <v>71686</v>
      </c>
      <c r="AG9" s="84">
        <f>IF(AG6&gt;='Assumptions &amp; Inputs'!$D$25,SUM($C$9:$D$9),$C$9)</f>
        <v>71686</v>
      </c>
      <c r="AH9" s="84">
        <f>IF(AH6&gt;='Assumptions &amp; Inputs'!$D$25,SUM($C$9:$D$9),$C$9)</f>
        <v>71686</v>
      </c>
      <c r="AI9" s="84">
        <f>IF(AI6&gt;='Assumptions &amp; Inputs'!$D$25,SUM($C$9:$D$9),$C$9)</f>
        <v>71686</v>
      </c>
      <c r="AJ9" s="84">
        <f>IF(AJ6&gt;='Assumptions &amp; Inputs'!$D$25,SUM($C$9:$D$9),$C$9)</f>
        <v>71686</v>
      </c>
      <c r="AK9" s="84">
        <f>IF(AK6&gt;='Assumptions &amp; Inputs'!$D$25,SUM($C$9:$D$9),$C$9)</f>
        <v>71686</v>
      </c>
      <c r="AL9" s="84">
        <f>IF(AL6&gt;='Assumptions &amp; Inputs'!$D$25,SUM($C$9:$D$9),$C$9)</f>
        <v>71686</v>
      </c>
      <c r="AM9" s="84">
        <f>IF(AM6&gt;='Assumptions &amp; Inputs'!$D$25,SUM($C$9:$D$9),$C$9)</f>
        <v>71686</v>
      </c>
      <c r="AN9" s="84">
        <f>IF(AN6&gt;='Assumptions &amp; Inputs'!$D$25,SUM($C$9:$D$9),$C$9)</f>
        <v>71686</v>
      </c>
      <c r="AO9" s="84">
        <f>IF(AO6&gt;='Assumptions &amp; Inputs'!$D$25,SUM($C$9:$D$9),$C$9)</f>
        <v>71686</v>
      </c>
      <c r="AP9" s="84">
        <f>IF(AP6&gt;='Assumptions &amp; Inputs'!$D$25,SUM($C$9:$D$9),$C$9)</f>
        <v>71686</v>
      </c>
      <c r="AQ9" s="84">
        <f>IF(AQ6&gt;='Assumptions &amp; Inputs'!$D$25,SUM($C$9:$D$9),$C$9)</f>
        <v>71686</v>
      </c>
      <c r="AR9" s="84">
        <f>IF(AR6&gt;='Assumptions &amp; Inputs'!$D$25,SUM($C$9:$D$9),$C$9)</f>
        <v>71686</v>
      </c>
      <c r="AS9" s="84">
        <f>IF(AS6&gt;='Assumptions &amp; Inputs'!$D$25,SUM($C$9:$D$9),$C$9)</f>
        <v>71686</v>
      </c>
      <c r="AT9" s="84">
        <f>IF(AT6&gt;='Assumptions &amp; Inputs'!$D$25,SUM($C$9:$D$9),$C$9)</f>
        <v>71686</v>
      </c>
      <c r="AU9" s="84">
        <f>IF(AU6&gt;='Assumptions &amp; Inputs'!$D$25,SUM($C$9:$D$9),$C$9)</f>
        <v>71686</v>
      </c>
      <c r="AV9" s="84">
        <f>IF(AV6&gt;='Assumptions &amp; Inputs'!$D$25,SUM($C$9:$D$9),$C$9)</f>
        <v>71686</v>
      </c>
      <c r="AW9" s="84">
        <f>IF(AW6&gt;='Assumptions &amp; Inputs'!$D$25,SUM($C$9:$D$9),$C$9)</f>
        <v>71686</v>
      </c>
      <c r="AX9" s="84">
        <f>IF(AX6&gt;='Assumptions &amp; Inputs'!$D$25,SUM($C$9:$D$9),$C$9)</f>
        <v>71686</v>
      </c>
      <c r="AY9" s="84">
        <f>IF(AY6&gt;='Assumptions &amp; Inputs'!$D$25,SUM($C$9:$D$9),$C$9)</f>
        <v>71686</v>
      </c>
      <c r="AZ9" s="84">
        <f>IF(AZ6&gt;='Assumptions &amp; Inputs'!$D$25,SUM($C$9:$D$9),$C$9)</f>
        <v>71686</v>
      </c>
      <c r="BA9" s="84">
        <f>IF(BA6&gt;='Assumptions &amp; Inputs'!$D$25,SUM($C$9:$D$9),$C$9)</f>
        <v>71686</v>
      </c>
      <c r="BB9" s="84">
        <f>IF(BB6&gt;='Assumptions &amp; Inputs'!$D$25,SUM($C$9:$D$9),$C$9)</f>
        <v>71686</v>
      </c>
      <c r="BC9" s="84">
        <f>IF(BC6&gt;='Assumptions &amp; Inputs'!$D$25,SUM($C$9:$D$9),$C$9)</f>
        <v>71686</v>
      </c>
      <c r="BD9" s="84">
        <f>IF(BD6&gt;='Assumptions &amp; Inputs'!$D$25,SUM($C$9:$D$9),$C$9)</f>
        <v>71686</v>
      </c>
      <c r="BE9" s="84">
        <f>IF(BE6&gt;='Assumptions &amp; Inputs'!$D$25,SUM($C$9:$D$9),$C$9)</f>
        <v>71686</v>
      </c>
      <c r="BF9" s="84">
        <f>IF(BF6&gt;='Assumptions &amp; Inputs'!$D$25,SUM($C$9:$D$9),$C$9)</f>
        <v>71686</v>
      </c>
      <c r="BG9" s="84">
        <f>IF(BG6&gt;='Assumptions &amp; Inputs'!$D$25,SUM($C$9:$D$9),$C$9)</f>
        <v>71686</v>
      </c>
      <c r="BH9" s="84">
        <f>IF(BH6&gt;='Assumptions &amp; Inputs'!$D$25,SUM($C$9:$D$9),$C$9)</f>
        <v>71686</v>
      </c>
      <c r="BI9" s="84">
        <f>IF(BI6&gt;='Assumptions &amp; Inputs'!$D$25,SUM($C$9:$D$9),$C$9)</f>
        <v>71686</v>
      </c>
      <c r="BJ9" s="84">
        <f>IF(BJ6&gt;='Assumptions &amp; Inputs'!$D$25,SUM($C$9:$D$9),$C$9)</f>
        <v>71686</v>
      </c>
      <c r="BK9" s="84">
        <f>IF(BK6&gt;='Assumptions &amp; Inputs'!$D$25,SUM($C$9:$D$9),$C$9)</f>
        <v>71686</v>
      </c>
      <c r="BL9" s="84">
        <f>IF(BL6&gt;='Assumptions &amp; Inputs'!$D$25,SUM($C$9:$D$9),$C$9)</f>
        <v>71686</v>
      </c>
      <c r="BM9" s="84">
        <f>IF(BM6&gt;='Assumptions &amp; Inputs'!$D$25,SUM($C$9:$D$9),$C$9)</f>
        <v>71686</v>
      </c>
      <c r="BN9" s="84">
        <f>IF(BN6&gt;='Assumptions &amp; Inputs'!$D$25,SUM($C$9:$D$9),$C$9)</f>
        <v>71686</v>
      </c>
      <c r="BO9" s="84">
        <f>IF(BO6&gt;='Assumptions &amp; Inputs'!$D$25,SUM($C$9:$D$9),$C$9)</f>
        <v>71686</v>
      </c>
      <c r="BP9" s="84">
        <f>IF(BP6&gt;='Assumptions &amp; Inputs'!$D$25,SUM($C$9:$D$9),$C$9)</f>
        <v>71686</v>
      </c>
      <c r="BQ9" s="84">
        <f>IF(BQ6&gt;='Assumptions &amp; Inputs'!$D$25,SUM($C$9:$D$9),$C$9)</f>
        <v>71686</v>
      </c>
      <c r="BR9" s="84">
        <f>IF(BR6&gt;='Assumptions &amp; Inputs'!$D$25,SUM($C$9:$D$9),$C$9)</f>
        <v>71686</v>
      </c>
      <c r="BS9" s="84">
        <f>IF(BS6&gt;='Assumptions &amp; Inputs'!$D$25,SUM($C$9:$D$9),$C$9)</f>
        <v>71686</v>
      </c>
      <c r="BT9" s="84">
        <f>IF(BT6&gt;='Assumptions &amp; Inputs'!$D$25,SUM($C$9:$D$9),$C$9)</f>
        <v>71686</v>
      </c>
      <c r="BU9" s="84">
        <f>IF(BU6&gt;='Assumptions &amp; Inputs'!$D$25,SUM($C$9:$D$9),$C$9)</f>
        <v>71686</v>
      </c>
      <c r="BV9" s="84">
        <f>IF(BV6&gt;='Assumptions &amp; Inputs'!$D$25,SUM($C$9:$D$9),$C$9)</f>
        <v>71686</v>
      </c>
      <c r="BW9" s="84">
        <f>IF(BW6&gt;='Assumptions &amp; Inputs'!$D$25,SUM($C$9:$D$9),$C$9)</f>
        <v>71686</v>
      </c>
      <c r="BX9" s="84">
        <f>IF(BX6&gt;='Assumptions &amp; Inputs'!$D$25,SUM($C$9:$D$9),$C$9)</f>
        <v>71686</v>
      </c>
      <c r="BY9" s="84">
        <f>IF(BY6&gt;='Assumptions &amp; Inputs'!$D$25,SUM($C$9:$D$9),$C$9)</f>
        <v>71686</v>
      </c>
      <c r="BZ9" s="84">
        <f>IF(BZ6&gt;='Assumptions &amp; Inputs'!$D$25,SUM($C$9:$D$9),$C$9)</f>
        <v>71686</v>
      </c>
      <c r="CA9" s="84">
        <f>IF(CA6&gt;='Assumptions &amp; Inputs'!$D$25,SUM($C$9:$D$9),$C$9)</f>
        <v>71686</v>
      </c>
    </row>
    <row r="10" spans="1:316">
      <c r="B10" s="10" t="s">
        <v>81</v>
      </c>
    </row>
    <row r="11" spans="1:316">
      <c r="B11" s="31" t="s">
        <v>78</v>
      </c>
      <c r="C11" s="1002">
        <f>'SF Breakdown'!C28</f>
        <v>665</v>
      </c>
      <c r="D11" s="357"/>
      <c r="E11" s="37">
        <f>MAX(G11:CA11)</f>
        <v>665</v>
      </c>
      <c r="G11" s="13">
        <v>0</v>
      </c>
      <c r="H11" s="13">
        <f>IF(H6&gt;='Assumptions &amp; Inputs'!$D$20,$C$11,0)</f>
        <v>0</v>
      </c>
      <c r="I11" s="13">
        <f>IF(I6&gt;='Assumptions &amp; Inputs'!$D$20,$C$11,0)</f>
        <v>0</v>
      </c>
      <c r="J11" s="13">
        <f>IF(J6&gt;='Assumptions &amp; Inputs'!$D$20,$C$11,0)</f>
        <v>0</v>
      </c>
      <c r="K11" s="13">
        <f>IF(K6&gt;='Assumptions &amp; Inputs'!$D$20,$C$11,0)</f>
        <v>0</v>
      </c>
      <c r="L11" s="13">
        <f>IF(L6&gt;='Assumptions &amp; Inputs'!$D$20,$C$11,0)</f>
        <v>0</v>
      </c>
      <c r="M11" s="13">
        <f>IF(M6&gt;='Assumptions &amp; Inputs'!$D$20,$C$11,0)</f>
        <v>0</v>
      </c>
      <c r="N11" s="13">
        <f>IF(N6&gt;='Assumptions &amp; Inputs'!$D$20,$C$11,0)</f>
        <v>0</v>
      </c>
      <c r="O11" s="13">
        <f>IF(O6&gt;='Assumptions &amp; Inputs'!$D$20,$C$11,0)</f>
        <v>665</v>
      </c>
      <c r="P11" s="13">
        <f>IF(P6&gt;='Assumptions &amp; Inputs'!$D$20,$C$11,0)</f>
        <v>665</v>
      </c>
      <c r="Q11" s="13">
        <f>IF(Q6&gt;='Assumptions &amp; Inputs'!$D$20,$C$11,0)</f>
        <v>665</v>
      </c>
      <c r="R11" s="13">
        <f>IF(R6&gt;='Assumptions &amp; Inputs'!$D$20,$C$11,0)</f>
        <v>665</v>
      </c>
      <c r="S11" s="13">
        <f>IF(S6&gt;='Assumptions &amp; Inputs'!$D$20,$C$11,0)</f>
        <v>665</v>
      </c>
      <c r="T11" s="13">
        <f>IF(T6&gt;='Assumptions &amp; Inputs'!$D$20,$C$11,0)</f>
        <v>665</v>
      </c>
      <c r="U11" s="13">
        <f>IF(U6&gt;='Assumptions &amp; Inputs'!$D$20,$C$11,0)</f>
        <v>665</v>
      </c>
      <c r="V11" s="13">
        <f>IF(V6&gt;='Assumptions &amp; Inputs'!$D$20,$C$11,0)</f>
        <v>665</v>
      </c>
      <c r="W11" s="13">
        <f>IF(W6&gt;='Assumptions &amp; Inputs'!$D$20,$C$11,0)</f>
        <v>665</v>
      </c>
      <c r="X11" s="13">
        <f>IF(X6&gt;='Assumptions &amp; Inputs'!$D$20,$C$11,0)</f>
        <v>665</v>
      </c>
      <c r="Y11" s="13">
        <f>IF(Y6&gt;='Assumptions &amp; Inputs'!$D$20,$C$11,0)</f>
        <v>665</v>
      </c>
      <c r="Z11" s="13">
        <f>IF(Z6&gt;='Assumptions &amp; Inputs'!$D$20,$C$11,0)</f>
        <v>665</v>
      </c>
      <c r="AA11" s="13">
        <f>IF(AA6&gt;='Assumptions &amp; Inputs'!$D$20,$C$11,0)</f>
        <v>665</v>
      </c>
      <c r="AB11" s="13">
        <f>IF(AB6&gt;='Assumptions &amp; Inputs'!$D$20,$C$11,0)</f>
        <v>665</v>
      </c>
      <c r="AC11" s="13">
        <f>IF(AC6&gt;='Assumptions &amp; Inputs'!$D$20,$C$11,0)</f>
        <v>665</v>
      </c>
      <c r="AD11" s="13">
        <f>IF(AD6&gt;='Assumptions &amp; Inputs'!$D$20,$C$11,0)</f>
        <v>665</v>
      </c>
      <c r="AE11" s="13">
        <f>IF(AE6&gt;='Assumptions &amp; Inputs'!$D$20,$C$11,0)</f>
        <v>665</v>
      </c>
      <c r="AF11" s="13">
        <f>IF(AF6&gt;='Assumptions &amp; Inputs'!$D$20,$C$11,0)</f>
        <v>665</v>
      </c>
      <c r="AG11" s="13">
        <f>IF(AG6&gt;='Assumptions &amp; Inputs'!$D$20,$C$11,0)</f>
        <v>665</v>
      </c>
      <c r="AH11" s="13">
        <f>IF(AH6&gt;='Assumptions &amp; Inputs'!$D$20,$C$11,0)</f>
        <v>665</v>
      </c>
      <c r="AI11" s="13">
        <f>IF(AI6&gt;='Assumptions &amp; Inputs'!$D$20,$C$11,0)</f>
        <v>665</v>
      </c>
      <c r="AJ11" s="13">
        <f>IF(AJ6&gt;='Assumptions &amp; Inputs'!$D$20,$C$11,0)</f>
        <v>665</v>
      </c>
      <c r="AK11" s="13">
        <f>IF(AK6&gt;='Assumptions &amp; Inputs'!$D$20,$C$11,0)</f>
        <v>665</v>
      </c>
      <c r="AL11" s="13">
        <f>IF(AL6&gt;='Assumptions &amp; Inputs'!$D$20,$C$11,0)</f>
        <v>665</v>
      </c>
      <c r="AM11" s="13">
        <f>IF(AM6&gt;='Assumptions &amp; Inputs'!$D$20,$C$11,0)</f>
        <v>665</v>
      </c>
      <c r="AN11" s="13">
        <f>IF(AN6&gt;='Assumptions &amp; Inputs'!$D$20,$C$11,0)</f>
        <v>665</v>
      </c>
      <c r="AO11" s="13">
        <f>IF(AO6&gt;='Assumptions &amp; Inputs'!$D$20,$C$11,0)</f>
        <v>665</v>
      </c>
      <c r="AP11" s="13">
        <f>IF(AP6&gt;='Assumptions &amp; Inputs'!$D$20,$C$11,0)</f>
        <v>665</v>
      </c>
      <c r="AQ11" s="13">
        <f>IF(AQ6&gt;='Assumptions &amp; Inputs'!$D$20,$C$11,0)</f>
        <v>665</v>
      </c>
      <c r="AR11" s="13">
        <f>IF(AR6&gt;='Assumptions &amp; Inputs'!$D$20,$C$11,0)</f>
        <v>665</v>
      </c>
      <c r="AS11" s="13">
        <f>IF(AS6&gt;='Assumptions &amp; Inputs'!$D$20,$C$11,0)</f>
        <v>665</v>
      </c>
      <c r="AT11" s="13">
        <f>IF(AT6&gt;='Assumptions &amp; Inputs'!$D$20,$C$11,0)</f>
        <v>665</v>
      </c>
      <c r="AU11" s="13">
        <f>IF(AU6&gt;='Assumptions &amp; Inputs'!$D$20,$C$11,0)</f>
        <v>665</v>
      </c>
      <c r="AV11" s="13">
        <f>IF(AV6&gt;='Assumptions &amp; Inputs'!$D$20,$C$11,0)</f>
        <v>665</v>
      </c>
      <c r="AW11" s="13">
        <f>IF(AW6&gt;='Assumptions &amp; Inputs'!$D$20,$C$11,0)</f>
        <v>665</v>
      </c>
      <c r="AX11" s="13">
        <f>IF(AX6&gt;='Assumptions &amp; Inputs'!$D$20,$C$11,0)</f>
        <v>665</v>
      </c>
      <c r="AY11" s="13">
        <f>IF(AY6&gt;='Assumptions &amp; Inputs'!$D$20,$C$11,0)</f>
        <v>665</v>
      </c>
      <c r="AZ11" s="13">
        <f>IF(AZ6&gt;='Assumptions &amp; Inputs'!$D$20,$C$11,0)</f>
        <v>665</v>
      </c>
      <c r="BA11" s="13">
        <f>IF(BA6&gt;='Assumptions &amp; Inputs'!$D$20,$C$11,0)</f>
        <v>665</v>
      </c>
      <c r="BB11" s="13">
        <f>IF(BB6&gt;='Assumptions &amp; Inputs'!$D$20,$C$11,0)</f>
        <v>665</v>
      </c>
      <c r="BC11" s="13">
        <f>IF(BC6&gt;='Assumptions &amp; Inputs'!$D$20,$C$11,0)</f>
        <v>665</v>
      </c>
      <c r="BD11" s="13">
        <f>IF(BD6&gt;='Assumptions &amp; Inputs'!$D$20,$C$11,0)</f>
        <v>665</v>
      </c>
      <c r="BE11" s="13">
        <f>IF(BE6&gt;='Assumptions &amp; Inputs'!$D$20,$C$11,0)</f>
        <v>665</v>
      </c>
      <c r="BF11" s="13">
        <f>IF(BF6&gt;='Assumptions &amp; Inputs'!$D$20,$C$11,0)</f>
        <v>665</v>
      </c>
      <c r="BG11" s="13">
        <f>IF(BG6&gt;='Assumptions &amp; Inputs'!$D$20,$C$11,0)</f>
        <v>665</v>
      </c>
      <c r="BH11" s="13">
        <f>IF(BH6&gt;='Assumptions &amp; Inputs'!$D$20,$C$11,0)</f>
        <v>665</v>
      </c>
      <c r="BI11" s="13">
        <f>IF(BI6&gt;='Assumptions &amp; Inputs'!$D$20,$C$11,0)</f>
        <v>665</v>
      </c>
      <c r="BJ11" s="13">
        <f>IF(BJ6&gt;='Assumptions &amp; Inputs'!$D$20,$C$11,0)</f>
        <v>665</v>
      </c>
      <c r="BK11" s="13">
        <f>IF(BK6&gt;='Assumptions &amp; Inputs'!$D$20,$C$11,0)</f>
        <v>665</v>
      </c>
      <c r="BL11" s="13">
        <f>IF(BL6&gt;='Assumptions &amp; Inputs'!$D$20,$C$11,0)</f>
        <v>665</v>
      </c>
      <c r="BM11" s="13">
        <f>IF(BM6&gt;='Assumptions &amp; Inputs'!$D$20,$C$11,0)</f>
        <v>665</v>
      </c>
      <c r="BN11" s="13">
        <f>IF(BN6&gt;='Assumptions &amp; Inputs'!$D$20,$C$11,0)</f>
        <v>665</v>
      </c>
      <c r="BO11" s="13">
        <f>IF(BO6&gt;='Assumptions &amp; Inputs'!$D$20,$C$11,0)</f>
        <v>665</v>
      </c>
      <c r="BP11" s="13">
        <f>IF(BP6&gt;='Assumptions &amp; Inputs'!$D$20,$C$11,0)</f>
        <v>665</v>
      </c>
      <c r="BQ11" s="13">
        <f>IF(BQ6&gt;='Assumptions &amp; Inputs'!$D$20,$C$11,0)</f>
        <v>665</v>
      </c>
      <c r="BR11" s="13">
        <f>IF(BR6&gt;='Assumptions &amp; Inputs'!$D$20,$C$11,0)</f>
        <v>665</v>
      </c>
      <c r="BS11" s="13">
        <f>IF(BS6&gt;='Assumptions &amp; Inputs'!$D$20,$C$11,0)</f>
        <v>665</v>
      </c>
      <c r="BT11" s="13">
        <f>IF(BT6&gt;='Assumptions &amp; Inputs'!$D$20,$C$11,0)</f>
        <v>665</v>
      </c>
      <c r="BU11" s="13">
        <f>IF(BU6&gt;='Assumptions &amp; Inputs'!$D$20,$C$11,0)</f>
        <v>665</v>
      </c>
      <c r="BV11" s="13">
        <f>IF(BV6&gt;='Assumptions &amp; Inputs'!$D$20,$C$11,0)</f>
        <v>665</v>
      </c>
      <c r="BW11" s="13">
        <f>IF(BW6&gt;='Assumptions &amp; Inputs'!$D$20,$C$11,0)</f>
        <v>665</v>
      </c>
      <c r="BX11" s="13">
        <f>IF(BX6&gt;='Assumptions &amp; Inputs'!$D$20,$C$11,0)</f>
        <v>665</v>
      </c>
      <c r="BY11" s="13">
        <f>IF(BY6&gt;='Assumptions &amp; Inputs'!$D$20,$C$11,0)</f>
        <v>665</v>
      </c>
      <c r="BZ11" s="13">
        <f>IF(BZ6&gt;='Assumptions &amp; Inputs'!$D$20,$C$11,0)</f>
        <v>665</v>
      </c>
      <c r="CA11" s="13">
        <f>IF(CA6&gt;='Assumptions &amp; Inputs'!$D$20,$C$11,0)</f>
        <v>665</v>
      </c>
    </row>
    <row r="12" spans="1:316">
      <c r="B12" s="31" t="s">
        <v>79</v>
      </c>
      <c r="C12" s="1002">
        <f>'SF Breakdown'!D28</f>
        <v>208</v>
      </c>
      <c r="D12" s="357"/>
      <c r="E12" s="37">
        <f>MAX(G12:CA12)</f>
        <v>208</v>
      </c>
      <c r="G12" s="13">
        <v>0</v>
      </c>
      <c r="H12" s="13">
        <f>IF(H6&gt;='Assumptions &amp; Inputs'!$D$25,$C$12,0)</f>
        <v>0</v>
      </c>
      <c r="I12" s="13">
        <f>IF(I6&gt;='Assumptions &amp; Inputs'!$D$25,$C$12,0)</f>
        <v>0</v>
      </c>
      <c r="J12" s="13">
        <f>IF(J6&gt;='Assumptions &amp; Inputs'!$D$25,$C$12,0)</f>
        <v>0</v>
      </c>
      <c r="K12" s="13">
        <f>IF(K6&gt;='Assumptions &amp; Inputs'!$D$25,$C$12,0)</f>
        <v>0</v>
      </c>
      <c r="L12" s="13">
        <f>IF(L6&gt;='Assumptions &amp; Inputs'!$D$25,$C$12,0)</f>
        <v>0</v>
      </c>
      <c r="M12" s="13">
        <f>IF(M6&gt;='Assumptions &amp; Inputs'!$D$25,$C$12,0)</f>
        <v>0</v>
      </c>
      <c r="N12" s="13">
        <f>IF(N6&gt;='Assumptions &amp; Inputs'!$D$25,$C$12,0)</f>
        <v>0</v>
      </c>
      <c r="O12" s="13">
        <f>IF(O6&gt;='Assumptions &amp; Inputs'!$D$25,$C$12,0)</f>
        <v>0</v>
      </c>
      <c r="P12" s="13">
        <f>IF(P6&gt;='Assumptions &amp; Inputs'!$D$25,$C$12,0)</f>
        <v>0</v>
      </c>
      <c r="Q12" s="13">
        <f>IF(Q6&gt;='Assumptions &amp; Inputs'!$D$25,$C$12,0)</f>
        <v>0</v>
      </c>
      <c r="R12" s="13">
        <f>IF(R6&gt;='Assumptions &amp; Inputs'!$D$25,$C$12,0)</f>
        <v>0</v>
      </c>
      <c r="S12" s="13">
        <f>IF(S6&gt;='Assumptions &amp; Inputs'!$D$25,$C$12,0)</f>
        <v>0</v>
      </c>
      <c r="T12" s="13">
        <f>IF(T6&gt;='Assumptions &amp; Inputs'!$D$25,$C$12,0)</f>
        <v>0</v>
      </c>
      <c r="U12" s="13">
        <f>IF(U6&gt;='Assumptions &amp; Inputs'!$D$25,$C$12,0)</f>
        <v>208</v>
      </c>
      <c r="V12" s="13">
        <f>IF(V6&gt;='Assumptions &amp; Inputs'!$D$25,$C$12,0)</f>
        <v>208</v>
      </c>
      <c r="W12" s="13">
        <f>IF(W6&gt;='Assumptions &amp; Inputs'!$D$25,$C$12,0)</f>
        <v>208</v>
      </c>
      <c r="X12" s="13">
        <f>IF(X6&gt;='Assumptions &amp; Inputs'!$D$25,$C$12,0)</f>
        <v>208</v>
      </c>
      <c r="Y12" s="13">
        <f>IF(Y6&gt;='Assumptions &amp; Inputs'!$D$25,$C$12,0)</f>
        <v>208</v>
      </c>
      <c r="Z12" s="13">
        <f>IF(Z6&gt;='Assumptions &amp; Inputs'!$D$25,$C$12,0)</f>
        <v>208</v>
      </c>
      <c r="AA12" s="13">
        <f>IF(AA6&gt;='Assumptions &amp; Inputs'!$D$25,$C$12,0)</f>
        <v>208</v>
      </c>
      <c r="AB12" s="13">
        <f>IF(AB6&gt;='Assumptions &amp; Inputs'!$D$25,$C$12,0)</f>
        <v>208</v>
      </c>
      <c r="AC12" s="13">
        <f>IF(AC6&gt;='Assumptions &amp; Inputs'!$D$25,$C$12,0)</f>
        <v>208</v>
      </c>
      <c r="AD12" s="13">
        <f>IF(AD6&gt;='Assumptions &amp; Inputs'!$D$25,$C$12,0)</f>
        <v>208</v>
      </c>
      <c r="AE12" s="13">
        <f>IF(AE6&gt;='Assumptions &amp; Inputs'!$D$25,$C$12,0)</f>
        <v>208</v>
      </c>
      <c r="AF12" s="13">
        <f>IF(AF6&gt;='Assumptions &amp; Inputs'!$D$25,$C$12,0)</f>
        <v>208</v>
      </c>
      <c r="AG12" s="13">
        <f>IF(AG6&gt;='Assumptions &amp; Inputs'!$D$25,$C$12,0)</f>
        <v>208</v>
      </c>
      <c r="AH12" s="13">
        <f>IF(AH6&gt;='Assumptions &amp; Inputs'!$D$25,$C$12,0)</f>
        <v>208</v>
      </c>
      <c r="AI12" s="13">
        <f>IF(AI6&gt;='Assumptions &amp; Inputs'!$D$25,$C$12,0)</f>
        <v>208</v>
      </c>
      <c r="AJ12" s="13">
        <f>IF(AJ6&gt;='Assumptions &amp; Inputs'!$D$25,$C$12,0)</f>
        <v>208</v>
      </c>
      <c r="AK12" s="13">
        <f>IF(AK6&gt;='Assumptions &amp; Inputs'!$D$25,$C$12,0)</f>
        <v>208</v>
      </c>
      <c r="AL12" s="13">
        <f>IF(AL6&gt;='Assumptions &amp; Inputs'!$D$25,$C$12,0)</f>
        <v>208</v>
      </c>
      <c r="AM12" s="13">
        <f>IF(AM6&gt;='Assumptions &amp; Inputs'!$D$25,$C$12,0)</f>
        <v>208</v>
      </c>
      <c r="AN12" s="13">
        <f>IF(AN6&gt;='Assumptions &amp; Inputs'!$D$25,$C$12,0)</f>
        <v>208</v>
      </c>
      <c r="AO12" s="13">
        <f>IF(AO6&gt;='Assumptions &amp; Inputs'!$D$25,$C$12,0)</f>
        <v>208</v>
      </c>
      <c r="AP12" s="13">
        <f>IF(AP6&gt;='Assumptions &amp; Inputs'!$D$25,$C$12,0)</f>
        <v>208</v>
      </c>
      <c r="AQ12" s="13">
        <f>IF(AQ6&gt;='Assumptions &amp; Inputs'!$D$25,$C$12,0)</f>
        <v>208</v>
      </c>
      <c r="AR12" s="13">
        <f>IF(AR6&gt;='Assumptions &amp; Inputs'!$D$25,$C$12,0)</f>
        <v>208</v>
      </c>
      <c r="AS12" s="13">
        <f>IF(AS6&gt;='Assumptions &amp; Inputs'!$D$25,$C$12,0)</f>
        <v>208</v>
      </c>
      <c r="AT12" s="13">
        <f>IF(AT6&gt;='Assumptions &amp; Inputs'!$D$25,$C$12,0)</f>
        <v>208</v>
      </c>
      <c r="AU12" s="13">
        <f>IF(AU6&gt;='Assumptions &amp; Inputs'!$D$25,$C$12,0)</f>
        <v>208</v>
      </c>
      <c r="AV12" s="13">
        <f>IF(AV6&gt;='Assumptions &amp; Inputs'!$D$25,$C$12,0)</f>
        <v>208</v>
      </c>
      <c r="AW12" s="13">
        <f>IF(AW6&gt;='Assumptions &amp; Inputs'!$D$25,$C$12,0)</f>
        <v>208</v>
      </c>
      <c r="AX12" s="13">
        <f>IF(AX6&gt;='Assumptions &amp; Inputs'!$D$25,$C$12,0)</f>
        <v>208</v>
      </c>
      <c r="AY12" s="13">
        <f>IF(AY6&gt;='Assumptions &amp; Inputs'!$D$25,$C$12,0)</f>
        <v>208</v>
      </c>
      <c r="AZ12" s="13">
        <f>IF(AZ6&gt;='Assumptions &amp; Inputs'!$D$25,$C$12,0)</f>
        <v>208</v>
      </c>
      <c r="BA12" s="13">
        <f>IF(BA6&gt;='Assumptions &amp; Inputs'!$D$25,$C$12,0)</f>
        <v>208</v>
      </c>
      <c r="BB12" s="13">
        <f>IF(BB6&gt;='Assumptions &amp; Inputs'!$D$25,$C$12,0)</f>
        <v>208</v>
      </c>
      <c r="BC12" s="13">
        <f>IF(BC6&gt;='Assumptions &amp; Inputs'!$D$25,$C$12,0)</f>
        <v>208</v>
      </c>
      <c r="BD12" s="13">
        <f>IF(BD6&gt;='Assumptions &amp; Inputs'!$D$25,$C$12,0)</f>
        <v>208</v>
      </c>
      <c r="BE12" s="13">
        <f>IF(BE6&gt;='Assumptions &amp; Inputs'!$D$25,$C$12,0)</f>
        <v>208</v>
      </c>
      <c r="BF12" s="13">
        <f>IF(BF6&gt;='Assumptions &amp; Inputs'!$D$25,$C$12,0)</f>
        <v>208</v>
      </c>
      <c r="BG12" s="13">
        <f>IF(BG6&gt;='Assumptions &amp; Inputs'!$D$25,$C$12,0)</f>
        <v>208</v>
      </c>
      <c r="BH12" s="13">
        <f>IF(BH6&gt;='Assumptions &amp; Inputs'!$D$25,$C$12,0)</f>
        <v>208</v>
      </c>
      <c r="BI12" s="13">
        <f>IF(BI6&gt;='Assumptions &amp; Inputs'!$D$25,$C$12,0)</f>
        <v>208</v>
      </c>
      <c r="BJ12" s="13">
        <f>IF(BJ6&gt;='Assumptions &amp; Inputs'!$D$25,$C$12,0)</f>
        <v>208</v>
      </c>
      <c r="BK12" s="13">
        <f>IF(BK6&gt;='Assumptions &amp; Inputs'!$D$25,$C$12,0)</f>
        <v>208</v>
      </c>
      <c r="BL12" s="13">
        <f>IF(BL6&gt;='Assumptions &amp; Inputs'!$D$25,$C$12,0)</f>
        <v>208</v>
      </c>
      <c r="BM12" s="13">
        <f>IF(BM6&gt;='Assumptions &amp; Inputs'!$D$25,$C$12,0)</f>
        <v>208</v>
      </c>
      <c r="BN12" s="13">
        <f>IF(BN6&gt;='Assumptions &amp; Inputs'!$D$25,$C$12,0)</f>
        <v>208</v>
      </c>
      <c r="BO12" s="13">
        <f>IF(BO6&gt;='Assumptions &amp; Inputs'!$D$25,$C$12,0)</f>
        <v>208</v>
      </c>
      <c r="BP12" s="13">
        <f>IF(BP6&gt;='Assumptions &amp; Inputs'!$D$25,$C$12,0)</f>
        <v>208</v>
      </c>
      <c r="BQ12" s="13">
        <f>IF(BQ6&gt;='Assumptions &amp; Inputs'!$D$25,$C$12,0)</f>
        <v>208</v>
      </c>
      <c r="BR12" s="13">
        <f>IF(BR6&gt;='Assumptions &amp; Inputs'!$D$25,$C$12,0)</f>
        <v>208</v>
      </c>
      <c r="BS12" s="13">
        <f>IF(BS6&gt;='Assumptions &amp; Inputs'!$D$25,$C$12,0)</f>
        <v>208</v>
      </c>
      <c r="BT12" s="13">
        <f>IF(BT6&gt;='Assumptions &amp; Inputs'!$D$25,$C$12,0)</f>
        <v>208</v>
      </c>
      <c r="BU12" s="13">
        <f>IF(BU6&gt;='Assumptions &amp; Inputs'!$D$25,$C$12,0)</f>
        <v>208</v>
      </c>
      <c r="BV12" s="13">
        <f>IF(BV6&gt;='Assumptions &amp; Inputs'!$D$25,$C$12,0)</f>
        <v>208</v>
      </c>
      <c r="BW12" s="13">
        <f>IF(BW6&gt;='Assumptions &amp; Inputs'!$D$25,$C$12,0)</f>
        <v>208</v>
      </c>
      <c r="BX12" s="13">
        <f>IF(BX6&gt;='Assumptions &amp; Inputs'!$D$25,$C$12,0)</f>
        <v>208</v>
      </c>
      <c r="BY12" s="13">
        <f>IF(BY6&gt;='Assumptions &amp; Inputs'!$D$25,$C$12,0)</f>
        <v>208</v>
      </c>
      <c r="BZ12" s="13">
        <f>IF(BZ6&gt;='Assumptions &amp; Inputs'!$D$25,$C$12,0)</f>
        <v>208</v>
      </c>
      <c r="CA12" s="13">
        <f>IF(CA6&gt;='Assumptions &amp; Inputs'!$D$25,$C$12,0)</f>
        <v>208</v>
      </c>
    </row>
    <row r="13" spans="1:316">
      <c r="B13" s="31"/>
      <c r="C13" s="1002"/>
      <c r="D13" s="357"/>
      <c r="E13" s="37"/>
    </row>
    <row r="14" spans="1:316" s="859" customFormat="1">
      <c r="A14" s="100"/>
      <c r="B14" s="1089" t="s">
        <v>938</v>
      </c>
      <c r="C14" s="1090">
        <f>SUM(C11:C12)</f>
        <v>873</v>
      </c>
      <c r="D14" s="1090"/>
      <c r="E14" s="1091">
        <f>MAX(G14:CD14)</f>
        <v>67384.84</v>
      </c>
      <c r="F14" s="100"/>
      <c r="G14" s="100">
        <f>SUM(G11:G12)</f>
        <v>0</v>
      </c>
      <c r="H14" s="100">
        <f>SUM(H11:H12)</f>
        <v>0</v>
      </c>
      <c r="I14" s="100">
        <f t="shared" ref="I14:L14" si="67">SUM(I11:I12)</f>
        <v>0</v>
      </c>
      <c r="J14" s="100">
        <f t="shared" si="67"/>
        <v>0</v>
      </c>
      <c r="K14" s="100">
        <f t="shared" si="67"/>
        <v>0</v>
      </c>
      <c r="L14" s="100">
        <f t="shared" si="67"/>
        <v>0</v>
      </c>
      <c r="M14" s="100">
        <f t="shared" ref="M14:O14" si="68">SUM(M11:M12)</f>
        <v>0</v>
      </c>
      <c r="N14" s="100">
        <f t="shared" si="68"/>
        <v>0</v>
      </c>
      <c r="O14" s="100">
        <f t="shared" si="68"/>
        <v>665</v>
      </c>
      <c r="P14" s="1092">
        <f>P16*$E$9</f>
        <v>3129.0939000000008</v>
      </c>
      <c r="Q14" s="1092">
        <f t="shared" ref="Q14:CA14" si="69">Q16*$E$9</f>
        <v>6798.641995125</v>
      </c>
      <c r="R14" s="1092">
        <f t="shared" si="69"/>
        <v>10132.191636533438</v>
      </c>
      <c r="S14" s="1092">
        <f t="shared" si="69"/>
        <v>13487.443798971099</v>
      </c>
      <c r="T14" s="1092">
        <f t="shared" si="69"/>
        <v>16950.388406754537</v>
      </c>
      <c r="U14" s="1092">
        <f t="shared" si="69"/>
        <v>20387.482571035016</v>
      </c>
      <c r="V14" s="1092">
        <f t="shared" si="69"/>
        <v>23929.609315601378</v>
      </c>
      <c r="W14" s="1092">
        <f t="shared" si="69"/>
        <v>27588.577339555326</v>
      </c>
      <c r="X14" s="1092">
        <f t="shared" si="69"/>
        <v>31677.090483072006</v>
      </c>
      <c r="Y14" s="1092">
        <f t="shared" si="69"/>
        <v>35949.900943749126</v>
      </c>
      <c r="Z14" s="1092">
        <f t="shared" si="69"/>
        <v>40493.567101280416</v>
      </c>
      <c r="AA14" s="1092">
        <f t="shared" si="69"/>
        <v>43714.126297520241</v>
      </c>
      <c r="AB14" s="1092">
        <f t="shared" si="69"/>
        <v>46222.390595239267</v>
      </c>
      <c r="AC14" s="1092">
        <f t="shared" si="69"/>
        <v>48456.706794667778</v>
      </c>
      <c r="AD14" s="1092">
        <f t="shared" si="69"/>
        <v>50274.99140072905</v>
      </c>
      <c r="AE14" s="1092">
        <f t="shared" si="69"/>
        <v>52102.725205692594</v>
      </c>
      <c r="AF14" s="1092">
        <f t="shared" si="69"/>
        <v>54094.453695407974</v>
      </c>
      <c r="AG14" s="1092">
        <f t="shared" si="69"/>
        <v>55941.146341399057</v>
      </c>
      <c r="AH14" s="1092">
        <f t="shared" si="69"/>
        <v>57945.596942225609</v>
      </c>
      <c r="AI14" s="1092">
        <f t="shared" si="69"/>
        <v>59839.334360403205</v>
      </c>
      <c r="AJ14" s="1092">
        <f t="shared" si="69"/>
        <v>62136.990745581032</v>
      </c>
      <c r="AK14" s="1092">
        <f t="shared" si="69"/>
        <v>64391.513521460118</v>
      </c>
      <c r="AL14" s="1092">
        <f t="shared" si="69"/>
        <v>66769.766443976157</v>
      </c>
      <c r="AM14" s="1092">
        <f t="shared" si="69"/>
        <v>66629.636884697538</v>
      </c>
      <c r="AN14" s="1092">
        <f t="shared" si="69"/>
        <v>66294.872610077422</v>
      </c>
      <c r="AO14" s="1092">
        <f t="shared" si="69"/>
        <v>65725.992074997965</v>
      </c>
      <c r="AP14" s="1092">
        <f t="shared" si="69"/>
        <v>64936.45696443558</v>
      </c>
      <c r="AQ14" s="1092">
        <f t="shared" si="69"/>
        <v>64800.396617730534</v>
      </c>
      <c r="AR14" s="1092">
        <f t="shared" si="69"/>
        <v>65128.21711221103</v>
      </c>
      <c r="AS14" s="1092">
        <f t="shared" si="69"/>
        <v>65538.534010758885</v>
      </c>
      <c r="AT14" s="1092">
        <f t="shared" si="69"/>
        <v>66026.603770140253</v>
      </c>
      <c r="AU14" s="1092">
        <f t="shared" si="69"/>
        <v>66587.955600857196</v>
      </c>
      <c r="AV14" s="1092">
        <f t="shared" si="69"/>
        <v>67384.84</v>
      </c>
      <c r="AW14" s="1092">
        <f t="shared" si="69"/>
        <v>67384.84</v>
      </c>
      <c r="AX14" s="1092">
        <f t="shared" si="69"/>
        <v>67384.84</v>
      </c>
      <c r="AY14" s="1092">
        <f t="shared" si="69"/>
        <v>67209.343711249996</v>
      </c>
      <c r="AZ14" s="1092">
        <f t="shared" si="69"/>
        <v>66841.246294103126</v>
      </c>
      <c r="BA14" s="1092">
        <f t="shared" si="69"/>
        <v>66240.9492721922</v>
      </c>
      <c r="BB14" s="1092">
        <f t="shared" si="69"/>
        <v>65421.804122791145</v>
      </c>
      <c r="BC14" s="1092">
        <f t="shared" si="69"/>
        <v>65257.836314480643</v>
      </c>
      <c r="BD14" s="1092">
        <f t="shared" si="69"/>
        <v>65559.35402639801</v>
      </c>
      <c r="BE14" s="1092">
        <f t="shared" si="69"/>
        <v>65944.880552380113</v>
      </c>
      <c r="BF14" s="1092">
        <f t="shared" si="69"/>
        <v>66409.585385618266</v>
      </c>
      <c r="BG14" s="1092">
        <f t="shared" si="69"/>
        <v>66948.915773445216</v>
      </c>
      <c r="BH14" s="1092">
        <f t="shared" si="69"/>
        <v>67384.84</v>
      </c>
      <c r="BI14" s="1092">
        <f t="shared" si="69"/>
        <v>67384.84</v>
      </c>
      <c r="BJ14" s="1092">
        <f t="shared" si="69"/>
        <v>67384.84</v>
      </c>
      <c r="BK14" s="1092">
        <f t="shared" si="69"/>
        <v>67209.343711249996</v>
      </c>
      <c r="BL14" s="1092">
        <f t="shared" si="69"/>
        <v>66841.246294103126</v>
      </c>
      <c r="BM14" s="1092">
        <f t="shared" si="69"/>
        <v>66240.9492721922</v>
      </c>
      <c r="BN14" s="1092">
        <f t="shared" si="69"/>
        <v>65421.804122791145</v>
      </c>
      <c r="BO14" s="1092">
        <f t="shared" si="69"/>
        <v>65257.836314480643</v>
      </c>
      <c r="BP14" s="1092">
        <f t="shared" si="69"/>
        <v>65559.35402639801</v>
      </c>
      <c r="BQ14" s="1092">
        <f t="shared" si="69"/>
        <v>65944.880552380113</v>
      </c>
      <c r="BR14" s="1092">
        <f t="shared" si="69"/>
        <v>66409.585385618266</v>
      </c>
      <c r="BS14" s="1092">
        <f t="shared" si="69"/>
        <v>66948.915773445216</v>
      </c>
      <c r="BT14" s="1092">
        <f t="shared" si="69"/>
        <v>67384.84</v>
      </c>
      <c r="BU14" s="1092">
        <f t="shared" si="69"/>
        <v>67384.84</v>
      </c>
      <c r="BV14" s="1092">
        <f t="shared" si="69"/>
        <v>67384.84</v>
      </c>
      <c r="BW14" s="1092">
        <f t="shared" si="69"/>
        <v>67209.343711249996</v>
      </c>
      <c r="BX14" s="1092">
        <f t="shared" si="69"/>
        <v>67209.343711249996</v>
      </c>
      <c r="BY14" s="1092">
        <f t="shared" si="69"/>
        <v>67209.343711249996</v>
      </c>
      <c r="BZ14" s="1092">
        <f t="shared" si="69"/>
        <v>67209.343711249996</v>
      </c>
      <c r="CA14" s="1092">
        <f t="shared" si="69"/>
        <v>67209.343711249996</v>
      </c>
      <c r="CB14" s="13"/>
      <c r="CC14" s="13"/>
      <c r="CD14" s="13"/>
      <c r="CE14" s="13"/>
      <c r="CF14" s="13"/>
      <c r="CG14" s="13"/>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c r="IW14" s="15"/>
      <c r="IX14" s="15"/>
      <c r="IY14" s="15"/>
      <c r="IZ14" s="15"/>
      <c r="JA14" s="15"/>
      <c r="JB14" s="15"/>
      <c r="JC14" s="15"/>
      <c r="JD14" s="15"/>
      <c r="JE14" s="15"/>
      <c r="JF14" s="15"/>
      <c r="JG14" s="15"/>
      <c r="JH14" s="15"/>
      <c r="JI14" s="15"/>
      <c r="JJ14" s="15"/>
      <c r="JK14" s="15"/>
      <c r="JL14" s="15"/>
      <c r="JM14" s="15"/>
      <c r="JN14" s="15"/>
      <c r="JO14" s="15"/>
      <c r="JP14" s="15"/>
      <c r="JQ14" s="15"/>
      <c r="JR14" s="15"/>
      <c r="JS14" s="15"/>
      <c r="JT14" s="15"/>
      <c r="JU14" s="15"/>
      <c r="JV14" s="15"/>
      <c r="JW14" s="15"/>
      <c r="JX14" s="15"/>
      <c r="JY14" s="15"/>
      <c r="JZ14" s="15"/>
      <c r="KA14" s="15"/>
      <c r="KB14" s="15"/>
      <c r="KC14" s="15"/>
      <c r="KD14" s="15"/>
      <c r="KE14" s="15"/>
      <c r="KF14" s="15"/>
      <c r="KG14" s="15"/>
      <c r="KH14" s="15"/>
      <c r="KI14" s="15"/>
      <c r="KJ14" s="15"/>
      <c r="KK14" s="15"/>
      <c r="KL14" s="15"/>
      <c r="KM14" s="15"/>
      <c r="KN14" s="15"/>
      <c r="KO14" s="15"/>
      <c r="KP14" s="15"/>
      <c r="KQ14" s="15"/>
      <c r="KR14" s="15"/>
      <c r="KS14" s="15"/>
      <c r="KT14" s="15"/>
      <c r="KU14" s="15"/>
      <c r="KV14" s="15"/>
      <c r="KW14" s="15"/>
      <c r="KX14" s="15"/>
      <c r="KY14" s="15"/>
      <c r="KZ14" s="15"/>
      <c r="LA14" s="15"/>
      <c r="LB14" s="15"/>
      <c r="LC14" s="15"/>
      <c r="LD14" s="15"/>
    </row>
    <row r="15" spans="1:316" ht="13.5" customHeight="1">
      <c r="B15" s="9"/>
    </row>
    <row r="16" spans="1:316" s="502" customFormat="1" ht="13.5" customHeight="1">
      <c r="B16" s="1093" t="s">
        <v>715</v>
      </c>
      <c r="C16" s="1094"/>
      <c r="D16" s="1094"/>
      <c r="E16" s="1094"/>
      <c r="F16" s="1094"/>
      <c r="G16" s="1095">
        <v>0</v>
      </c>
      <c r="H16" s="1095">
        <v>0</v>
      </c>
      <c r="I16" s="1095">
        <v>0</v>
      </c>
      <c r="J16" s="1095">
        <v>0</v>
      </c>
      <c r="K16" s="1095">
        <v>0</v>
      </c>
      <c r="L16" s="1095">
        <v>0</v>
      </c>
      <c r="M16" s="1095">
        <v>0</v>
      </c>
      <c r="N16" s="1095">
        <v>0</v>
      </c>
      <c r="O16" s="1095">
        <v>0</v>
      </c>
      <c r="P16" s="1095">
        <f>'5 Year Model'!C9</f>
        <v>4.3650000000000008E-2</v>
      </c>
      <c r="Q16" s="1095">
        <f>'5 Year Model'!D9</f>
        <v>9.4839187500000005E-2</v>
      </c>
      <c r="R16" s="1095">
        <f>'5 Year Model'!E9</f>
        <v>0.14134128890625</v>
      </c>
      <c r="S16" s="1095">
        <f>'5 Year Model'!F9</f>
        <v>0.18814613451679685</v>
      </c>
      <c r="T16" s="1095">
        <f>'5 Year Model'!G9</f>
        <v>0.23645326014500095</v>
      </c>
      <c r="U16" s="1095">
        <f>'5 Year Model'!H9</f>
        <v>0.28439977919028842</v>
      </c>
      <c r="V16" s="1095">
        <f>'5 Year Model'!I9</f>
        <v>0.33381147386660404</v>
      </c>
      <c r="W16" s="1095">
        <f>'5 Year Model'!J9</f>
        <v>0.38485307228127286</v>
      </c>
      <c r="X16" s="1095">
        <f>'5 Year Model'!K9</f>
        <v>0.44188670707072519</v>
      </c>
      <c r="Y16" s="1095">
        <f>'5 Year Model'!L9</f>
        <v>0.50149123878789614</v>
      </c>
      <c r="Z16" s="1095">
        <f>'5 Year Model'!M9</f>
        <v>0.56487413304244083</v>
      </c>
      <c r="AA16" s="1095">
        <f>'5 Year Model'!N9</f>
        <v>0.60980004878944616</v>
      </c>
      <c r="AB16" s="1095">
        <f>'5 Year Model'!O9</f>
        <v>0.64478964644755277</v>
      </c>
      <c r="AC16" s="1095">
        <f>'5 Year Model'!P9</f>
        <v>0.67595774341807013</v>
      </c>
      <c r="AD16" s="1095">
        <f>'5 Year Model'!Q9</f>
        <v>0.70132231399058464</v>
      </c>
      <c r="AE16" s="1095">
        <f>'5 Year Model'!R9</f>
        <v>0.72681869829105539</v>
      </c>
      <c r="AF16" s="1095">
        <f>'5 Year Model'!S9</f>
        <v>0.75460276337650267</v>
      </c>
      <c r="AG16" s="1095">
        <f>'5 Year Model'!T9</f>
        <v>0.78036361829923639</v>
      </c>
      <c r="AH16" s="1095">
        <f>'5 Year Model'!U9</f>
        <v>0.8083251533385265</v>
      </c>
      <c r="AI16" s="1095">
        <f>'5 Year Model'!V9</f>
        <v>0.83474226990490763</v>
      </c>
      <c r="AJ16" s="1095">
        <f>'5 Year Model'!W9</f>
        <v>0.86679394506013774</v>
      </c>
      <c r="AK16" s="1095">
        <f>'5 Year Model'!X9</f>
        <v>0.8982439182191797</v>
      </c>
      <c r="AL16" s="1095">
        <f>'5 Year Model'!Y9</f>
        <v>0.9314198929215769</v>
      </c>
      <c r="AM16" s="1095">
        <f>'5 Year Model'!Z9</f>
        <v>0.92946512407858628</v>
      </c>
      <c r="AN16" s="1095">
        <f>'5 Year Model'!AA9</f>
        <v>0.92479525444406752</v>
      </c>
      <c r="AO16" s="1095">
        <f>'5 Year Model'!AB9</f>
        <v>0.91685952731353348</v>
      </c>
      <c r="AP16" s="1095">
        <f>'5 Year Model'!AC9</f>
        <v>0.90584572949300535</v>
      </c>
      <c r="AQ16" s="1095">
        <f>'5 Year Model'!AD9</f>
        <v>0.90394772504715748</v>
      </c>
      <c r="AR16" s="1095">
        <f>'5 Year Model'!AE9</f>
        <v>0.90852073085694596</v>
      </c>
      <c r="AS16" s="1095">
        <f>'5 Year Model'!AF9</f>
        <v>0.91424453883267154</v>
      </c>
      <c r="AT16" s="1095">
        <f>'5 Year Model'!AG9</f>
        <v>0.9210529778497929</v>
      </c>
      <c r="AU16" s="1095">
        <f>'5 Year Model'!AH9</f>
        <v>0.92888368162342982</v>
      </c>
      <c r="AV16" s="1095">
        <f>'5 Year Model'!AI9</f>
        <v>0.94</v>
      </c>
      <c r="AW16" s="1095">
        <f>'5 Year Model'!AJ9</f>
        <v>0.94</v>
      </c>
      <c r="AX16" s="1095">
        <f>'5 Year Model'!AK9</f>
        <v>0.94</v>
      </c>
      <c r="AY16" s="1095">
        <f>'5 Year Model'!AL9</f>
        <v>0.93755187499999992</v>
      </c>
      <c r="AZ16" s="1095">
        <f>'5 Year Model'!AM9</f>
        <v>0.93241701718750003</v>
      </c>
      <c r="BA16" s="1095">
        <f>'5 Year Model'!AN9</f>
        <v>0.92404303869921878</v>
      </c>
      <c r="BB16" s="1095">
        <f>'5 Year Model'!AO9</f>
        <v>0.91261618897401364</v>
      </c>
      <c r="BC16" s="1095">
        <f>'5 Year Model'!AP9</f>
        <v>0.91032888310800775</v>
      </c>
      <c r="BD16" s="1095">
        <f>'5 Year Model'!AQ9</f>
        <v>0.91453497232929726</v>
      </c>
      <c r="BE16" s="1095">
        <f>'5 Year Model'!AR9</f>
        <v>0.91991296142036261</v>
      </c>
      <c r="BF16" s="1095">
        <f>'5 Year Model'!AS9</f>
        <v>0.92639546613869195</v>
      </c>
      <c r="BG16" s="1095">
        <f>'5 Year Model'!AT9</f>
        <v>0.93391897683571712</v>
      </c>
      <c r="BH16" s="1095">
        <f>'5 Year Model'!AU9</f>
        <v>0.94</v>
      </c>
      <c r="BI16" s="1095">
        <f>'5 Year Model'!AV9</f>
        <v>0.94</v>
      </c>
      <c r="BJ16" s="1095">
        <f>'5 Year Model'!AW9</f>
        <v>0.94</v>
      </c>
      <c r="BK16" s="1095">
        <f>'5 Year Model'!AX9</f>
        <v>0.93755187499999992</v>
      </c>
      <c r="BL16" s="1095">
        <f>'5 Year Model'!AY9</f>
        <v>0.93241701718750003</v>
      </c>
      <c r="BM16" s="1095">
        <f>'5 Year Model'!AZ9</f>
        <v>0.92404303869921878</v>
      </c>
      <c r="BN16" s="1095">
        <f>'5 Year Model'!BA9</f>
        <v>0.91261618897401364</v>
      </c>
      <c r="BO16" s="1095">
        <f>'5 Year Model'!BB9</f>
        <v>0.91032888310800775</v>
      </c>
      <c r="BP16" s="1095">
        <f>'5 Year Model'!BC9</f>
        <v>0.91453497232929726</v>
      </c>
      <c r="BQ16" s="1095">
        <f>'5 Year Model'!BD9</f>
        <v>0.91991296142036261</v>
      </c>
      <c r="BR16" s="1095">
        <f>'5 Year Model'!BE9</f>
        <v>0.92639546613869195</v>
      </c>
      <c r="BS16" s="1095">
        <f>'5 Year Model'!BF9</f>
        <v>0.93391897683571712</v>
      </c>
      <c r="BT16" s="1095">
        <f>'5 Year Model'!BG9</f>
        <v>0.94</v>
      </c>
      <c r="BU16" s="1095">
        <f>'5 Year Model'!BH9</f>
        <v>0.94</v>
      </c>
      <c r="BV16" s="1095">
        <f>'5 Year Model'!BI9</f>
        <v>0.94</v>
      </c>
      <c r="BW16" s="1095">
        <f>'5 Year Model'!BJ9</f>
        <v>0.93755187499999992</v>
      </c>
      <c r="BX16" s="1095">
        <f>BW16</f>
        <v>0.93755187499999992</v>
      </c>
      <c r="BY16" s="1095">
        <f t="shared" ref="BY16:CA16" si="70">BX16</f>
        <v>0.93755187499999992</v>
      </c>
      <c r="BZ16" s="1095">
        <f t="shared" si="70"/>
        <v>0.93755187499999992</v>
      </c>
      <c r="CA16" s="1095">
        <f t="shared" si="70"/>
        <v>0.93755187499999992</v>
      </c>
      <c r="CB16" s="13"/>
      <c r="CC16" s="13"/>
      <c r="CD16" s="13"/>
      <c r="CE16" s="13"/>
      <c r="CF16" s="13"/>
      <c r="CG16" s="13"/>
    </row>
    <row r="17" spans="2:79" ht="13.5" customHeight="1">
      <c r="B17" s="835" t="s">
        <v>716</v>
      </c>
      <c r="G17" s="836">
        <v>0</v>
      </c>
      <c r="H17" s="836">
        <v>0</v>
      </c>
      <c r="I17" s="836">
        <v>0</v>
      </c>
      <c r="J17" s="836">
        <v>0</v>
      </c>
      <c r="K17" s="836">
        <v>0</v>
      </c>
      <c r="L17" s="836">
        <v>0</v>
      </c>
      <c r="M17" s="836">
        <v>0</v>
      </c>
      <c r="N17" s="836">
        <v>0</v>
      </c>
      <c r="O17" s="836">
        <v>0</v>
      </c>
      <c r="P17" s="836">
        <f>'5 Year Model'!C10</f>
        <v>39.293376494989239</v>
      </c>
      <c r="Q17" s="836">
        <f>'5 Year Model'!D10</f>
        <v>35</v>
      </c>
      <c r="R17" s="836">
        <f>'5 Year Model'!E10</f>
        <v>33</v>
      </c>
      <c r="S17" s="836">
        <f>'5 Year Model'!F10</f>
        <v>34</v>
      </c>
      <c r="T17" s="836">
        <f>'5 Year Model'!G10</f>
        <v>36</v>
      </c>
      <c r="U17" s="836">
        <f>'5 Year Model'!H10</f>
        <v>37</v>
      </c>
      <c r="V17" s="836">
        <f>'5 Year Model'!I10</f>
        <v>39</v>
      </c>
      <c r="W17" s="836">
        <f>'5 Year Model'!J10</f>
        <v>42</v>
      </c>
      <c r="X17" s="836">
        <f>'5 Year Model'!K10</f>
        <v>47</v>
      </c>
      <c r="Y17" s="836">
        <f>'5 Year Model'!L10</f>
        <v>52</v>
      </c>
      <c r="Z17" s="836">
        <f>'5 Year Model'!M10</f>
        <v>57</v>
      </c>
      <c r="AA17" s="836">
        <f>'5 Year Model'!N10</f>
        <v>49</v>
      </c>
      <c r="AB17" s="836">
        <f>'5 Year Model'!O10</f>
        <v>43</v>
      </c>
      <c r="AC17" s="836">
        <f>'5 Year Model'!P10</f>
        <v>42</v>
      </c>
      <c r="AD17" s="836">
        <f>'5 Year Model'!Q10</f>
        <v>39</v>
      </c>
      <c r="AE17" s="836">
        <f>'5 Year Model'!R10</f>
        <v>41</v>
      </c>
      <c r="AF17" s="836">
        <f>'5 Year Model'!S10</f>
        <v>43</v>
      </c>
      <c r="AG17" s="836">
        <f>'5 Year Model'!T10</f>
        <v>44</v>
      </c>
      <c r="AH17" s="836">
        <f>'5 Year Model'!U10</f>
        <v>47</v>
      </c>
      <c r="AI17" s="836">
        <f>'5 Year Model'!V10</f>
        <v>48</v>
      </c>
      <c r="AJ17" s="836">
        <f>'5 Year Model'!W10</f>
        <v>53</v>
      </c>
      <c r="AK17" s="836">
        <f>'5 Year Model'!X10</f>
        <v>55</v>
      </c>
      <c r="AL17" s="836">
        <f>'5 Year Model'!Y10</f>
        <v>58</v>
      </c>
      <c r="AM17" s="836">
        <f>'5 Year Model'!Z10</f>
        <v>35</v>
      </c>
      <c r="AN17" s="836">
        <f>'5 Year Model'!AA10</f>
        <v>33</v>
      </c>
      <c r="AO17" s="836">
        <f>'5 Year Model'!AB10</f>
        <v>31</v>
      </c>
      <c r="AP17" s="836">
        <f>'5 Year Model'!AC10</f>
        <v>28</v>
      </c>
      <c r="AQ17" s="836">
        <f>'5 Year Model'!AD10</f>
        <v>34</v>
      </c>
      <c r="AR17" s="836">
        <f>'5 Year Model'!AE10</f>
        <v>39</v>
      </c>
      <c r="AS17" s="836">
        <f>'5 Year Model'!AF10</f>
        <v>39</v>
      </c>
      <c r="AT17" s="836">
        <f>'5 Year Model'!AG10</f>
        <v>41</v>
      </c>
      <c r="AU17" s="836">
        <f>'5 Year Model'!AH10</f>
        <v>41</v>
      </c>
      <c r="AV17" s="836">
        <f>'5 Year Model'!AI10</f>
        <v>44</v>
      </c>
      <c r="AW17" s="836">
        <f>'5 Year Model'!AJ10</f>
        <v>38</v>
      </c>
      <c r="AX17" s="836">
        <f>'5 Year Model'!AK10</f>
        <v>38</v>
      </c>
      <c r="AY17" s="836">
        <f>'5 Year Model'!AL10</f>
        <v>35</v>
      </c>
      <c r="AZ17" s="836">
        <f>'5 Year Model'!AM10</f>
        <v>33</v>
      </c>
      <c r="BA17" s="836">
        <f>'5 Year Model'!AN10</f>
        <v>31</v>
      </c>
      <c r="BB17" s="836">
        <f>'5 Year Model'!AO10</f>
        <v>28</v>
      </c>
      <c r="BC17" s="836">
        <f>'5 Year Model'!AP10</f>
        <v>34</v>
      </c>
      <c r="BD17" s="836">
        <f>'5 Year Model'!AQ10</f>
        <v>39</v>
      </c>
      <c r="BE17" s="836">
        <f>'5 Year Model'!AR10</f>
        <v>39</v>
      </c>
      <c r="BF17" s="836">
        <f>'5 Year Model'!AS10</f>
        <v>40</v>
      </c>
      <c r="BG17" s="836">
        <f>'5 Year Model'!AT10</f>
        <v>42</v>
      </c>
      <c r="BH17" s="836">
        <f>'5 Year Model'!AU10</f>
        <v>41</v>
      </c>
      <c r="BI17" s="836">
        <f>'5 Year Model'!AV10</f>
        <v>37</v>
      </c>
      <c r="BJ17" s="836">
        <f>'5 Year Model'!AW10</f>
        <v>38</v>
      </c>
      <c r="BK17" s="836">
        <f>'5 Year Model'!AX10</f>
        <v>35</v>
      </c>
      <c r="BL17" s="836">
        <f>'5 Year Model'!AY10</f>
        <v>33</v>
      </c>
      <c r="BM17" s="836">
        <f>'5 Year Model'!AZ10</f>
        <v>31</v>
      </c>
      <c r="BN17" s="836">
        <f>'5 Year Model'!BA10</f>
        <v>28</v>
      </c>
      <c r="BO17" s="836">
        <f>'5 Year Model'!BB10</f>
        <v>35</v>
      </c>
      <c r="BP17" s="836">
        <f>'5 Year Model'!BC10</f>
        <v>38</v>
      </c>
      <c r="BQ17" s="836">
        <f>'5 Year Model'!BD10</f>
        <v>39</v>
      </c>
      <c r="BR17" s="836">
        <f>'5 Year Model'!BE10</f>
        <v>41</v>
      </c>
      <c r="BS17" s="836">
        <f>'5 Year Model'!BF10</f>
        <v>41</v>
      </c>
      <c r="BT17" s="836">
        <f>'5 Year Model'!BG10</f>
        <v>41</v>
      </c>
      <c r="BU17" s="836">
        <f>'5 Year Model'!BH10</f>
        <v>38</v>
      </c>
      <c r="BV17" s="836">
        <f>'5 Year Model'!BI10</f>
        <v>38</v>
      </c>
      <c r="BW17" s="836">
        <f>'5 Year Model'!BJ10</f>
        <v>35</v>
      </c>
      <c r="BX17" s="836">
        <f>'5 Year Model'!BK10</f>
        <v>0</v>
      </c>
      <c r="BY17" s="836">
        <f>'5 Year Model'!BL10</f>
        <v>0</v>
      </c>
      <c r="BZ17" s="836">
        <f>'5 Year Model'!BM10</f>
        <v>0</v>
      </c>
      <c r="CA17" s="836">
        <f>'5 Year Model'!BN10</f>
        <v>0</v>
      </c>
    </row>
    <row r="18" spans="2:79" ht="13.5" customHeight="1">
      <c r="B18" s="837" t="s">
        <v>720</v>
      </c>
      <c r="C18" s="56"/>
      <c r="D18" s="56"/>
      <c r="E18" s="56"/>
      <c r="F18" s="56"/>
      <c r="G18" s="838">
        <f>'Rental Income Model'!$C$64</f>
        <v>2.0525496873587921</v>
      </c>
      <c r="H18" s="838">
        <f>'Rental Income Model'!$C$64</f>
        <v>2.0525496873587921</v>
      </c>
      <c r="I18" s="838">
        <f>'Rental Income Model'!$C$64</f>
        <v>2.0525496873587921</v>
      </c>
      <c r="J18" s="838">
        <f>'Rental Income Model'!$C$64</f>
        <v>2.0525496873587921</v>
      </c>
      <c r="K18" s="838">
        <f>'Rental Income Model'!$C$64</f>
        <v>2.0525496873587921</v>
      </c>
      <c r="L18" s="838">
        <f>'Rental Income Model'!$C$64</f>
        <v>2.0525496873587921</v>
      </c>
      <c r="M18" s="838">
        <f>'Rental Income Model'!$C$64</f>
        <v>2.0525496873587921</v>
      </c>
      <c r="N18" s="838">
        <f>'Rental Income Model'!$C$64</f>
        <v>2.0525496873587921</v>
      </c>
      <c r="O18" s="838">
        <f>'Rental Income Model'!$C$64</f>
        <v>2.0525496873587921</v>
      </c>
      <c r="P18" s="838">
        <f>'5 Year Model'!C11</f>
        <v>2.0530008753380269</v>
      </c>
      <c r="Q18" s="838">
        <f>'5 Year Model'!D11</f>
        <v>2.0332778193765626</v>
      </c>
      <c r="R18" s="838">
        <f>'5 Year Model'!E11</f>
        <v>2.0225943572344516</v>
      </c>
      <c r="S18" s="838">
        <f>'5 Year Model'!F11</f>
        <v>2.0284521470405559</v>
      </c>
      <c r="T18" s="838">
        <f>'5 Year Model'!G11</f>
        <v>2.050101598081151</v>
      </c>
      <c r="U18" s="838">
        <f>'5 Year Model'!H11</f>
        <v>2.0833135242400309</v>
      </c>
      <c r="V18" s="838">
        <f>'5 Year Model'!I11</f>
        <v>2.1673083200422041</v>
      </c>
      <c r="W18" s="838">
        <f>'5 Year Model'!J11</f>
        <v>2.2528932066653464</v>
      </c>
      <c r="X18" s="838">
        <f>'5 Year Model'!K11</f>
        <v>2.3339288383889416</v>
      </c>
      <c r="Y18" s="838">
        <f>'5 Year Model'!L11</f>
        <v>2.4088611495214081</v>
      </c>
      <c r="Z18" s="838">
        <f>'5 Year Model'!M11</f>
        <v>2.4861341996092015</v>
      </c>
      <c r="AA18" s="838">
        <f>'5 Year Model'!N11</f>
        <v>2.5422466446354943</v>
      </c>
      <c r="AB18" s="838">
        <f>'5 Year Model'!O11</f>
        <v>2.5847261096703549</v>
      </c>
      <c r="AC18" s="838">
        <f>'5 Year Model'!P11</f>
        <v>2.619977984829061</v>
      </c>
      <c r="AD18" s="838">
        <f>'5 Year Model'!Q11</f>
        <v>2.6570264064207123</v>
      </c>
      <c r="AE18" s="838">
        <f>'5 Year Model'!R11</f>
        <v>2.7013976215423758</v>
      </c>
      <c r="AF18" s="838">
        <f>'5 Year Model'!S11</f>
        <v>2.7473055073397865</v>
      </c>
      <c r="AG18" s="838">
        <f>'5 Year Model'!T11</f>
        <v>2.7841775511562274</v>
      </c>
      <c r="AH18" s="838">
        <f>'5 Year Model'!U11</f>
        <v>2.8164558021833002</v>
      </c>
      <c r="AI18" s="838">
        <f>'5 Year Model'!V11</f>
        <v>2.8534273161078465</v>
      </c>
      <c r="AJ18" s="838">
        <f>'5 Year Model'!W11</f>
        <v>2.8930398193099842</v>
      </c>
      <c r="AK18" s="838">
        <f>'5 Year Model'!X11</f>
        <v>2.9369487379824024</v>
      </c>
      <c r="AL18" s="838">
        <f>'5 Year Model'!Y11</f>
        <v>2.9812347458027495</v>
      </c>
      <c r="AM18" s="838">
        <f>'5 Year Model'!Z11</f>
        <v>3.0058729519673184</v>
      </c>
      <c r="AN18" s="838">
        <f>'5 Year Model'!AA11</f>
        <v>3.0349669278093092</v>
      </c>
      <c r="AO18" s="838">
        <f>'5 Year Model'!AB11</f>
        <v>3.0657789841265801</v>
      </c>
      <c r="AP18" s="838">
        <f>'5 Year Model'!AC11</f>
        <v>3.0948002769083751</v>
      </c>
      <c r="AQ18" s="838">
        <f>'5 Year Model'!AD11</f>
        <v>3.1266777033156488</v>
      </c>
      <c r="AR18" s="838">
        <f>'5 Year Model'!AE11</f>
        <v>3.1607443771112886</v>
      </c>
      <c r="AS18" s="838">
        <f>'5 Year Model'!AF11</f>
        <v>3.1852638978309638</v>
      </c>
      <c r="AT18" s="838">
        <f>'5 Year Model'!AG11</f>
        <v>3.2096149449030849</v>
      </c>
      <c r="AU18" s="838">
        <f>'5 Year Model'!AH11</f>
        <v>3.234578786030859</v>
      </c>
      <c r="AV18" s="838">
        <f>'5 Year Model'!AI11</f>
        <v>3.2620643799297397</v>
      </c>
      <c r="AW18" s="838">
        <f>'5 Year Model'!AJ11</f>
        <v>3.2873943463686675</v>
      </c>
      <c r="AX18" s="838">
        <f>'5 Year Model'!AK11</f>
        <v>3.3153095837368727</v>
      </c>
      <c r="AY18" s="838">
        <f>'5 Year Model'!AL11</f>
        <v>3.3427005092135222</v>
      </c>
      <c r="AZ18" s="838">
        <f>'5 Year Model'!AM11</f>
        <v>3.3685863348189535</v>
      </c>
      <c r="BA18" s="838">
        <f>'5 Year Model'!AN11</f>
        <v>3.3898729452316889</v>
      </c>
      <c r="BB18" s="838">
        <f>'5 Year Model'!AO11</f>
        <v>3.4116697668487972</v>
      </c>
      <c r="BC18" s="838">
        <f>'5 Year Model'!AP11</f>
        <v>3.433920942595369</v>
      </c>
      <c r="BD18" s="838">
        <f>'5 Year Model'!AQ11</f>
        <v>3.4562026385802187</v>
      </c>
      <c r="BE18" s="838">
        <f>'5 Year Model'!AR11</f>
        <v>3.4789538734216552</v>
      </c>
      <c r="BF18" s="838">
        <f>'5 Year Model'!AS11</f>
        <v>3.50230984579493</v>
      </c>
      <c r="BG18" s="838">
        <f>'5 Year Model'!AT11</f>
        <v>3.5263891978626107</v>
      </c>
      <c r="BH18" s="838">
        <f>'5 Year Model'!AU11</f>
        <v>3.550732692485389</v>
      </c>
      <c r="BI18" s="838">
        <f>'5 Year Model'!AV11</f>
        <v>3.5738124549865447</v>
      </c>
      <c r="BJ18" s="838">
        <f>'5 Year Model'!AW11</f>
        <v>3.5970422359439569</v>
      </c>
      <c r="BK18" s="838">
        <f>'5 Year Model'!AX11</f>
        <v>3.6200561718982445</v>
      </c>
      <c r="BL18" s="838">
        <f>'5 Year Model'!AY11</f>
        <v>3.6436879109286533</v>
      </c>
      <c r="BM18" s="838">
        <f>'5 Year Model'!AZ11</f>
        <v>3.668331900839668</v>
      </c>
      <c r="BN18" s="838">
        <f>'5 Year Model'!BA11</f>
        <v>3.6941592143775588</v>
      </c>
      <c r="BO18" s="838">
        <f>'5 Year Model'!BB11</f>
        <v>3.7187043940526738</v>
      </c>
      <c r="BP18" s="838">
        <f>'5 Year Model'!BC11</f>
        <v>3.7419946155472918</v>
      </c>
      <c r="BQ18" s="838">
        <f>'5 Year Model'!BD11</f>
        <v>3.7655405293994417</v>
      </c>
      <c r="BR18" s="838">
        <f>'5 Year Model'!BE11</f>
        <v>3.789498229126794</v>
      </c>
      <c r="BS18" s="838">
        <f>'5 Year Model'!BF11</f>
        <v>3.814007075563818</v>
      </c>
      <c r="BT18" s="838">
        <f>'5 Year Model'!BG11</f>
        <v>3.8390788343521267</v>
      </c>
      <c r="BU18" s="838">
        <f>'5 Year Model'!BH11</f>
        <v>3.8640328467754155</v>
      </c>
      <c r="BV18" s="838">
        <f>'5 Year Model'!BI11</f>
        <v>3.889149060279455</v>
      </c>
      <c r="BW18" s="838">
        <f>'5 Year Model'!BJ11</f>
        <v>3.9145347811204232</v>
      </c>
      <c r="BX18" s="838">
        <f>BX21/BX14</f>
        <v>3.8434212210671297</v>
      </c>
      <c r="BY18" s="838">
        <f t="shared" ref="BY18:CA18" si="71">BX18</f>
        <v>3.8434212210671297</v>
      </c>
      <c r="BZ18" s="838">
        <f t="shared" si="71"/>
        <v>3.8434212210671297</v>
      </c>
      <c r="CA18" s="838">
        <f t="shared" si="71"/>
        <v>3.8434212210671297</v>
      </c>
    </row>
    <row r="19" spans="2:79" ht="13.5" customHeight="1">
      <c r="B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row>
    <row r="20" spans="2:79" ht="13.5" customHeight="1">
      <c r="B20" s="4" t="s">
        <v>811</v>
      </c>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s="975"/>
      <c r="BV20" s="975"/>
      <c r="BW20" s="975"/>
      <c r="BX20"/>
      <c r="BY20"/>
      <c r="BZ20"/>
      <c r="CA20"/>
    </row>
    <row r="21" spans="2:79" ht="13.5" customHeight="1">
      <c r="B21" s="401" t="s">
        <v>974</v>
      </c>
      <c r="P21" s="841">
        <f>'5 Year Model'!C14</f>
        <v>38.360144303585948</v>
      </c>
      <c r="Q21" s="841">
        <f>'5 Year Model'!D14</f>
        <v>5830.6569726143798</v>
      </c>
      <c r="R21" s="841">
        <f>'5 Year Model'!E14</f>
        <v>12791.660845650218</v>
      </c>
      <c r="S21" s="841">
        <f>'5 Year Model'!F14</f>
        <v>19024.273804950488</v>
      </c>
      <c r="T21" s="841">
        <f>'5 Year Model'!G14</f>
        <v>25406.643570072676</v>
      </c>
      <c r="U21" s="841">
        <f>'5 Year Model'!H14</f>
        <v>32263.447856822353</v>
      </c>
      <c r="V21" s="841">
        <f>'5 Year Model'!I14</f>
        <v>40397.338419864238</v>
      </c>
      <c r="W21" s="841">
        <f>'5 Year Model'!J14</f>
        <v>49127.281590051076</v>
      </c>
      <c r="X21" s="841">
        <f>'5 Year Model'!K14</f>
        <v>58333.219535757613</v>
      </c>
      <c r="Y21" s="841">
        <f>'5 Year Model'!L14</f>
        <v>68934.906640143628</v>
      </c>
      <c r="Z21" s="841">
        <f>'5 Year Model'!M14</f>
        <v>79908.364349334603</v>
      </c>
      <c r="AA21" s="841">
        <f>'5 Year Model'!N14</f>
        <v>92903.850392354769</v>
      </c>
      <c r="AB21" s="841">
        <f>'5 Year Model'!O14</f>
        <v>103985.83539149772</v>
      </c>
      <c r="AC21" s="841">
        <f>'5 Year Model'!P14</f>
        <v>111845.05866014058</v>
      </c>
      <c r="AD21" s="841">
        <f>'5 Year Model'!Q14</f>
        <v>120016.34684813923</v>
      </c>
      <c r="AE21" s="841">
        <f>'5 Year Model'!R14</f>
        <v>127829.7347440758</v>
      </c>
      <c r="AF21" s="841">
        <f>'5 Year Model'!S14</f>
        <v>134826.1997296029</v>
      </c>
      <c r="AG21" s="841">
        <f>'5 Year Model'!T14</f>
        <v>142666.46490484182</v>
      </c>
      <c r="AH21" s="841">
        <f>'5 Year Model'!U14</f>
        <v>149235.12130809992</v>
      </c>
      <c r="AI21" s="841">
        <f>'5 Year Model'!V14</f>
        <v>157213.33804400213</v>
      </c>
      <c r="AJ21" s="841">
        <f>'5 Year Model'!W14</f>
        <v>164915.70931645622</v>
      </c>
      <c r="AK21" s="841">
        <f>'5 Year Model'!X14</f>
        <v>175013.9731682908</v>
      </c>
      <c r="AL21" s="841">
        <f>'5 Year Model'!Y14</f>
        <v>184269.6609696087</v>
      </c>
      <c r="AM21" s="841">
        <f>'5 Year Model'!Z14</f>
        <v>190236.85311863566</v>
      </c>
      <c r="AN21" s="841">
        <f>'5 Year Model'!AA14</f>
        <v>191490.87682987473</v>
      </c>
      <c r="AO21" s="841">
        <f>'5 Year Model'!AB14</f>
        <v>192107.21859098983</v>
      </c>
      <c r="AP21" s="841">
        <f>'5 Year Model'!AC14</f>
        <v>191872.76926622755</v>
      </c>
      <c r="AQ21" s="841">
        <f>'5 Year Model'!AD14</f>
        <v>192874.14702188596</v>
      </c>
      <c r="AR21" s="841">
        <f>'5 Year Model'!AE14</f>
        <v>195503.78396463854</v>
      </c>
      <c r="AS21" s="841">
        <f>'5 Year Model'!AF14</f>
        <v>198116.44207053381</v>
      </c>
      <c r="AT21" s="841">
        <f>'5 Year Model'!AG14</f>
        <v>200975.39771601732</v>
      </c>
      <c r="AU21" s="841">
        <f>'5 Year Model'!AH14</f>
        <v>204120.70646083189</v>
      </c>
      <c r="AV21" s="841">
        <f>'5 Year Model'!AI14</f>
        <v>207994.93577801174</v>
      </c>
      <c r="AW21" s="841">
        <f>'5 Year Model'!AJ14</f>
        <v>210347.98758079796</v>
      </c>
      <c r="AX21" s="841">
        <f>'5 Year Model'!AK14</f>
        <v>212154.73770945848</v>
      </c>
      <c r="AY21" s="841">
        <f>'5 Year Model'!AL14</f>
        <v>213764.45771006524</v>
      </c>
      <c r="AZ21" s="841">
        <f>'5 Year Model'!AM14</f>
        <v>214619.24103566611</v>
      </c>
      <c r="BA21" s="841">
        <f>'5 Year Model'!AN14</f>
        <v>214362.00227646535</v>
      </c>
      <c r="BB21" s="841">
        <f>'5 Year Model'!AO14</f>
        <v>213345.78683683503</v>
      </c>
      <c r="BC21" s="841">
        <f>'5 Year Model'!AP14</f>
        <v>213599.90416969394</v>
      </c>
      <c r="BD21" s="841">
        <f>'5 Year Model'!AQ14</f>
        <v>215488.87590584048</v>
      </c>
      <c r="BE21" s="841">
        <f>'5 Year Model'!AR14</f>
        <v>218026.44891076611</v>
      </c>
      <c r="BF21" s="841">
        <f>'5 Year Model'!AS14</f>
        <v>220883.85779439897</v>
      </c>
      <c r="BG21" s="841">
        <f>'5 Year Model'!AT14</f>
        <v>224059.39703853911</v>
      </c>
      <c r="BH21" s="841">
        <f>'5 Year Model'!AU14</f>
        <v>227077.94706073697</v>
      </c>
      <c r="BI21" s="841">
        <f>'5 Year Model'!AV14</f>
        <v>228932.55443195222</v>
      </c>
      <c r="BJ21" s="841">
        <f>'5 Year Model'!AW14</f>
        <v>230432.91564072983</v>
      </c>
      <c r="BK21" s="841">
        <f>'5 Year Model'!AX14</f>
        <v>231721.01404029995</v>
      </c>
      <c r="BL21" s="841">
        <f>'5 Year Model'!AY14</f>
        <v>232341.74337917229</v>
      </c>
      <c r="BM21" s="841">
        <f>'5 Year Model'!AZ14</f>
        <v>232150.15920180918</v>
      </c>
      <c r="BN21" s="841">
        <f>'5 Year Model'!BA14</f>
        <v>231177.31793858897</v>
      </c>
      <c r="BO21" s="841">
        <f>'5 Year Model'!BB14</f>
        <v>231513.69647476415</v>
      </c>
      <c r="BP21" s="841">
        <f>'5 Year Model'!BC14</f>
        <v>233533.2566379536</v>
      </c>
      <c r="BQ21" s="841">
        <f>'5 Year Model'!BD14</f>
        <v>236222.63524405612</v>
      </c>
      <c r="BR21" s="841">
        <f>'5 Year Model'!BE14</f>
        <v>239241.92195101432</v>
      </c>
      <c r="BS21" s="841">
        <f>'5 Year Model'!BF14</f>
        <v>242588.15009075083</v>
      </c>
      <c r="BT21" s="841">
        <f>'5 Year Model'!BG14</f>
        <v>245774.42423217243</v>
      </c>
      <c r="BU21" s="841">
        <f>'5 Year Model'!BH14</f>
        <v>247762.37201437182</v>
      </c>
      <c r="BV21" s="841">
        <f>'5 Year Model'!BI14</f>
        <v>249385.07974905692</v>
      </c>
      <c r="BW21" s="841">
        <f>'5 Year Model'!BJ14</f>
        <v>250790.114440595</v>
      </c>
      <c r="BX21" s="841">
        <f>BW21*1.03</f>
        <v>258313.81787381286</v>
      </c>
      <c r="BY21" s="841">
        <f t="shared" ref="BY21:CA21" si="72">BX21</f>
        <v>258313.81787381286</v>
      </c>
      <c r="BZ21" s="841">
        <f t="shared" si="72"/>
        <v>258313.81787381286</v>
      </c>
      <c r="CA21" s="841">
        <f t="shared" si="72"/>
        <v>258313.81787381286</v>
      </c>
    </row>
    <row r="22" spans="2:79" ht="13.5" customHeight="1">
      <c r="B22" s="401" t="s">
        <v>813</v>
      </c>
      <c r="P22" s="841">
        <f>'5 Year Model'!C15</f>
        <v>228.68895896993541</v>
      </c>
      <c r="Q22" s="841">
        <f>'5 Year Model'!D15</f>
        <v>496.8179230949354</v>
      </c>
      <c r="R22" s="841">
        <f>'5 Year Model'!E15</f>
        <v>740.39593026087289</v>
      </c>
      <c r="S22" s="841">
        <f>'5 Year Model'!F15</f>
        <v>985.55971156891746</v>
      </c>
      <c r="T22" s="841">
        <f>'5 Year Model'!G15</f>
        <v>1238.5924356094506</v>
      </c>
      <c r="U22" s="841">
        <f>'5 Year Model'!H15</f>
        <v>1489.7363023686664</v>
      </c>
      <c r="V22" s="841">
        <f>'5 Year Model'!I15</f>
        <v>1748.5547590832075</v>
      </c>
      <c r="W22" s="841">
        <f>'5 Year Model'!J15</f>
        <v>2015.910651579243</v>
      </c>
      <c r="X22" s="841">
        <f>'5 Year Model'!K15</f>
        <v>2314.6528306063938</v>
      </c>
      <c r="Y22" s="841">
        <f>'5 Year Model'!L15</f>
        <v>2626.8613677409357</v>
      </c>
      <c r="Z22" s="841">
        <f>'5 Year Model'!M15</f>
        <v>2958.8609678462408</v>
      </c>
      <c r="AA22" s="841">
        <f>'5 Year Model'!N15</f>
        <v>3194.1829145290549</v>
      </c>
      <c r="AB22" s="841">
        <f>'5 Year Model'!O15</f>
        <v>3377.4584270622172</v>
      </c>
      <c r="AC22" s="841">
        <f>'5 Year Model'!P15</f>
        <v>3540.7169189937877</v>
      </c>
      <c r="AD22" s="841">
        <f>'5 Year Model'!Q15</f>
        <v>3673.5765396526185</v>
      </c>
      <c r="AE22" s="841">
        <f>'5 Year Model'!R15</f>
        <v>3807.1266006184851</v>
      </c>
      <c r="AF22" s="841">
        <f>'5 Year Model'!S15</f>
        <v>3952.659533536058</v>
      </c>
      <c r="AG22" s="841">
        <f>'5 Year Model'!T15</f>
        <v>4087.594891621336</v>
      </c>
      <c r="AH22" s="841">
        <f>'5 Year Model'!U15</f>
        <v>4234.0574121571372</v>
      </c>
      <c r="AI22" s="841">
        <f>'5 Year Model'!V15</f>
        <v>4372.4302687318414</v>
      </c>
      <c r="AJ22" s="841">
        <f>'5 Year Model'!W15</f>
        <v>4540.3169431949373</v>
      </c>
      <c r="AK22" s="841">
        <f>'5 Year Model'!X15</f>
        <v>4705.0519026019992</v>
      </c>
      <c r="AL22" s="841">
        <f>'5 Year Model'!Y15</f>
        <v>4878.8276580931561</v>
      </c>
      <c r="AM22" s="841">
        <f>'5 Year Model'!Z15</f>
        <v>4868.5885788935711</v>
      </c>
      <c r="AN22" s="841">
        <f>'5 Year Model'!AA15</f>
        <v>4844.1278017479617</v>
      </c>
      <c r="AO22" s="841">
        <f>'5 Year Model'!AB15</f>
        <v>4802.560463038225</v>
      </c>
      <c r="AP22" s="841">
        <f>'5 Year Model'!AC15</f>
        <v>4744.8701900542983</v>
      </c>
      <c r="AQ22" s="841">
        <f>'5 Year Model'!AD15</f>
        <v>4734.9284427669472</v>
      </c>
      <c r="AR22" s="841">
        <f>'5 Year Model'!AE15</f>
        <v>4758.8818471986187</v>
      </c>
      <c r="AS22" s="841">
        <f>'5 Year Model'!AF15</f>
        <v>4788.8631533754688</v>
      </c>
      <c r="AT22" s="841">
        <f>'5 Year Model'!AG15</f>
        <v>4824.5257569471505</v>
      </c>
      <c r="AU22" s="841">
        <f>'5 Year Model'!AH15</f>
        <v>4865.5429833134613</v>
      </c>
      <c r="AV22" s="841">
        <f>'5 Year Model'!AI15</f>
        <v>4923.7702589699356</v>
      </c>
      <c r="AW22" s="841">
        <f>'5 Year Model'!AJ15</f>
        <v>4923.7702589699347</v>
      </c>
      <c r="AX22" s="841">
        <f>'5 Year Model'!AK15</f>
        <v>4923.7702589699347</v>
      </c>
      <c r="AY22" s="841">
        <f>'5 Year Model'!AL15</f>
        <v>4910.9469802199346</v>
      </c>
      <c r="AZ22" s="841">
        <f>'5 Year Model'!AM15</f>
        <v>4884.0505949980598</v>
      </c>
      <c r="BA22" s="841">
        <f>'5 Year Model'!AN15</f>
        <v>4840.1876956764427</v>
      </c>
      <c r="BB22" s="841">
        <f>'5 Year Model'!AO15</f>
        <v>4780.3338568158179</v>
      </c>
      <c r="BC22" s="841">
        <f>'5 Year Model'!AP15</f>
        <v>4768.3529486896796</v>
      </c>
      <c r="BD22" s="841">
        <f>'5 Year Model'!AQ15</f>
        <v>4790.3844440307948</v>
      </c>
      <c r="BE22" s="841">
        <f>'5 Year Model'!AR15</f>
        <v>4818.5543508897954</v>
      </c>
      <c r="BF22" s="841">
        <f>'5 Year Model'!AS15</f>
        <v>4852.5097106044032</v>
      </c>
      <c r="BG22" s="841">
        <f>'5 Year Model'!AT15</f>
        <v>4891.9178596354213</v>
      </c>
      <c r="BH22" s="841">
        <f>'5 Year Model'!AU15</f>
        <v>4923.7702589699347</v>
      </c>
      <c r="BI22" s="841">
        <f>'5 Year Model'!AV15</f>
        <v>4923.7702589699338</v>
      </c>
      <c r="BJ22" s="841">
        <f>'5 Year Model'!AW15</f>
        <v>4923.7702589699338</v>
      </c>
      <c r="BK22" s="841">
        <f>'5 Year Model'!AX15</f>
        <v>4910.9469802199337</v>
      </c>
      <c r="BL22" s="841">
        <f>'5 Year Model'!AY15</f>
        <v>4884.0505949980579</v>
      </c>
      <c r="BM22" s="841">
        <f>'5 Year Model'!AZ15</f>
        <v>4840.1876956764409</v>
      </c>
      <c r="BN22" s="841">
        <f>'5 Year Model'!BA15</f>
        <v>4780.3338568158169</v>
      </c>
      <c r="BO22" s="841">
        <f>'5 Year Model'!BB15</f>
        <v>4768.3529486896787</v>
      </c>
      <c r="BP22" s="841">
        <f>'5 Year Model'!BC15</f>
        <v>4790.384444030793</v>
      </c>
      <c r="BQ22" s="841">
        <f>'5 Year Model'!BD15</f>
        <v>4818.5543508897936</v>
      </c>
      <c r="BR22" s="841">
        <f>'5 Year Model'!BE15</f>
        <v>4852.5097106044013</v>
      </c>
      <c r="BS22" s="841">
        <f>'5 Year Model'!BF15</f>
        <v>4891.9178596354195</v>
      </c>
      <c r="BT22" s="841">
        <f>'5 Year Model'!BG15</f>
        <v>4923.7702589699329</v>
      </c>
      <c r="BU22" s="841">
        <f>'5 Year Model'!BH15</f>
        <v>4923.7702589699329</v>
      </c>
      <c r="BV22" s="841">
        <f>'5 Year Model'!BI15</f>
        <v>4923.7702589699329</v>
      </c>
      <c r="BW22" s="841">
        <f>'5 Year Model'!BJ15</f>
        <v>4910.9469802199328</v>
      </c>
      <c r="BX22" s="841">
        <f t="shared" ref="BX22:BX24" si="73">BW22*1.03</f>
        <v>5058.2753896265313</v>
      </c>
      <c r="BY22" s="841">
        <f t="shared" ref="BY22:CA24" si="74">BX22</f>
        <v>5058.2753896265313</v>
      </c>
      <c r="BZ22" s="841">
        <f t="shared" si="74"/>
        <v>5058.2753896265313</v>
      </c>
      <c r="CA22" s="841">
        <f t="shared" si="74"/>
        <v>5058.2753896265313</v>
      </c>
    </row>
    <row r="23" spans="2:79" ht="13.5" customHeight="1">
      <c r="B23" s="401" t="s">
        <v>814</v>
      </c>
      <c r="P23" s="841">
        <f>'5 Year Model'!C16</f>
        <v>785.86752989978481</v>
      </c>
      <c r="Q23" s="841">
        <f>'5 Year Model'!D16</f>
        <v>700</v>
      </c>
      <c r="R23" s="841">
        <f>'5 Year Model'!E16</f>
        <v>660</v>
      </c>
      <c r="S23" s="841">
        <f>'5 Year Model'!F16</f>
        <v>680</v>
      </c>
      <c r="T23" s="841">
        <f>'5 Year Model'!G16</f>
        <v>720</v>
      </c>
      <c r="U23" s="841">
        <f>'5 Year Model'!H16</f>
        <v>740</v>
      </c>
      <c r="V23" s="841">
        <f>'5 Year Model'!I16</f>
        <v>780</v>
      </c>
      <c r="W23" s="841">
        <f>'5 Year Model'!J16</f>
        <v>840</v>
      </c>
      <c r="X23" s="841">
        <f>'5 Year Model'!K16</f>
        <v>940</v>
      </c>
      <c r="Y23" s="841">
        <f>'5 Year Model'!L16</f>
        <v>1040</v>
      </c>
      <c r="Z23" s="841">
        <f>'5 Year Model'!M16</f>
        <v>1140</v>
      </c>
      <c r="AA23" s="841">
        <f>'5 Year Model'!N16</f>
        <v>980</v>
      </c>
      <c r="AB23" s="841">
        <f>'5 Year Model'!O16</f>
        <v>860</v>
      </c>
      <c r="AC23" s="841">
        <f>'5 Year Model'!P16</f>
        <v>840</v>
      </c>
      <c r="AD23" s="841">
        <f>'5 Year Model'!Q16</f>
        <v>780</v>
      </c>
      <c r="AE23" s="841">
        <f>'5 Year Model'!R16</f>
        <v>820</v>
      </c>
      <c r="AF23" s="841">
        <f>'5 Year Model'!S16</f>
        <v>860</v>
      </c>
      <c r="AG23" s="841">
        <f>'5 Year Model'!T16</f>
        <v>880</v>
      </c>
      <c r="AH23" s="841">
        <f>'5 Year Model'!U16</f>
        <v>940</v>
      </c>
      <c r="AI23" s="841">
        <f>'5 Year Model'!V16</f>
        <v>960</v>
      </c>
      <c r="AJ23" s="841">
        <f>'5 Year Model'!W16</f>
        <v>1060</v>
      </c>
      <c r="AK23" s="841">
        <f>'5 Year Model'!X16</f>
        <v>1100</v>
      </c>
      <c r="AL23" s="841">
        <f>'5 Year Model'!Y16</f>
        <v>1160</v>
      </c>
      <c r="AM23" s="841">
        <f>'5 Year Model'!Z16</f>
        <v>700</v>
      </c>
      <c r="AN23" s="841">
        <f>'5 Year Model'!AA16</f>
        <v>660</v>
      </c>
      <c r="AO23" s="841">
        <f>'5 Year Model'!AB16</f>
        <v>620</v>
      </c>
      <c r="AP23" s="841">
        <f>'5 Year Model'!AC16</f>
        <v>560</v>
      </c>
      <c r="AQ23" s="841">
        <f>'5 Year Model'!AD16</f>
        <v>680</v>
      </c>
      <c r="AR23" s="841">
        <f>'5 Year Model'!AE16</f>
        <v>780</v>
      </c>
      <c r="AS23" s="841">
        <f>'5 Year Model'!AF16</f>
        <v>780</v>
      </c>
      <c r="AT23" s="841">
        <f>'5 Year Model'!AG16</f>
        <v>820</v>
      </c>
      <c r="AU23" s="841">
        <f>'5 Year Model'!AH16</f>
        <v>820</v>
      </c>
      <c r="AV23" s="841">
        <f>'5 Year Model'!AI16</f>
        <v>880</v>
      </c>
      <c r="AW23" s="841">
        <f>'5 Year Model'!AJ16</f>
        <v>760</v>
      </c>
      <c r="AX23" s="841">
        <f>'5 Year Model'!AK16</f>
        <v>760</v>
      </c>
      <c r="AY23" s="841">
        <f>'5 Year Model'!AL16</f>
        <v>700</v>
      </c>
      <c r="AZ23" s="841">
        <f>'5 Year Model'!AM16</f>
        <v>660</v>
      </c>
      <c r="BA23" s="841">
        <f>'5 Year Model'!AN16</f>
        <v>620</v>
      </c>
      <c r="BB23" s="841">
        <f>'5 Year Model'!AO16</f>
        <v>560</v>
      </c>
      <c r="BC23" s="841">
        <f>'5 Year Model'!AP16</f>
        <v>680</v>
      </c>
      <c r="BD23" s="841">
        <f>'5 Year Model'!AQ16</f>
        <v>780</v>
      </c>
      <c r="BE23" s="841">
        <f>'5 Year Model'!AR16</f>
        <v>780</v>
      </c>
      <c r="BF23" s="841">
        <f>'5 Year Model'!AS16</f>
        <v>800</v>
      </c>
      <c r="BG23" s="841">
        <f>'5 Year Model'!AT16</f>
        <v>840</v>
      </c>
      <c r="BH23" s="841">
        <f>'5 Year Model'!AU16</f>
        <v>820</v>
      </c>
      <c r="BI23" s="841">
        <f>'5 Year Model'!AV16</f>
        <v>740</v>
      </c>
      <c r="BJ23" s="841">
        <f>'5 Year Model'!AW16</f>
        <v>760</v>
      </c>
      <c r="BK23" s="841">
        <f>'5 Year Model'!AX16</f>
        <v>700</v>
      </c>
      <c r="BL23" s="841">
        <f>'5 Year Model'!AY16</f>
        <v>660</v>
      </c>
      <c r="BM23" s="841">
        <f>'5 Year Model'!AZ16</f>
        <v>620</v>
      </c>
      <c r="BN23" s="841">
        <f>'5 Year Model'!BA16</f>
        <v>560</v>
      </c>
      <c r="BO23" s="841">
        <f>'5 Year Model'!BB16</f>
        <v>700</v>
      </c>
      <c r="BP23" s="841">
        <f>'5 Year Model'!BC16</f>
        <v>760</v>
      </c>
      <c r="BQ23" s="841">
        <f>'5 Year Model'!BD16</f>
        <v>780</v>
      </c>
      <c r="BR23" s="841">
        <f>'5 Year Model'!BE16</f>
        <v>820</v>
      </c>
      <c r="BS23" s="841">
        <f>'5 Year Model'!BF16</f>
        <v>820</v>
      </c>
      <c r="BT23" s="841">
        <f>'5 Year Model'!BG16</f>
        <v>820</v>
      </c>
      <c r="BU23" s="841">
        <f>'5 Year Model'!BH16</f>
        <v>760</v>
      </c>
      <c r="BV23" s="841">
        <f>'5 Year Model'!BI16</f>
        <v>760</v>
      </c>
      <c r="BW23" s="841">
        <f>'5 Year Model'!BJ16</f>
        <v>700</v>
      </c>
      <c r="BX23" s="841">
        <f t="shared" si="73"/>
        <v>721</v>
      </c>
      <c r="BY23" s="841">
        <f t="shared" si="74"/>
        <v>721</v>
      </c>
      <c r="BZ23" s="841">
        <f t="shared" si="74"/>
        <v>721</v>
      </c>
      <c r="CA23" s="841">
        <f t="shared" si="74"/>
        <v>721</v>
      </c>
    </row>
    <row r="24" spans="2:79" ht="13.5" customHeight="1">
      <c r="B24" s="401" t="s">
        <v>815</v>
      </c>
      <c r="P24" s="841">
        <f>'5 Year Model'!C17</f>
        <v>3536.4038845490313</v>
      </c>
      <c r="Q24" s="841">
        <f>'5 Year Model'!D17</f>
        <v>3150</v>
      </c>
      <c r="R24" s="841">
        <f>'5 Year Model'!E17</f>
        <v>2970</v>
      </c>
      <c r="S24" s="841">
        <f>'5 Year Model'!F17</f>
        <v>3060</v>
      </c>
      <c r="T24" s="841">
        <f>'5 Year Model'!G17</f>
        <v>3240</v>
      </c>
      <c r="U24" s="841">
        <f>'5 Year Model'!H17</f>
        <v>3330</v>
      </c>
      <c r="V24" s="841">
        <f>'5 Year Model'!I17</f>
        <v>3510</v>
      </c>
      <c r="W24" s="841">
        <f>'5 Year Model'!J17</f>
        <v>3780</v>
      </c>
      <c r="X24" s="841">
        <f>'5 Year Model'!K17</f>
        <v>4230</v>
      </c>
      <c r="Y24" s="841">
        <f>'5 Year Model'!L17</f>
        <v>4680</v>
      </c>
      <c r="Z24" s="841">
        <f>'5 Year Model'!M17</f>
        <v>5130</v>
      </c>
      <c r="AA24" s="841">
        <f>'5 Year Model'!N17</f>
        <v>4410</v>
      </c>
      <c r="AB24" s="841">
        <f>'5 Year Model'!O17</f>
        <v>3870</v>
      </c>
      <c r="AC24" s="841">
        <f>'5 Year Model'!P17</f>
        <v>3780</v>
      </c>
      <c r="AD24" s="841">
        <f>'5 Year Model'!Q17</f>
        <v>3510</v>
      </c>
      <c r="AE24" s="841">
        <f>'5 Year Model'!R17</f>
        <v>3690</v>
      </c>
      <c r="AF24" s="841">
        <f>'5 Year Model'!S17</f>
        <v>3870</v>
      </c>
      <c r="AG24" s="841">
        <f>'5 Year Model'!T17</f>
        <v>3960</v>
      </c>
      <c r="AH24" s="841">
        <f>'5 Year Model'!U17</f>
        <v>4230</v>
      </c>
      <c r="AI24" s="841">
        <f>'5 Year Model'!V17</f>
        <v>4320</v>
      </c>
      <c r="AJ24" s="841">
        <f>'5 Year Model'!W17</f>
        <v>4770</v>
      </c>
      <c r="AK24" s="841">
        <f>'5 Year Model'!X17</f>
        <v>4950</v>
      </c>
      <c r="AL24" s="841">
        <f>'5 Year Model'!Y17</f>
        <v>5220</v>
      </c>
      <c r="AM24" s="841">
        <f>'5 Year Model'!Z17</f>
        <v>3150</v>
      </c>
      <c r="AN24" s="841">
        <f>'5 Year Model'!AA17</f>
        <v>2970</v>
      </c>
      <c r="AO24" s="841">
        <f>'5 Year Model'!AB17</f>
        <v>2790</v>
      </c>
      <c r="AP24" s="841">
        <f>'5 Year Model'!AC17</f>
        <v>2520</v>
      </c>
      <c r="AQ24" s="841">
        <f>'5 Year Model'!AD17</f>
        <v>3060</v>
      </c>
      <c r="AR24" s="841">
        <f>'5 Year Model'!AE17</f>
        <v>3510</v>
      </c>
      <c r="AS24" s="841">
        <f>'5 Year Model'!AF17</f>
        <v>3510</v>
      </c>
      <c r="AT24" s="841">
        <f>'5 Year Model'!AG17</f>
        <v>3690</v>
      </c>
      <c r="AU24" s="841">
        <f>'5 Year Model'!AH17</f>
        <v>3690</v>
      </c>
      <c r="AV24" s="841">
        <f>'5 Year Model'!AI17</f>
        <v>3960</v>
      </c>
      <c r="AW24" s="841">
        <f>'5 Year Model'!AJ17</f>
        <v>3420</v>
      </c>
      <c r="AX24" s="841">
        <f>'5 Year Model'!AK17</f>
        <v>3420</v>
      </c>
      <c r="AY24" s="841">
        <f>'5 Year Model'!AL17</f>
        <v>3150</v>
      </c>
      <c r="AZ24" s="841">
        <f>'5 Year Model'!AM17</f>
        <v>2970</v>
      </c>
      <c r="BA24" s="841">
        <f>'5 Year Model'!AN17</f>
        <v>2790</v>
      </c>
      <c r="BB24" s="841">
        <f>'5 Year Model'!AO17</f>
        <v>2520</v>
      </c>
      <c r="BC24" s="841">
        <f>'5 Year Model'!AP17</f>
        <v>3060</v>
      </c>
      <c r="BD24" s="841">
        <f>'5 Year Model'!AQ17</f>
        <v>3510</v>
      </c>
      <c r="BE24" s="841">
        <f>'5 Year Model'!AR17</f>
        <v>3510</v>
      </c>
      <c r="BF24" s="841">
        <f>'5 Year Model'!AS17</f>
        <v>3600</v>
      </c>
      <c r="BG24" s="841">
        <f>'5 Year Model'!AT17</f>
        <v>3780</v>
      </c>
      <c r="BH24" s="841">
        <f>'5 Year Model'!AU17</f>
        <v>3690</v>
      </c>
      <c r="BI24" s="841">
        <f>'5 Year Model'!AV17</f>
        <v>3330</v>
      </c>
      <c r="BJ24" s="841">
        <f>'5 Year Model'!AW17</f>
        <v>3420</v>
      </c>
      <c r="BK24" s="841">
        <f>'5 Year Model'!AX17</f>
        <v>3150</v>
      </c>
      <c r="BL24" s="841">
        <f>'5 Year Model'!AY17</f>
        <v>2970</v>
      </c>
      <c r="BM24" s="841">
        <f>'5 Year Model'!AZ17</f>
        <v>2790</v>
      </c>
      <c r="BN24" s="841">
        <f>'5 Year Model'!BA17</f>
        <v>2520</v>
      </c>
      <c r="BO24" s="841">
        <f>'5 Year Model'!BB17</f>
        <v>3150</v>
      </c>
      <c r="BP24" s="841">
        <f>'5 Year Model'!BC17</f>
        <v>3420</v>
      </c>
      <c r="BQ24" s="841">
        <f>'5 Year Model'!BD17</f>
        <v>3510</v>
      </c>
      <c r="BR24" s="841">
        <f>'5 Year Model'!BE17</f>
        <v>3690</v>
      </c>
      <c r="BS24" s="841">
        <f>'5 Year Model'!BF17</f>
        <v>3690</v>
      </c>
      <c r="BT24" s="841">
        <f>'5 Year Model'!BG17</f>
        <v>3690</v>
      </c>
      <c r="BU24" s="841">
        <f>'5 Year Model'!BH17</f>
        <v>3420</v>
      </c>
      <c r="BV24" s="841">
        <f>'5 Year Model'!BI17</f>
        <v>3420</v>
      </c>
      <c r="BW24" s="841">
        <f>'5 Year Model'!BJ17</f>
        <v>3150</v>
      </c>
      <c r="BX24" s="841">
        <f t="shared" si="73"/>
        <v>3244.5</v>
      </c>
      <c r="BY24" s="841">
        <f t="shared" si="74"/>
        <v>3244.5</v>
      </c>
      <c r="BZ24" s="841">
        <f t="shared" si="74"/>
        <v>3244.5</v>
      </c>
      <c r="CA24" s="841">
        <f t="shared" si="74"/>
        <v>3244.5</v>
      </c>
    </row>
    <row r="25" spans="2:79" ht="13.5" customHeight="1" thickBot="1">
      <c r="B25" s="845" t="s">
        <v>816</v>
      </c>
      <c r="C25" s="845"/>
      <c r="D25" s="845"/>
      <c r="E25" s="845"/>
      <c r="F25" s="845"/>
      <c r="G25" s="845"/>
      <c r="H25" s="845"/>
      <c r="I25" s="845"/>
      <c r="J25" s="845"/>
      <c r="K25" s="845"/>
      <c r="L25" s="845"/>
      <c r="M25" s="845"/>
      <c r="N25" s="845"/>
      <c r="O25" s="845"/>
      <c r="P25" s="846">
        <f>+SUM(P21:P24)</f>
        <v>4589.3205177223372</v>
      </c>
      <c r="Q25" s="846">
        <f t="shared" ref="Q25:CA25" si="75">+SUM(Q21:Q24)</f>
        <v>10177.474895709314</v>
      </c>
      <c r="R25" s="846">
        <f t="shared" si="75"/>
        <v>17162.056775911093</v>
      </c>
      <c r="S25" s="846">
        <f t="shared" si="75"/>
        <v>23749.833516519404</v>
      </c>
      <c r="T25" s="846">
        <f t="shared" si="75"/>
        <v>30605.236005682127</v>
      </c>
      <c r="U25" s="846">
        <f t="shared" si="75"/>
        <v>37823.18415919102</v>
      </c>
      <c r="V25" s="846">
        <f t="shared" si="75"/>
        <v>46435.893178947445</v>
      </c>
      <c r="W25" s="846">
        <f t="shared" si="75"/>
        <v>55763.19224163032</v>
      </c>
      <c r="X25" s="846">
        <f t="shared" si="75"/>
        <v>65817.872366363998</v>
      </c>
      <c r="Y25" s="846">
        <f t="shared" si="75"/>
        <v>77281.768007884559</v>
      </c>
      <c r="Z25" s="846">
        <f t="shared" si="75"/>
        <v>89137.225317180841</v>
      </c>
      <c r="AA25" s="846">
        <f t="shared" si="75"/>
        <v>101488.03330688382</v>
      </c>
      <c r="AB25" s="846">
        <f t="shared" si="75"/>
        <v>112093.29381855993</v>
      </c>
      <c r="AC25" s="846">
        <f t="shared" si="75"/>
        <v>120005.77557913437</v>
      </c>
      <c r="AD25" s="846">
        <f t="shared" si="75"/>
        <v>127979.92338779185</v>
      </c>
      <c r="AE25" s="846">
        <f t="shared" si="75"/>
        <v>136146.86134469428</v>
      </c>
      <c r="AF25" s="846">
        <f t="shared" si="75"/>
        <v>143508.85926313896</v>
      </c>
      <c r="AG25" s="846">
        <f t="shared" si="75"/>
        <v>151594.05979646315</v>
      </c>
      <c r="AH25" s="846">
        <f t="shared" si="75"/>
        <v>158639.17872025704</v>
      </c>
      <c r="AI25" s="846">
        <f t="shared" si="75"/>
        <v>166865.76831273397</v>
      </c>
      <c r="AJ25" s="846">
        <f t="shared" si="75"/>
        <v>175286.02625965117</v>
      </c>
      <c r="AK25" s="846">
        <f t="shared" si="75"/>
        <v>185769.02507089279</v>
      </c>
      <c r="AL25" s="846">
        <f t="shared" si="75"/>
        <v>195528.48862770185</v>
      </c>
      <c r="AM25" s="846">
        <f t="shared" si="75"/>
        <v>198955.44169752923</v>
      </c>
      <c r="AN25" s="846">
        <f t="shared" si="75"/>
        <v>199965.00463162269</v>
      </c>
      <c r="AO25" s="846">
        <f t="shared" si="75"/>
        <v>200319.77905402804</v>
      </c>
      <c r="AP25" s="846">
        <f t="shared" si="75"/>
        <v>199697.63945628185</v>
      </c>
      <c r="AQ25" s="846">
        <f t="shared" si="75"/>
        <v>201349.07546465291</v>
      </c>
      <c r="AR25" s="846">
        <f t="shared" si="75"/>
        <v>204552.66581183716</v>
      </c>
      <c r="AS25" s="846">
        <f t="shared" si="75"/>
        <v>207195.30522390929</v>
      </c>
      <c r="AT25" s="846">
        <f t="shared" si="75"/>
        <v>210309.92347296447</v>
      </c>
      <c r="AU25" s="846">
        <f t="shared" si="75"/>
        <v>213496.24944414536</v>
      </c>
      <c r="AV25" s="846">
        <f t="shared" si="75"/>
        <v>217758.70603698169</v>
      </c>
      <c r="AW25" s="846">
        <f t="shared" si="75"/>
        <v>219451.7578397679</v>
      </c>
      <c r="AX25" s="846">
        <f t="shared" si="75"/>
        <v>221258.50796842843</v>
      </c>
      <c r="AY25" s="846">
        <f t="shared" si="75"/>
        <v>222525.40469028518</v>
      </c>
      <c r="AZ25" s="846">
        <f t="shared" si="75"/>
        <v>223133.29163066417</v>
      </c>
      <c r="BA25" s="846">
        <f t="shared" si="75"/>
        <v>222612.18997214179</v>
      </c>
      <c r="BB25" s="846">
        <f t="shared" si="75"/>
        <v>221206.12069365085</v>
      </c>
      <c r="BC25" s="846">
        <f t="shared" si="75"/>
        <v>222108.25711838363</v>
      </c>
      <c r="BD25" s="846">
        <f t="shared" si="75"/>
        <v>224569.26034987127</v>
      </c>
      <c r="BE25" s="846">
        <f t="shared" si="75"/>
        <v>227135.00326165589</v>
      </c>
      <c r="BF25" s="846">
        <f t="shared" si="75"/>
        <v>230136.36750500338</v>
      </c>
      <c r="BG25" s="846">
        <f t="shared" si="75"/>
        <v>233571.31489817455</v>
      </c>
      <c r="BH25" s="846">
        <f t="shared" si="75"/>
        <v>236511.71731970692</v>
      </c>
      <c r="BI25" s="846">
        <f t="shared" si="75"/>
        <v>237926.32469092216</v>
      </c>
      <c r="BJ25" s="846">
        <f t="shared" si="75"/>
        <v>239536.68589969978</v>
      </c>
      <c r="BK25" s="846">
        <f t="shared" si="75"/>
        <v>240481.9610205199</v>
      </c>
      <c r="BL25" s="846">
        <f t="shared" si="75"/>
        <v>240855.79397417034</v>
      </c>
      <c r="BM25" s="846">
        <f t="shared" si="75"/>
        <v>240400.34689748561</v>
      </c>
      <c r="BN25" s="846">
        <f t="shared" si="75"/>
        <v>239037.65179540479</v>
      </c>
      <c r="BO25" s="846">
        <f t="shared" si="75"/>
        <v>240132.04942345383</v>
      </c>
      <c r="BP25" s="846">
        <f t="shared" si="75"/>
        <v>242503.64108198439</v>
      </c>
      <c r="BQ25" s="846">
        <f t="shared" si="75"/>
        <v>245331.1895949459</v>
      </c>
      <c r="BR25" s="846">
        <f t="shared" si="75"/>
        <v>248604.43166161873</v>
      </c>
      <c r="BS25" s="846">
        <f t="shared" si="75"/>
        <v>251990.06795038626</v>
      </c>
      <c r="BT25" s="846">
        <f t="shared" si="75"/>
        <v>255208.19449114235</v>
      </c>
      <c r="BU25" s="846">
        <f t="shared" si="75"/>
        <v>256866.14227334177</v>
      </c>
      <c r="BV25" s="846">
        <f t="shared" si="75"/>
        <v>258488.85000802687</v>
      </c>
      <c r="BW25" s="846">
        <f t="shared" si="75"/>
        <v>259551.06142081495</v>
      </c>
      <c r="BX25" s="846">
        <f t="shared" si="75"/>
        <v>267337.59326343937</v>
      </c>
      <c r="BY25" s="846">
        <f t="shared" si="75"/>
        <v>267337.59326343937</v>
      </c>
      <c r="BZ25" s="846">
        <f t="shared" si="75"/>
        <v>267337.59326343937</v>
      </c>
      <c r="CA25" s="846">
        <f t="shared" si="75"/>
        <v>267337.59326343937</v>
      </c>
    </row>
    <row r="26" spans="2:79" ht="13.5" customHeight="1" thickTop="1">
      <c r="B26"/>
      <c r="P26" s="841"/>
      <c r="Q26" s="841"/>
      <c r="R26" s="841"/>
      <c r="S26" s="841"/>
      <c r="T26" s="841"/>
      <c r="U26" s="841"/>
      <c r="V26" s="841"/>
      <c r="W26" s="841"/>
      <c r="X26" s="841"/>
      <c r="Y26" s="841"/>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c r="BC26" s="841"/>
      <c r="BD26" s="841"/>
      <c r="BE26" s="841"/>
      <c r="BF26" s="841"/>
      <c r="BG26" s="841"/>
      <c r="BH26" s="841"/>
      <c r="BI26" s="841"/>
      <c r="BJ26" s="841"/>
      <c r="BK26" s="841"/>
      <c r="BL26" s="841"/>
      <c r="BM26" s="841"/>
      <c r="BN26" s="841"/>
      <c r="BO26" s="841"/>
      <c r="BP26" s="841"/>
      <c r="BQ26" s="841"/>
      <c r="BR26" s="841"/>
      <c r="BS26" s="841"/>
      <c r="BT26" s="841"/>
      <c r="BU26" s="841"/>
      <c r="BV26" s="841"/>
      <c r="BW26" s="841"/>
      <c r="BX26" s="841"/>
      <c r="BY26" s="841"/>
      <c r="BZ26" s="841"/>
      <c r="CA26" s="841"/>
    </row>
    <row r="27" spans="2:79" ht="13.5" customHeight="1">
      <c r="B27" s="4" t="s">
        <v>817</v>
      </c>
      <c r="P27" s="841"/>
      <c r="Q27" s="841"/>
      <c r="R27" s="841"/>
      <c r="S27" s="841"/>
      <c r="T27" s="841"/>
      <c r="U27" s="841"/>
      <c r="V27" s="841"/>
      <c r="W27" s="841"/>
      <c r="X27" s="841"/>
      <c r="Y27" s="841"/>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c r="BC27" s="841"/>
      <c r="BD27" s="841"/>
      <c r="BE27" s="841"/>
      <c r="BF27" s="841"/>
      <c r="BG27" s="841"/>
      <c r="BH27" s="841"/>
      <c r="BI27" s="841"/>
      <c r="BJ27" s="841"/>
      <c r="BK27" s="841"/>
      <c r="BL27" s="841"/>
      <c r="BM27" s="841"/>
      <c r="BN27" s="841"/>
      <c r="BO27" s="841"/>
      <c r="BP27" s="841"/>
      <c r="BQ27" s="841"/>
      <c r="BR27" s="841"/>
      <c r="BS27" s="841"/>
      <c r="BT27" s="841"/>
      <c r="BU27" s="841"/>
      <c r="BV27" s="841"/>
      <c r="BW27" s="841"/>
      <c r="BX27" s="841"/>
      <c r="BY27" s="841"/>
      <c r="BZ27" s="841"/>
      <c r="CA27" s="841"/>
    </row>
    <row r="28" spans="2:79" ht="13.5" customHeight="1">
      <c r="B28" s="401" t="s">
        <v>818</v>
      </c>
      <c r="P28" s="841">
        <f>'5 Year Model'!C21</f>
        <v>299</v>
      </c>
      <c r="Q28" s="841">
        <f>'5 Year Model'!D21</f>
        <v>299</v>
      </c>
      <c r="R28" s="841">
        <f>'5 Year Model'!E21</f>
        <v>299</v>
      </c>
      <c r="S28" s="841">
        <f>'5 Year Model'!F21</f>
        <v>299</v>
      </c>
      <c r="T28" s="841">
        <f>'5 Year Model'!G21</f>
        <v>299</v>
      </c>
      <c r="U28" s="841">
        <f>'5 Year Model'!H21</f>
        <v>299</v>
      </c>
      <c r="V28" s="841">
        <f>'5 Year Model'!I21</f>
        <v>299</v>
      </c>
      <c r="W28" s="841">
        <f>'5 Year Model'!J21</f>
        <v>299</v>
      </c>
      <c r="X28" s="841">
        <f>'5 Year Model'!K21</f>
        <v>299</v>
      </c>
      <c r="Y28" s="841">
        <f>'5 Year Model'!L21</f>
        <v>299</v>
      </c>
      <c r="Z28" s="841">
        <f>'5 Year Model'!M21</f>
        <v>299</v>
      </c>
      <c r="AA28" s="841">
        <f>'5 Year Model'!N21</f>
        <v>299</v>
      </c>
      <c r="AB28" s="841">
        <f>'5 Year Model'!O21</f>
        <v>299</v>
      </c>
      <c r="AC28" s="841">
        <f>'5 Year Model'!P21</f>
        <v>299</v>
      </c>
      <c r="AD28" s="841">
        <f>'5 Year Model'!Q21</f>
        <v>299</v>
      </c>
      <c r="AE28" s="841">
        <f>'5 Year Model'!R21</f>
        <v>299</v>
      </c>
      <c r="AF28" s="841">
        <f>'5 Year Model'!S21</f>
        <v>299</v>
      </c>
      <c r="AG28" s="841">
        <f>'5 Year Model'!T21</f>
        <v>299</v>
      </c>
      <c r="AH28" s="841">
        <f>'5 Year Model'!U21</f>
        <v>299</v>
      </c>
      <c r="AI28" s="841">
        <f>'5 Year Model'!V21</f>
        <v>299</v>
      </c>
      <c r="AJ28" s="841">
        <f>'5 Year Model'!W21</f>
        <v>299</v>
      </c>
      <c r="AK28" s="841">
        <f>'5 Year Model'!X21</f>
        <v>299</v>
      </c>
      <c r="AL28" s="841">
        <f>'5 Year Model'!Y21</f>
        <v>299</v>
      </c>
      <c r="AM28" s="841">
        <f>'5 Year Model'!Z21</f>
        <v>299</v>
      </c>
      <c r="AN28" s="841">
        <f>'5 Year Model'!AA21</f>
        <v>299</v>
      </c>
      <c r="AO28" s="841">
        <f>'5 Year Model'!AB21</f>
        <v>299</v>
      </c>
      <c r="AP28" s="841">
        <f>'5 Year Model'!AC21</f>
        <v>299</v>
      </c>
      <c r="AQ28" s="841">
        <f>'5 Year Model'!AD21</f>
        <v>299</v>
      </c>
      <c r="AR28" s="841">
        <f>'5 Year Model'!AE21</f>
        <v>299</v>
      </c>
      <c r="AS28" s="841">
        <f>'5 Year Model'!AF21</f>
        <v>299</v>
      </c>
      <c r="AT28" s="841">
        <f>'5 Year Model'!AG21</f>
        <v>299</v>
      </c>
      <c r="AU28" s="841">
        <f>'5 Year Model'!AH21</f>
        <v>299</v>
      </c>
      <c r="AV28" s="841">
        <f>'5 Year Model'!AI21</f>
        <v>299</v>
      </c>
      <c r="AW28" s="841">
        <f>'5 Year Model'!AJ21</f>
        <v>299</v>
      </c>
      <c r="AX28" s="841">
        <f>'5 Year Model'!AK21</f>
        <v>299</v>
      </c>
      <c r="AY28" s="841">
        <f>'5 Year Model'!AL21</f>
        <v>299</v>
      </c>
      <c r="AZ28" s="841">
        <f>'5 Year Model'!AM21</f>
        <v>299</v>
      </c>
      <c r="BA28" s="841">
        <f>'5 Year Model'!AN21</f>
        <v>299</v>
      </c>
      <c r="BB28" s="841">
        <f>'5 Year Model'!AO21</f>
        <v>299</v>
      </c>
      <c r="BC28" s="841">
        <f>'5 Year Model'!AP21</f>
        <v>299</v>
      </c>
      <c r="BD28" s="841">
        <f>'5 Year Model'!AQ21</f>
        <v>299</v>
      </c>
      <c r="BE28" s="841">
        <f>'5 Year Model'!AR21</f>
        <v>299</v>
      </c>
      <c r="BF28" s="841">
        <f>'5 Year Model'!AS21</f>
        <v>299</v>
      </c>
      <c r="BG28" s="841">
        <f>'5 Year Model'!AT21</f>
        <v>299</v>
      </c>
      <c r="BH28" s="841">
        <f>'5 Year Model'!AU21</f>
        <v>299</v>
      </c>
      <c r="BI28" s="841">
        <f>'5 Year Model'!AV21</f>
        <v>299</v>
      </c>
      <c r="BJ28" s="841">
        <f>'5 Year Model'!AW21</f>
        <v>299</v>
      </c>
      <c r="BK28" s="841">
        <f>'5 Year Model'!AX21</f>
        <v>299</v>
      </c>
      <c r="BL28" s="841">
        <f>'5 Year Model'!AY21</f>
        <v>299</v>
      </c>
      <c r="BM28" s="841">
        <f>'5 Year Model'!AZ21</f>
        <v>299</v>
      </c>
      <c r="BN28" s="841">
        <f>'5 Year Model'!BA21</f>
        <v>299</v>
      </c>
      <c r="BO28" s="841">
        <f>'5 Year Model'!BB21</f>
        <v>299</v>
      </c>
      <c r="BP28" s="841">
        <f>'5 Year Model'!BC21</f>
        <v>299</v>
      </c>
      <c r="BQ28" s="841">
        <f>'5 Year Model'!BD21</f>
        <v>299</v>
      </c>
      <c r="BR28" s="841">
        <f>'5 Year Model'!BE21</f>
        <v>299</v>
      </c>
      <c r="BS28" s="841">
        <f>'5 Year Model'!BF21</f>
        <v>299</v>
      </c>
      <c r="BT28" s="841">
        <f>'5 Year Model'!BG21</f>
        <v>299</v>
      </c>
      <c r="BU28" s="841">
        <f>'5 Year Model'!BH21</f>
        <v>299</v>
      </c>
      <c r="BV28" s="841">
        <f>'5 Year Model'!BI21</f>
        <v>299</v>
      </c>
      <c r="BW28" s="841">
        <f>'5 Year Model'!BJ21</f>
        <v>299</v>
      </c>
      <c r="BX28" s="841">
        <f>BW28</f>
        <v>299</v>
      </c>
      <c r="BY28" s="841">
        <f t="shared" ref="BY28:CA28" si="76">BX28</f>
        <v>299</v>
      </c>
      <c r="BZ28" s="841">
        <f t="shared" si="76"/>
        <v>299</v>
      </c>
      <c r="CA28" s="841">
        <f t="shared" si="76"/>
        <v>299</v>
      </c>
    </row>
    <row r="29" spans="2:79" ht="13.5" customHeight="1">
      <c r="B29" s="401" t="s">
        <v>819</v>
      </c>
      <c r="P29" s="841">
        <f>'5 Year Model'!C22</f>
        <v>549</v>
      </c>
      <c r="Q29" s="841">
        <f>'5 Year Model'!D22</f>
        <v>549</v>
      </c>
      <c r="R29" s="841">
        <f>'5 Year Model'!E22</f>
        <v>549</v>
      </c>
      <c r="S29" s="841">
        <f>'5 Year Model'!F22</f>
        <v>549</v>
      </c>
      <c r="T29" s="841">
        <f>'5 Year Model'!G22</f>
        <v>549</v>
      </c>
      <c r="U29" s="841">
        <f>'5 Year Model'!H22</f>
        <v>549</v>
      </c>
      <c r="V29" s="841">
        <f>'5 Year Model'!I22</f>
        <v>549</v>
      </c>
      <c r="W29" s="841">
        <f>'5 Year Model'!J22</f>
        <v>549</v>
      </c>
      <c r="X29" s="841">
        <f>'5 Year Model'!K22</f>
        <v>549</v>
      </c>
      <c r="Y29" s="841">
        <f>'5 Year Model'!L22</f>
        <v>549</v>
      </c>
      <c r="Z29" s="841">
        <f>'5 Year Model'!M22</f>
        <v>549</v>
      </c>
      <c r="AA29" s="841">
        <f>'5 Year Model'!N22</f>
        <v>549</v>
      </c>
      <c r="AB29" s="841">
        <f>'5 Year Model'!O22</f>
        <v>549</v>
      </c>
      <c r="AC29" s="841">
        <f>'5 Year Model'!P22</f>
        <v>549</v>
      </c>
      <c r="AD29" s="841">
        <f>'5 Year Model'!Q22</f>
        <v>549</v>
      </c>
      <c r="AE29" s="841">
        <f>'5 Year Model'!R22</f>
        <v>549</v>
      </c>
      <c r="AF29" s="841">
        <f>'5 Year Model'!S22</f>
        <v>549</v>
      </c>
      <c r="AG29" s="841">
        <f>'5 Year Model'!T22</f>
        <v>549</v>
      </c>
      <c r="AH29" s="841">
        <f>'5 Year Model'!U22</f>
        <v>549</v>
      </c>
      <c r="AI29" s="841">
        <f>'5 Year Model'!V22</f>
        <v>549</v>
      </c>
      <c r="AJ29" s="841">
        <f>'5 Year Model'!W22</f>
        <v>549</v>
      </c>
      <c r="AK29" s="841">
        <f>'5 Year Model'!X22</f>
        <v>549</v>
      </c>
      <c r="AL29" s="841">
        <f>'5 Year Model'!Y22</f>
        <v>549</v>
      </c>
      <c r="AM29" s="841">
        <f>'5 Year Model'!Z22</f>
        <v>549</v>
      </c>
      <c r="AN29" s="841">
        <f>'5 Year Model'!AA22</f>
        <v>549</v>
      </c>
      <c r="AO29" s="841">
        <f>'5 Year Model'!AB22</f>
        <v>549</v>
      </c>
      <c r="AP29" s="841">
        <f>'5 Year Model'!AC22</f>
        <v>549</v>
      </c>
      <c r="AQ29" s="841">
        <f>'5 Year Model'!AD22</f>
        <v>549</v>
      </c>
      <c r="AR29" s="841">
        <f>'5 Year Model'!AE22</f>
        <v>549</v>
      </c>
      <c r="AS29" s="841">
        <f>'5 Year Model'!AF22</f>
        <v>549</v>
      </c>
      <c r="AT29" s="841">
        <f>'5 Year Model'!AG22</f>
        <v>549</v>
      </c>
      <c r="AU29" s="841">
        <f>'5 Year Model'!AH22</f>
        <v>549</v>
      </c>
      <c r="AV29" s="841">
        <f>'5 Year Model'!AI22</f>
        <v>549</v>
      </c>
      <c r="AW29" s="841">
        <f>'5 Year Model'!AJ22</f>
        <v>549</v>
      </c>
      <c r="AX29" s="841">
        <f>'5 Year Model'!AK22</f>
        <v>549</v>
      </c>
      <c r="AY29" s="841">
        <f>'5 Year Model'!AL22</f>
        <v>549</v>
      </c>
      <c r="AZ29" s="841">
        <f>'5 Year Model'!AM22</f>
        <v>549</v>
      </c>
      <c r="BA29" s="841">
        <f>'5 Year Model'!AN22</f>
        <v>549</v>
      </c>
      <c r="BB29" s="841">
        <f>'5 Year Model'!AO22</f>
        <v>549</v>
      </c>
      <c r="BC29" s="841">
        <f>'5 Year Model'!AP22</f>
        <v>549</v>
      </c>
      <c r="BD29" s="841">
        <f>'5 Year Model'!AQ22</f>
        <v>549</v>
      </c>
      <c r="BE29" s="841">
        <f>'5 Year Model'!AR22</f>
        <v>549</v>
      </c>
      <c r="BF29" s="841">
        <f>'5 Year Model'!AS22</f>
        <v>549</v>
      </c>
      <c r="BG29" s="841">
        <f>'5 Year Model'!AT22</f>
        <v>549</v>
      </c>
      <c r="BH29" s="841">
        <f>'5 Year Model'!AU22</f>
        <v>549</v>
      </c>
      <c r="BI29" s="841">
        <f>'5 Year Model'!AV22</f>
        <v>549</v>
      </c>
      <c r="BJ29" s="841">
        <f>'5 Year Model'!AW22</f>
        <v>549</v>
      </c>
      <c r="BK29" s="841">
        <f>'5 Year Model'!AX22</f>
        <v>549</v>
      </c>
      <c r="BL29" s="841">
        <f>'5 Year Model'!AY22</f>
        <v>549</v>
      </c>
      <c r="BM29" s="841">
        <f>'5 Year Model'!AZ22</f>
        <v>549</v>
      </c>
      <c r="BN29" s="841">
        <f>'5 Year Model'!BA22</f>
        <v>549</v>
      </c>
      <c r="BO29" s="841">
        <f>'5 Year Model'!BB22</f>
        <v>549</v>
      </c>
      <c r="BP29" s="841">
        <f>'5 Year Model'!BC22</f>
        <v>549</v>
      </c>
      <c r="BQ29" s="841">
        <f>'5 Year Model'!BD22</f>
        <v>549</v>
      </c>
      <c r="BR29" s="841">
        <f>'5 Year Model'!BE22</f>
        <v>549</v>
      </c>
      <c r="BS29" s="841">
        <f>'5 Year Model'!BF22</f>
        <v>549</v>
      </c>
      <c r="BT29" s="841">
        <f>'5 Year Model'!BG22</f>
        <v>549</v>
      </c>
      <c r="BU29" s="841">
        <f>'5 Year Model'!BH22</f>
        <v>549</v>
      </c>
      <c r="BV29" s="841">
        <f>'5 Year Model'!BI22</f>
        <v>549</v>
      </c>
      <c r="BW29" s="841">
        <f>'5 Year Model'!BJ22</f>
        <v>549</v>
      </c>
      <c r="BX29" s="841">
        <f t="shared" ref="BX29:CA30" si="77">BW29</f>
        <v>549</v>
      </c>
      <c r="BY29" s="841">
        <f t="shared" si="77"/>
        <v>549</v>
      </c>
      <c r="BZ29" s="841">
        <f t="shared" si="77"/>
        <v>549</v>
      </c>
      <c r="CA29" s="841">
        <f t="shared" si="77"/>
        <v>549</v>
      </c>
    </row>
    <row r="30" spans="2:79" ht="13.5" customHeight="1">
      <c r="B30" s="401" t="s">
        <v>820</v>
      </c>
      <c r="C30" s="108">
        <f>'Untrended Pro Forma'!B32</f>
        <v>0.04</v>
      </c>
      <c r="P30" s="841">
        <f>'5 Year Model'!C23</f>
        <v>171.80888341484462</v>
      </c>
      <c r="Q30" s="841">
        <f>'5 Year Model'!D23</f>
        <v>381.41788472100654</v>
      </c>
      <c r="R30" s="841">
        <f>'5 Year Model'!E23</f>
        <v>647.01343731861857</v>
      </c>
      <c r="S30" s="841">
        <f>'5 Year Model'!F23</f>
        <v>896.91238791504918</v>
      </c>
      <c r="T30" s="841">
        <f>'5 Year Model'!G23</f>
        <v>1157.0457566608634</v>
      </c>
      <c r="U30" s="841">
        <f>'5 Year Model'!H23</f>
        <v>1431.5378455588009</v>
      </c>
      <c r="V30" s="841">
        <f>'5 Year Model'!I23</f>
        <v>1760.6811337426509</v>
      </c>
      <c r="W30" s="841">
        <f>'5 Year Model'!J23</f>
        <v>2117.6428946480123</v>
      </c>
      <c r="X30" s="841">
        <f>'5 Year Model'!K23</f>
        <v>2502.0268497088496</v>
      </c>
      <c r="Y30" s="841">
        <f>'5 Year Model'!L23</f>
        <v>2941.403321621659</v>
      </c>
      <c r="Z30" s="841">
        <f>'5 Year Model'!M23</f>
        <v>3395.4275553637835</v>
      </c>
      <c r="AA30" s="841">
        <f>'5 Year Model'!N23</f>
        <v>3872.7777054587782</v>
      </c>
      <c r="AB30" s="841">
        <f>'5 Year Model'!O23</f>
        <v>4283.403914425011</v>
      </c>
      <c r="AC30" s="841">
        <f>'5 Year Model'!P23</f>
        <v>4588.7233112095391</v>
      </c>
      <c r="AD30" s="841">
        <f>'5 Year Model'!Q23</f>
        <v>4897.6700658166856</v>
      </c>
      <c r="AE30" s="841">
        <f>'5 Year Model'!R23</f>
        <v>5214.1855489165864</v>
      </c>
      <c r="AF30" s="841">
        <f>'5 Year Model'!S23</f>
        <v>5498.514269346354</v>
      </c>
      <c r="AG30" s="841">
        <f>'5 Year Model'!T23</f>
        <v>5811.7547172507684</v>
      </c>
      <c r="AH30" s="841">
        <f>'5 Year Model'!U23</f>
        <v>6083.5617795391372</v>
      </c>
      <c r="AI30" s="841">
        <f>'5 Year Model'!V23</f>
        <v>6402.2375189336844</v>
      </c>
      <c r="AJ30" s="841">
        <f>'5 Year Model'!W23</f>
        <v>6727.3809470683755</v>
      </c>
      <c r="AK30" s="841">
        <f>'5 Year Model'!X23</f>
        <v>7133.9205428306577</v>
      </c>
      <c r="AL30" s="841">
        <f>'5 Year Model'!Y23</f>
        <v>7511.5966422025822</v>
      </c>
      <c r="AM30" s="841">
        <f>'5 Year Model'!Z23</f>
        <v>7647.0220128742458</v>
      </c>
      <c r="AN30" s="841">
        <f>'5 Year Model'!AA23</f>
        <v>7687.7625470970643</v>
      </c>
      <c r="AO30" s="841">
        <f>'5 Year Model'!AB23</f>
        <v>7703.378412484999</v>
      </c>
      <c r="AP30" s="841">
        <f>'5 Year Model'!AC23</f>
        <v>7681.1391090893658</v>
      </c>
      <c r="AQ30" s="841">
        <f>'5 Year Model'!AD23</f>
        <v>7746.5973926623074</v>
      </c>
      <c r="AR30" s="841">
        <f>'5 Year Model'!AE23</f>
        <v>7871.8750882067588</v>
      </c>
      <c r="AS30" s="841">
        <f>'5 Year Model'!AF23</f>
        <v>7974.8138175790327</v>
      </c>
      <c r="AT30" s="841">
        <f>'5 Year Model'!AG23</f>
        <v>8096.1246700110823</v>
      </c>
      <c r="AU30" s="841">
        <f>'5 Year Model'!AH23</f>
        <v>8220.0498345567757</v>
      </c>
      <c r="AV30" s="841">
        <f>'5 Year Model'!AI23</f>
        <v>8385.6964696536634</v>
      </c>
      <c r="AW30" s="841">
        <f>'5 Year Model'!AJ23</f>
        <v>8452.4027106834383</v>
      </c>
      <c r="AX30" s="841">
        <f>'5 Year Model'!AK23</f>
        <v>8523.5886657526644</v>
      </c>
      <c r="AY30" s="841">
        <f>'5 Year Model'!AL23</f>
        <v>8574.0096337765699</v>
      </c>
      <c r="AZ30" s="841">
        <f>'5 Year Model'!AM23</f>
        <v>8599.020096805245</v>
      </c>
      <c r="BA30" s="841">
        <f>'5 Year Model'!AN23</f>
        <v>8580.2168896927342</v>
      </c>
      <c r="BB30" s="841">
        <f>'5 Year Model'!AO23</f>
        <v>8527.176001371301</v>
      </c>
      <c r="BC30" s="841">
        <f>'5 Year Model'!AP23</f>
        <v>8563.1922242859418</v>
      </c>
      <c r="BD30" s="841">
        <f>'5 Year Model'!AQ23</f>
        <v>8659.287710690116</v>
      </c>
      <c r="BE30" s="841">
        <f>'5 Year Model'!AR23</f>
        <v>8759.268087084185</v>
      </c>
      <c r="BF30" s="841">
        <f>'5 Year Model'!AS23</f>
        <v>8876.1839970993187</v>
      </c>
      <c r="BG30" s="841">
        <f>'5 Year Model'!AT23</f>
        <v>9009.9682433184407</v>
      </c>
      <c r="BH30" s="841">
        <f>'5 Year Model'!AU23</f>
        <v>9124.5651141930375</v>
      </c>
      <c r="BI30" s="841">
        <f>'5 Year Model'!AV23</f>
        <v>9180.3006446189174</v>
      </c>
      <c r="BJ30" s="841">
        <f>'5 Year Model'!AW23</f>
        <v>9243.7488762447556</v>
      </c>
      <c r="BK30" s="841">
        <f>'5 Year Model'!AX23</f>
        <v>9281.497953187818</v>
      </c>
      <c r="BL30" s="841">
        <f>'5 Year Model'!AY23</f>
        <v>9297.2866891393878</v>
      </c>
      <c r="BM30" s="841">
        <f>'5 Year Model'!AZ23</f>
        <v>9281.070272551282</v>
      </c>
      <c r="BN30" s="841">
        <f>'5 Year Model'!BA23</f>
        <v>9229.7383267804053</v>
      </c>
      <c r="BO30" s="841">
        <f>'5 Year Model'!BB23</f>
        <v>9273.3296411057072</v>
      </c>
      <c r="BP30" s="841">
        <f>'5 Year Model'!BC23</f>
        <v>9365.9023115353721</v>
      </c>
      <c r="BQ30" s="841">
        <f>'5 Year Model'!BD23</f>
        <v>9476.1978286158101</v>
      </c>
      <c r="BR30" s="841">
        <f>'5 Year Model'!BE23</f>
        <v>9603.8257248699647</v>
      </c>
      <c r="BS30" s="841">
        <f>'5 Year Model'!BF23</f>
        <v>9735.6671135755823</v>
      </c>
      <c r="BT30" s="841">
        <f>'5 Year Model'!BG23</f>
        <v>9861.2063147475947</v>
      </c>
      <c r="BU30" s="841">
        <f>'5 Year Model'!BH23</f>
        <v>9926.5294573662522</v>
      </c>
      <c r="BV30" s="841">
        <f>'5 Year Model'!BI23</f>
        <v>9990.4641421128435</v>
      </c>
      <c r="BW30" s="841">
        <f>'5 Year Model'!BJ23</f>
        <v>10032.820508959443</v>
      </c>
      <c r="BX30" s="841">
        <f t="shared" si="77"/>
        <v>10032.820508959443</v>
      </c>
      <c r="BY30" s="841">
        <f t="shared" si="77"/>
        <v>10032.820508959443</v>
      </c>
      <c r="BZ30" s="841">
        <f t="shared" si="77"/>
        <v>10032.820508959443</v>
      </c>
      <c r="CA30" s="841">
        <f t="shared" si="77"/>
        <v>10032.820508959443</v>
      </c>
    </row>
    <row r="31" spans="2:79" ht="13.5" customHeight="1">
      <c r="B31" s="849" t="s">
        <v>821</v>
      </c>
      <c r="C31" s="36"/>
      <c r="D31" s="36"/>
      <c r="E31" s="36"/>
      <c r="F31" s="36"/>
      <c r="G31" s="850">
        <f>+SUM(G28:G30)</f>
        <v>0</v>
      </c>
      <c r="H31" s="850">
        <f t="shared" ref="H31:L31" si="78">+SUM(H28:H30)</f>
        <v>0</v>
      </c>
      <c r="I31" s="850">
        <f t="shared" si="78"/>
        <v>0</v>
      </c>
      <c r="J31" s="850">
        <f t="shared" si="78"/>
        <v>0</v>
      </c>
      <c r="K31" s="850">
        <f t="shared" si="78"/>
        <v>0</v>
      </c>
      <c r="L31" s="850">
        <f t="shared" si="78"/>
        <v>0</v>
      </c>
      <c r="M31" s="850">
        <f t="shared" ref="M31:O31" si="79">+SUM(M28:M30)</f>
        <v>0</v>
      </c>
      <c r="N31" s="850">
        <f t="shared" si="79"/>
        <v>0</v>
      </c>
      <c r="O31" s="850">
        <f t="shared" si="79"/>
        <v>0</v>
      </c>
      <c r="P31" s="850">
        <f>+SUM(P28:P30)</f>
        <v>1019.8088834148446</v>
      </c>
      <c r="Q31" s="850">
        <f t="shared" ref="Q31:BX31" si="80">+SUM(Q28:Q30)</f>
        <v>1229.4178847210064</v>
      </c>
      <c r="R31" s="850">
        <f t="shared" si="80"/>
        <v>1495.0134373186186</v>
      </c>
      <c r="S31" s="850">
        <f t="shared" si="80"/>
        <v>1744.9123879150493</v>
      </c>
      <c r="T31" s="850">
        <f t="shared" si="80"/>
        <v>2005.0457566608634</v>
      </c>
      <c r="U31" s="850">
        <f t="shared" si="80"/>
        <v>2279.5378455588007</v>
      </c>
      <c r="V31" s="850">
        <f t="shared" si="80"/>
        <v>2608.6811337426507</v>
      </c>
      <c r="W31" s="850">
        <f t="shared" si="80"/>
        <v>2965.6428946480123</v>
      </c>
      <c r="X31" s="850">
        <f t="shared" si="80"/>
        <v>3350.0268497088496</v>
      </c>
      <c r="Y31" s="850">
        <f t="shared" si="80"/>
        <v>3789.403321621659</v>
      </c>
      <c r="Z31" s="850">
        <f t="shared" si="80"/>
        <v>4243.4275553637835</v>
      </c>
      <c r="AA31" s="850">
        <f t="shared" si="80"/>
        <v>4720.7777054587787</v>
      </c>
      <c r="AB31" s="850">
        <f t="shared" si="80"/>
        <v>5131.403914425011</v>
      </c>
      <c r="AC31" s="850">
        <f t="shared" si="80"/>
        <v>5436.7233112095391</v>
      </c>
      <c r="AD31" s="850">
        <f t="shared" si="80"/>
        <v>5745.6700658166856</v>
      </c>
      <c r="AE31" s="850">
        <f t="shared" si="80"/>
        <v>6062.1855489165864</v>
      </c>
      <c r="AF31" s="850">
        <f t="shared" si="80"/>
        <v>6346.514269346354</v>
      </c>
      <c r="AG31" s="850">
        <f t="shared" si="80"/>
        <v>6659.7547172507684</v>
      </c>
      <c r="AH31" s="850">
        <f t="shared" si="80"/>
        <v>6931.5617795391372</v>
      </c>
      <c r="AI31" s="850">
        <f t="shared" si="80"/>
        <v>7250.2375189336844</v>
      </c>
      <c r="AJ31" s="850">
        <f t="shared" si="80"/>
        <v>7575.3809470683755</v>
      </c>
      <c r="AK31" s="850">
        <f t="shared" si="80"/>
        <v>7981.9205428306577</v>
      </c>
      <c r="AL31" s="850">
        <f t="shared" si="80"/>
        <v>8359.5966422025813</v>
      </c>
      <c r="AM31" s="850">
        <f t="shared" si="80"/>
        <v>8495.0220128742458</v>
      </c>
      <c r="AN31" s="850">
        <f t="shared" si="80"/>
        <v>8535.7625470970634</v>
      </c>
      <c r="AO31" s="850">
        <f t="shared" si="80"/>
        <v>8551.378412484999</v>
      </c>
      <c r="AP31" s="850">
        <f t="shared" si="80"/>
        <v>8529.1391090893667</v>
      </c>
      <c r="AQ31" s="850">
        <f t="shared" si="80"/>
        <v>8594.5973926623083</v>
      </c>
      <c r="AR31" s="850">
        <f t="shared" si="80"/>
        <v>8719.8750882067579</v>
      </c>
      <c r="AS31" s="850">
        <f t="shared" si="80"/>
        <v>8822.8138175790336</v>
      </c>
      <c r="AT31" s="850">
        <f t="shared" si="80"/>
        <v>8944.1246700110823</v>
      </c>
      <c r="AU31" s="850">
        <f t="shared" si="80"/>
        <v>9068.0498345567757</v>
      </c>
      <c r="AV31" s="850">
        <f t="shared" si="80"/>
        <v>9233.6964696536634</v>
      </c>
      <c r="AW31" s="850">
        <f t="shared" si="80"/>
        <v>9300.4027106834383</v>
      </c>
      <c r="AX31" s="850">
        <f t="shared" si="80"/>
        <v>9371.5886657526644</v>
      </c>
      <c r="AY31" s="850">
        <f t="shared" si="80"/>
        <v>9422.0096337765699</v>
      </c>
      <c r="AZ31" s="850">
        <f t="shared" si="80"/>
        <v>9447.020096805245</v>
      </c>
      <c r="BA31" s="850">
        <f t="shared" si="80"/>
        <v>9428.2168896927342</v>
      </c>
      <c r="BB31" s="850">
        <f t="shared" si="80"/>
        <v>9375.176001371301</v>
      </c>
      <c r="BC31" s="850">
        <f t="shared" si="80"/>
        <v>9411.1922242859418</v>
      </c>
      <c r="BD31" s="850">
        <f t="shared" si="80"/>
        <v>9507.287710690116</v>
      </c>
      <c r="BE31" s="850">
        <f t="shared" si="80"/>
        <v>9607.268087084185</v>
      </c>
      <c r="BF31" s="850">
        <f t="shared" si="80"/>
        <v>9724.1839970993187</v>
      </c>
      <c r="BG31" s="850">
        <f t="shared" si="80"/>
        <v>9857.9682433184407</v>
      </c>
      <c r="BH31" s="850">
        <f t="shared" si="80"/>
        <v>9972.5651141930375</v>
      </c>
      <c r="BI31" s="850">
        <f t="shared" si="80"/>
        <v>10028.300644618917</v>
      </c>
      <c r="BJ31" s="850">
        <f t="shared" si="80"/>
        <v>10091.748876244756</v>
      </c>
      <c r="BK31" s="850">
        <f t="shared" si="80"/>
        <v>10129.497953187818</v>
      </c>
      <c r="BL31" s="850">
        <f t="shared" si="80"/>
        <v>10145.286689139388</v>
      </c>
      <c r="BM31" s="850">
        <f t="shared" si="80"/>
        <v>10129.070272551282</v>
      </c>
      <c r="BN31" s="850">
        <f t="shared" si="80"/>
        <v>10077.738326780405</v>
      </c>
      <c r="BO31" s="850">
        <f t="shared" si="80"/>
        <v>10121.329641105707</v>
      </c>
      <c r="BP31" s="850">
        <f t="shared" si="80"/>
        <v>10213.902311535372</v>
      </c>
      <c r="BQ31" s="850">
        <f t="shared" si="80"/>
        <v>10324.19782861581</v>
      </c>
      <c r="BR31" s="850">
        <f t="shared" si="80"/>
        <v>10451.825724869965</v>
      </c>
      <c r="BS31" s="850">
        <f t="shared" si="80"/>
        <v>10583.667113575582</v>
      </c>
      <c r="BT31" s="850">
        <f t="shared" si="80"/>
        <v>10709.206314747595</v>
      </c>
      <c r="BU31" s="850">
        <f t="shared" si="80"/>
        <v>10774.529457366252</v>
      </c>
      <c r="BV31" s="850">
        <f t="shared" si="80"/>
        <v>10838.464142112844</v>
      </c>
      <c r="BW31" s="850">
        <f t="shared" si="80"/>
        <v>10880.820508959443</v>
      </c>
      <c r="BX31" s="850">
        <f t="shared" si="80"/>
        <v>10880.820508959443</v>
      </c>
      <c r="BY31" s="850">
        <f t="shared" ref="BY31" si="81">+SUM(BY28:BY30)</f>
        <v>10880.820508959443</v>
      </c>
      <c r="BZ31" s="850">
        <f t="shared" ref="BZ31" si="82">+SUM(BZ28:BZ30)</f>
        <v>10880.820508959443</v>
      </c>
      <c r="CA31" s="850">
        <f t="shared" ref="CA31" si="83">+SUM(CA28:CA30)</f>
        <v>10880.820508959443</v>
      </c>
    </row>
    <row r="32" spans="2:79" ht="13.5" customHeight="1">
      <c r="B32"/>
      <c r="P32" s="841"/>
      <c r="Q32" s="841"/>
      <c r="R32" s="841"/>
      <c r="S32" s="841"/>
      <c r="T32" s="841"/>
      <c r="U32" s="841"/>
      <c r="V32" s="841"/>
      <c r="W32" s="841"/>
      <c r="X32" s="841"/>
      <c r="Y32" s="841"/>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c r="BC32" s="841"/>
      <c r="BD32" s="841"/>
      <c r="BE32" s="841"/>
      <c r="BF32" s="841"/>
      <c r="BG32" s="841"/>
      <c r="BH32" s="841"/>
      <c r="BI32" s="841"/>
      <c r="BJ32" s="841"/>
      <c r="BK32" s="841"/>
      <c r="BL32" s="841"/>
      <c r="BM32" s="841"/>
      <c r="BN32" s="841"/>
      <c r="BO32" s="841"/>
      <c r="BP32" s="841"/>
      <c r="BQ32" s="841"/>
      <c r="BR32" s="841"/>
      <c r="BS32" s="841"/>
      <c r="BT32" s="841"/>
      <c r="BU32" s="841"/>
      <c r="BV32" s="841"/>
      <c r="BW32" s="841"/>
      <c r="BX32" s="841"/>
      <c r="BY32" s="841"/>
      <c r="BZ32" s="841"/>
      <c r="CA32" s="841"/>
    </row>
    <row r="33" spans="2:79" ht="13.5" customHeight="1">
      <c r="B33" s="4" t="s">
        <v>383</v>
      </c>
      <c r="P33" s="841"/>
      <c r="Q33" s="841"/>
      <c r="R33" s="841"/>
      <c r="S33" s="841"/>
      <c r="T33" s="841"/>
      <c r="U33" s="841"/>
      <c r="V33" s="841"/>
      <c r="W33" s="841"/>
      <c r="X33" s="841"/>
      <c r="Y33" s="841"/>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c r="BC33" s="841"/>
      <c r="BD33" s="841"/>
      <c r="BE33" s="841"/>
      <c r="BF33" s="841"/>
      <c r="BG33" s="841"/>
      <c r="BH33" s="841"/>
      <c r="BI33" s="841"/>
      <c r="BJ33" s="841"/>
      <c r="BK33" s="841"/>
      <c r="BL33" s="841"/>
      <c r="BM33" s="841"/>
      <c r="BN33" s="841"/>
      <c r="BO33" s="841"/>
      <c r="BP33" s="841"/>
      <c r="BQ33" s="841"/>
      <c r="BR33" s="841"/>
      <c r="BS33" s="841"/>
      <c r="BT33" s="841"/>
      <c r="BU33" s="841"/>
      <c r="BV33" s="841"/>
      <c r="BW33" s="841"/>
      <c r="BX33" s="841"/>
      <c r="BY33" s="841"/>
      <c r="BZ33" s="841"/>
      <c r="CA33" s="841"/>
    </row>
    <row r="34" spans="2:79" ht="13.5" customHeight="1">
      <c r="B34" s="401" t="s">
        <v>823</v>
      </c>
      <c r="P34" s="841">
        <f>'5 Year Model'!C27</f>
        <v>392.93376494989241</v>
      </c>
      <c r="Q34" s="841">
        <f>'5 Year Model'!D27</f>
        <v>350</v>
      </c>
      <c r="R34" s="841">
        <f>'5 Year Model'!E27</f>
        <v>330</v>
      </c>
      <c r="S34" s="841">
        <f>'5 Year Model'!F27</f>
        <v>340</v>
      </c>
      <c r="T34" s="841">
        <f>'5 Year Model'!G27</f>
        <v>360</v>
      </c>
      <c r="U34" s="841">
        <f>'5 Year Model'!H27</f>
        <v>370</v>
      </c>
      <c r="V34" s="841">
        <f>'5 Year Model'!I27</f>
        <v>390</v>
      </c>
      <c r="W34" s="841">
        <f>'5 Year Model'!J27</f>
        <v>420</v>
      </c>
      <c r="X34" s="841">
        <f>'5 Year Model'!K27</f>
        <v>470</v>
      </c>
      <c r="Y34" s="841">
        <f>'5 Year Model'!L27</f>
        <v>520</v>
      </c>
      <c r="Z34" s="841">
        <f>'5 Year Model'!M27</f>
        <v>570</v>
      </c>
      <c r="AA34" s="841">
        <f>'5 Year Model'!N27</f>
        <v>490</v>
      </c>
      <c r="AB34" s="841">
        <f>'5 Year Model'!O27</f>
        <v>430</v>
      </c>
      <c r="AC34" s="841">
        <f>'5 Year Model'!P27</f>
        <v>420</v>
      </c>
      <c r="AD34" s="841">
        <f>'5 Year Model'!Q27</f>
        <v>390</v>
      </c>
      <c r="AE34" s="841">
        <f>'5 Year Model'!R27</f>
        <v>410</v>
      </c>
      <c r="AF34" s="841">
        <f>'5 Year Model'!S27</f>
        <v>430</v>
      </c>
      <c r="AG34" s="841">
        <f>'5 Year Model'!T27</f>
        <v>440</v>
      </c>
      <c r="AH34" s="841">
        <f>'5 Year Model'!U27</f>
        <v>470</v>
      </c>
      <c r="AI34" s="841">
        <f>'5 Year Model'!V27</f>
        <v>480</v>
      </c>
      <c r="AJ34" s="841">
        <f>'5 Year Model'!W27</f>
        <v>530</v>
      </c>
      <c r="AK34" s="841">
        <f>'5 Year Model'!X27</f>
        <v>550</v>
      </c>
      <c r="AL34" s="841">
        <f>'5 Year Model'!Y27</f>
        <v>580</v>
      </c>
      <c r="AM34" s="841">
        <f>'5 Year Model'!Z27</f>
        <v>350</v>
      </c>
      <c r="AN34" s="841">
        <f>'5 Year Model'!AA27</f>
        <v>330</v>
      </c>
      <c r="AO34" s="841">
        <f>'5 Year Model'!AB27</f>
        <v>310</v>
      </c>
      <c r="AP34" s="841">
        <f>'5 Year Model'!AC27</f>
        <v>280</v>
      </c>
      <c r="AQ34" s="841">
        <f>'5 Year Model'!AD27</f>
        <v>340</v>
      </c>
      <c r="AR34" s="841">
        <f>'5 Year Model'!AE27</f>
        <v>390</v>
      </c>
      <c r="AS34" s="841">
        <f>'5 Year Model'!AF27</f>
        <v>390</v>
      </c>
      <c r="AT34" s="841">
        <f>'5 Year Model'!AG27</f>
        <v>410</v>
      </c>
      <c r="AU34" s="841">
        <f>'5 Year Model'!AH27</f>
        <v>410</v>
      </c>
      <c r="AV34" s="841">
        <f>'5 Year Model'!AI27</f>
        <v>440</v>
      </c>
      <c r="AW34" s="841">
        <f>'5 Year Model'!AJ27</f>
        <v>380</v>
      </c>
      <c r="AX34" s="841">
        <f>'5 Year Model'!AK27</f>
        <v>380</v>
      </c>
      <c r="AY34" s="841">
        <f>'5 Year Model'!AL27</f>
        <v>350</v>
      </c>
      <c r="AZ34" s="841">
        <f>'5 Year Model'!AM27</f>
        <v>330</v>
      </c>
      <c r="BA34" s="841">
        <f>'5 Year Model'!AN27</f>
        <v>310</v>
      </c>
      <c r="BB34" s="841">
        <f>'5 Year Model'!AO27</f>
        <v>280</v>
      </c>
      <c r="BC34" s="841">
        <f>'5 Year Model'!AP27</f>
        <v>340</v>
      </c>
      <c r="BD34" s="841">
        <f>'5 Year Model'!AQ27</f>
        <v>390</v>
      </c>
      <c r="BE34" s="841">
        <f>'5 Year Model'!AR27</f>
        <v>390</v>
      </c>
      <c r="BF34" s="841">
        <f>'5 Year Model'!AS27</f>
        <v>400</v>
      </c>
      <c r="BG34" s="841">
        <f>'5 Year Model'!AT27</f>
        <v>420</v>
      </c>
      <c r="BH34" s="841">
        <f>'5 Year Model'!AU27</f>
        <v>410</v>
      </c>
      <c r="BI34" s="841">
        <f>'5 Year Model'!AV27</f>
        <v>370</v>
      </c>
      <c r="BJ34" s="841">
        <f>'5 Year Model'!AW27</f>
        <v>380</v>
      </c>
      <c r="BK34" s="841">
        <f>'5 Year Model'!AX27</f>
        <v>350</v>
      </c>
      <c r="BL34" s="841">
        <f>'5 Year Model'!AY27</f>
        <v>330</v>
      </c>
      <c r="BM34" s="841">
        <f>'5 Year Model'!AZ27</f>
        <v>310</v>
      </c>
      <c r="BN34" s="841">
        <f>'5 Year Model'!BA27</f>
        <v>280</v>
      </c>
      <c r="BO34" s="841">
        <f>'5 Year Model'!BB27</f>
        <v>350</v>
      </c>
      <c r="BP34" s="841">
        <f>'5 Year Model'!BC27</f>
        <v>380</v>
      </c>
      <c r="BQ34" s="841">
        <f>'5 Year Model'!BD27</f>
        <v>390</v>
      </c>
      <c r="BR34" s="841">
        <f>'5 Year Model'!BE27</f>
        <v>410</v>
      </c>
      <c r="BS34" s="841">
        <f>'5 Year Model'!BF27</f>
        <v>410</v>
      </c>
      <c r="BT34" s="841">
        <f>'5 Year Model'!BG27</f>
        <v>410</v>
      </c>
      <c r="BU34" s="841">
        <f>'5 Year Model'!BH27</f>
        <v>380</v>
      </c>
      <c r="BV34" s="841">
        <f>'5 Year Model'!BI27</f>
        <v>380</v>
      </c>
      <c r="BW34" s="841">
        <f>'5 Year Model'!BJ27</f>
        <v>350</v>
      </c>
      <c r="BX34" s="841">
        <f>BW34*1.03</f>
        <v>360.5</v>
      </c>
      <c r="BY34" s="841">
        <f t="shared" ref="BY34:CA34" si="84">BX34</f>
        <v>360.5</v>
      </c>
      <c r="BZ34" s="841">
        <f t="shared" si="84"/>
        <v>360.5</v>
      </c>
      <c r="CA34" s="841">
        <f t="shared" si="84"/>
        <v>360.5</v>
      </c>
    </row>
    <row r="35" spans="2:79" ht="13.5" customHeight="1">
      <c r="B35" s="401" t="s">
        <v>824</v>
      </c>
      <c r="P35" s="841">
        <f>'5 Year Model'!C28</f>
        <v>5914.9544999999998</v>
      </c>
      <c r="Q35" s="841">
        <f>'5 Year Model'!D28</f>
        <v>5914.9544999999998</v>
      </c>
      <c r="R35" s="841">
        <f>'5 Year Model'!E28</f>
        <v>5914.9544999999998</v>
      </c>
      <c r="S35" s="841">
        <f>'5 Year Model'!F28</f>
        <v>5914.9544999999998</v>
      </c>
      <c r="T35" s="841">
        <f>'5 Year Model'!G28</f>
        <v>5914.9544999999998</v>
      </c>
      <c r="U35" s="841">
        <f>'5 Year Model'!H28</f>
        <v>5914.9544999999998</v>
      </c>
      <c r="V35" s="841">
        <f>'5 Year Model'!I28</f>
        <v>5914.9544999999998</v>
      </c>
      <c r="W35" s="841">
        <f>'5 Year Model'!J28</f>
        <v>5914.9544999999998</v>
      </c>
      <c r="X35" s="841">
        <f>'5 Year Model'!K28</f>
        <v>5914.9544999999998</v>
      </c>
      <c r="Y35" s="841">
        <f>'5 Year Model'!L28</f>
        <v>5914.9544999999998</v>
      </c>
      <c r="Z35" s="841">
        <f>'5 Year Model'!M28</f>
        <v>5914.9544999999998</v>
      </c>
      <c r="AA35" s="841">
        <f>'5 Year Model'!N28</f>
        <v>5914.9544999999998</v>
      </c>
      <c r="AB35" s="841">
        <f>'5 Year Model'!O28</f>
        <v>5548.438569375001</v>
      </c>
      <c r="AC35" s="841">
        <f>'5 Year Model'!P28</f>
        <v>5548.438569375001</v>
      </c>
      <c r="AD35" s="841">
        <f>'5 Year Model'!Q28</f>
        <v>5548.438569375001</v>
      </c>
      <c r="AE35" s="841">
        <f>'5 Year Model'!R28</f>
        <v>5548.438569375001</v>
      </c>
      <c r="AF35" s="841">
        <f>'5 Year Model'!S28</f>
        <v>5548.438569375001</v>
      </c>
      <c r="AG35" s="841">
        <f>'5 Year Model'!T28</f>
        <v>5548.438569375001</v>
      </c>
      <c r="AH35" s="841">
        <f>'5 Year Model'!U28</f>
        <v>5548.438569375001</v>
      </c>
      <c r="AI35" s="841">
        <f>'5 Year Model'!V28</f>
        <v>5548.438569375001</v>
      </c>
      <c r="AJ35" s="841">
        <f>'5 Year Model'!W28</f>
        <v>5548.438569375001</v>
      </c>
      <c r="AK35" s="841">
        <f>'5 Year Model'!X28</f>
        <v>5548.438569375001</v>
      </c>
      <c r="AL35" s="841">
        <f>'5 Year Model'!Y28</f>
        <v>5548.438569375001</v>
      </c>
      <c r="AM35" s="841">
        <f>'5 Year Model'!Z28</f>
        <v>5548.438569375001</v>
      </c>
      <c r="AN35" s="841">
        <f>'5 Year Model'!AA28</f>
        <v>5714.8917264562497</v>
      </c>
      <c r="AO35" s="841">
        <f>'5 Year Model'!AB28</f>
        <v>5714.8917264562497</v>
      </c>
      <c r="AP35" s="841">
        <f>'5 Year Model'!AC28</f>
        <v>5714.8917264562497</v>
      </c>
      <c r="AQ35" s="841">
        <f>'5 Year Model'!AD28</f>
        <v>5714.8917264562497</v>
      </c>
      <c r="AR35" s="841">
        <f>'5 Year Model'!AE28</f>
        <v>5714.8917264562497</v>
      </c>
      <c r="AS35" s="841">
        <f>'5 Year Model'!AF28</f>
        <v>5714.8917264562497</v>
      </c>
      <c r="AT35" s="841">
        <f>'5 Year Model'!AG28</f>
        <v>5714.8917264562497</v>
      </c>
      <c r="AU35" s="841">
        <f>'5 Year Model'!AH28</f>
        <v>5714.8917264562497</v>
      </c>
      <c r="AV35" s="841">
        <f>'5 Year Model'!AI28</f>
        <v>5714.8917264562497</v>
      </c>
      <c r="AW35" s="841">
        <f>'5 Year Model'!AJ28</f>
        <v>5714.8917264562497</v>
      </c>
      <c r="AX35" s="841">
        <f>'5 Year Model'!AK28</f>
        <v>5714.8917264562497</v>
      </c>
      <c r="AY35" s="841">
        <f>'5 Year Model'!AL28</f>
        <v>5714.8917264562497</v>
      </c>
      <c r="AZ35" s="841">
        <f>'5 Year Model'!AM28</f>
        <v>5886.3384782499379</v>
      </c>
      <c r="BA35" s="841">
        <f>'5 Year Model'!AN28</f>
        <v>5886.3384782499379</v>
      </c>
      <c r="BB35" s="841">
        <f>'5 Year Model'!AO28</f>
        <v>5886.3384782499379</v>
      </c>
      <c r="BC35" s="841">
        <f>'5 Year Model'!AP28</f>
        <v>5886.3384782499379</v>
      </c>
      <c r="BD35" s="841">
        <f>'5 Year Model'!AQ28</f>
        <v>5886.3384782499379</v>
      </c>
      <c r="BE35" s="841">
        <f>'5 Year Model'!AR28</f>
        <v>5886.3384782499379</v>
      </c>
      <c r="BF35" s="841">
        <f>'5 Year Model'!AS28</f>
        <v>5886.3384782499379</v>
      </c>
      <c r="BG35" s="841">
        <f>'5 Year Model'!AT28</f>
        <v>5886.3384782499379</v>
      </c>
      <c r="BH35" s="841">
        <f>'5 Year Model'!AU28</f>
        <v>5886.3384782499379</v>
      </c>
      <c r="BI35" s="841">
        <f>'5 Year Model'!AV28</f>
        <v>5886.3384782499379</v>
      </c>
      <c r="BJ35" s="841">
        <f>'5 Year Model'!AW28</f>
        <v>5886.3384782499379</v>
      </c>
      <c r="BK35" s="841">
        <f>'5 Year Model'!AX28</f>
        <v>5886.3384782499379</v>
      </c>
      <c r="BL35" s="841">
        <f>'5 Year Model'!AY28</f>
        <v>6062.9286325974354</v>
      </c>
      <c r="BM35" s="841">
        <f>'5 Year Model'!AZ28</f>
        <v>6062.9286325974354</v>
      </c>
      <c r="BN35" s="841">
        <f>'5 Year Model'!BA28</f>
        <v>6062.9286325974354</v>
      </c>
      <c r="BO35" s="841">
        <f>'5 Year Model'!BB28</f>
        <v>6062.9286325974354</v>
      </c>
      <c r="BP35" s="841">
        <f>'5 Year Model'!BC28</f>
        <v>6062.9286325974354</v>
      </c>
      <c r="BQ35" s="841">
        <f>'5 Year Model'!BD28</f>
        <v>6062.9286325974354</v>
      </c>
      <c r="BR35" s="841">
        <f>'5 Year Model'!BE28</f>
        <v>6062.9286325974354</v>
      </c>
      <c r="BS35" s="841">
        <f>'5 Year Model'!BF28</f>
        <v>6062.9286325974354</v>
      </c>
      <c r="BT35" s="841">
        <f>'5 Year Model'!BG28</f>
        <v>6062.9286325974354</v>
      </c>
      <c r="BU35" s="841">
        <f>'5 Year Model'!BH28</f>
        <v>6062.9286325974354</v>
      </c>
      <c r="BV35" s="841">
        <f>'5 Year Model'!BI28</f>
        <v>6062.9286325974354</v>
      </c>
      <c r="BW35" s="841">
        <f>'5 Year Model'!BJ28</f>
        <v>6062.9286325974354</v>
      </c>
      <c r="BX35" s="841">
        <f t="shared" ref="BX35:BX47" si="85">BW35*1.03</f>
        <v>6244.8164915753587</v>
      </c>
      <c r="BY35" s="841">
        <f t="shared" ref="BY35:CA47" si="86">BX35</f>
        <v>6244.8164915753587</v>
      </c>
      <c r="BZ35" s="841">
        <f t="shared" si="86"/>
        <v>6244.8164915753587</v>
      </c>
      <c r="CA35" s="841">
        <f t="shared" si="86"/>
        <v>6244.8164915753587</v>
      </c>
    </row>
    <row r="36" spans="2:79" ht="13.5" customHeight="1">
      <c r="B36" s="401" t="s">
        <v>825</v>
      </c>
      <c r="P36" s="841">
        <f>'5 Year Model'!C29</f>
        <v>1216.6595197255576</v>
      </c>
      <c r="Q36" s="841">
        <f>'5 Year Model'!D29</f>
        <v>1216.6595197255576</v>
      </c>
      <c r="R36" s="841">
        <f>'5 Year Model'!E29</f>
        <v>1216.6595197255576</v>
      </c>
      <c r="S36" s="841">
        <f>'5 Year Model'!F29</f>
        <v>1216.6595197255576</v>
      </c>
      <c r="T36" s="841">
        <f>'5 Year Model'!G29</f>
        <v>1216.6595197255576</v>
      </c>
      <c r="U36" s="841">
        <f>'5 Year Model'!H29</f>
        <v>1216.6595197255576</v>
      </c>
      <c r="V36" s="841">
        <f>'5 Year Model'!I29</f>
        <v>1216.6595197255576</v>
      </c>
      <c r="W36" s="841">
        <f>'5 Year Model'!J29</f>
        <v>1216.6595197255576</v>
      </c>
      <c r="X36" s="841">
        <f>'5 Year Model'!K29</f>
        <v>1216.6595197255576</v>
      </c>
      <c r="Y36" s="841">
        <f>'5 Year Model'!L29</f>
        <v>1216.6595197255576</v>
      </c>
      <c r="Z36" s="841">
        <f>'5 Year Model'!M29</f>
        <v>1216.6595197255576</v>
      </c>
      <c r="AA36" s="841">
        <f>'5 Year Model'!N29</f>
        <v>1216.6595197255576</v>
      </c>
      <c r="AB36" s="841">
        <f>'5 Year Model'!O29</f>
        <v>1253.159305317324</v>
      </c>
      <c r="AC36" s="841">
        <f>'5 Year Model'!P29</f>
        <v>1253.159305317324</v>
      </c>
      <c r="AD36" s="841">
        <f>'5 Year Model'!Q29</f>
        <v>1253.159305317324</v>
      </c>
      <c r="AE36" s="841">
        <f>'5 Year Model'!R29</f>
        <v>1253.159305317324</v>
      </c>
      <c r="AF36" s="841">
        <f>'5 Year Model'!S29</f>
        <v>1253.159305317324</v>
      </c>
      <c r="AG36" s="841">
        <f>'5 Year Model'!T29</f>
        <v>1253.159305317324</v>
      </c>
      <c r="AH36" s="841">
        <f>'5 Year Model'!U29</f>
        <v>1253.159305317324</v>
      </c>
      <c r="AI36" s="841">
        <f>'5 Year Model'!V29</f>
        <v>1253.159305317324</v>
      </c>
      <c r="AJ36" s="841">
        <f>'5 Year Model'!W29</f>
        <v>1253.159305317324</v>
      </c>
      <c r="AK36" s="841">
        <f>'5 Year Model'!X29</f>
        <v>1253.159305317324</v>
      </c>
      <c r="AL36" s="841">
        <f>'5 Year Model'!Y29</f>
        <v>1253.159305317324</v>
      </c>
      <c r="AM36" s="841">
        <f>'5 Year Model'!Z29</f>
        <v>1253.159305317324</v>
      </c>
      <c r="AN36" s="841">
        <f>'5 Year Model'!AA29</f>
        <v>1290.7540844768439</v>
      </c>
      <c r="AO36" s="841">
        <f>'5 Year Model'!AB29</f>
        <v>1290.7540844768439</v>
      </c>
      <c r="AP36" s="841">
        <f>'5 Year Model'!AC29</f>
        <v>1290.7540844768439</v>
      </c>
      <c r="AQ36" s="841">
        <f>'5 Year Model'!AD29</f>
        <v>1290.7540844768439</v>
      </c>
      <c r="AR36" s="841">
        <f>'5 Year Model'!AE29</f>
        <v>1290.7540844768439</v>
      </c>
      <c r="AS36" s="841">
        <f>'5 Year Model'!AF29</f>
        <v>1290.7540844768439</v>
      </c>
      <c r="AT36" s="841">
        <f>'5 Year Model'!AG29</f>
        <v>1290.7540844768439</v>
      </c>
      <c r="AU36" s="841">
        <f>'5 Year Model'!AH29</f>
        <v>1290.7540844768439</v>
      </c>
      <c r="AV36" s="841">
        <f>'5 Year Model'!AI29</f>
        <v>1290.7540844768439</v>
      </c>
      <c r="AW36" s="841">
        <f>'5 Year Model'!AJ29</f>
        <v>1290.7540844768439</v>
      </c>
      <c r="AX36" s="841">
        <f>'5 Year Model'!AK29</f>
        <v>1290.7540844768439</v>
      </c>
      <c r="AY36" s="841">
        <f>'5 Year Model'!AL29</f>
        <v>1290.7540844768439</v>
      </c>
      <c r="AZ36" s="841">
        <f>'5 Year Model'!AM29</f>
        <v>1329.4767070111491</v>
      </c>
      <c r="BA36" s="841">
        <f>'5 Year Model'!AN29</f>
        <v>1329.4767070111491</v>
      </c>
      <c r="BB36" s="841">
        <f>'5 Year Model'!AO29</f>
        <v>1329.4767070111491</v>
      </c>
      <c r="BC36" s="841">
        <f>'5 Year Model'!AP29</f>
        <v>1329.4767070111491</v>
      </c>
      <c r="BD36" s="841">
        <f>'5 Year Model'!AQ29</f>
        <v>1329.4767070111491</v>
      </c>
      <c r="BE36" s="841">
        <f>'5 Year Model'!AR29</f>
        <v>1329.4767070111491</v>
      </c>
      <c r="BF36" s="841">
        <f>'5 Year Model'!AS29</f>
        <v>1329.4767070111491</v>
      </c>
      <c r="BG36" s="841">
        <f>'5 Year Model'!AT29</f>
        <v>1329.4767070111491</v>
      </c>
      <c r="BH36" s="841">
        <f>'5 Year Model'!AU29</f>
        <v>1329.4767070111491</v>
      </c>
      <c r="BI36" s="841">
        <f>'5 Year Model'!AV29</f>
        <v>1329.4767070111491</v>
      </c>
      <c r="BJ36" s="841">
        <f>'5 Year Model'!AW29</f>
        <v>1329.4767070111491</v>
      </c>
      <c r="BK36" s="841">
        <f>'5 Year Model'!AX29</f>
        <v>1329.4767070111491</v>
      </c>
      <c r="BL36" s="841">
        <f>'5 Year Model'!AY29</f>
        <v>1369.3610082214836</v>
      </c>
      <c r="BM36" s="841">
        <f>'5 Year Model'!AZ29</f>
        <v>1369.3610082214836</v>
      </c>
      <c r="BN36" s="841">
        <f>'5 Year Model'!BA29</f>
        <v>1369.3610082214836</v>
      </c>
      <c r="BO36" s="841">
        <f>'5 Year Model'!BB29</f>
        <v>1369.3610082214836</v>
      </c>
      <c r="BP36" s="841">
        <f>'5 Year Model'!BC29</f>
        <v>1369.3610082214836</v>
      </c>
      <c r="BQ36" s="841">
        <f>'5 Year Model'!BD29</f>
        <v>1369.3610082214836</v>
      </c>
      <c r="BR36" s="841">
        <f>'5 Year Model'!BE29</f>
        <v>1369.3610082214836</v>
      </c>
      <c r="BS36" s="841">
        <f>'5 Year Model'!BF29</f>
        <v>1369.3610082214836</v>
      </c>
      <c r="BT36" s="841">
        <f>'5 Year Model'!BG29</f>
        <v>1369.3610082214836</v>
      </c>
      <c r="BU36" s="841">
        <f>'5 Year Model'!BH29</f>
        <v>1369.3610082214836</v>
      </c>
      <c r="BV36" s="841">
        <f>'5 Year Model'!BI29</f>
        <v>1369.3610082214836</v>
      </c>
      <c r="BW36" s="841">
        <f>'5 Year Model'!BJ29</f>
        <v>1369.3610082214836</v>
      </c>
      <c r="BX36" s="841">
        <f t="shared" si="85"/>
        <v>1410.4418384681283</v>
      </c>
      <c r="BY36" s="841">
        <f t="shared" si="86"/>
        <v>1410.4418384681283</v>
      </c>
      <c r="BZ36" s="841">
        <f t="shared" si="86"/>
        <v>1410.4418384681283</v>
      </c>
      <c r="CA36" s="841">
        <f t="shared" si="86"/>
        <v>1410.4418384681283</v>
      </c>
    </row>
    <row r="37" spans="2:79" ht="13.5" customHeight="1">
      <c r="B37" s="401" t="s">
        <v>826</v>
      </c>
      <c r="G37" s="41">
        <f>P37/1.03</f>
        <v>2319.9352750809062</v>
      </c>
      <c r="H37" s="41">
        <f>G37</f>
        <v>2319.9352750809062</v>
      </c>
      <c r="I37" s="41">
        <f t="shared" ref="I37:L37" si="87">H37</f>
        <v>2319.9352750809062</v>
      </c>
      <c r="J37" s="41">
        <f t="shared" si="87"/>
        <v>2319.9352750809062</v>
      </c>
      <c r="K37" s="41">
        <f t="shared" si="87"/>
        <v>2319.9352750809062</v>
      </c>
      <c r="L37" s="41">
        <f t="shared" si="87"/>
        <v>2319.9352750809062</v>
      </c>
      <c r="M37" s="41">
        <f t="shared" ref="M37" si="88">L37</f>
        <v>2319.9352750809062</v>
      </c>
      <c r="N37" s="41">
        <f t="shared" ref="N37" si="89">M37</f>
        <v>2319.9352750809062</v>
      </c>
      <c r="O37" s="41">
        <f t="shared" ref="O37" si="90">N37</f>
        <v>2319.9352750809062</v>
      </c>
      <c r="P37" s="841">
        <f>'5 Year Model'!C30</f>
        <v>2389.5333333333333</v>
      </c>
      <c r="Q37" s="841">
        <f>'5 Year Model'!D30</f>
        <v>2389.5333333333333</v>
      </c>
      <c r="R37" s="841">
        <f>'5 Year Model'!E30</f>
        <v>2389.5333333333333</v>
      </c>
      <c r="S37" s="841">
        <f>'5 Year Model'!F30</f>
        <v>2389.5333333333333</v>
      </c>
      <c r="T37" s="841">
        <f>'5 Year Model'!G30</f>
        <v>2389.5333333333333</v>
      </c>
      <c r="U37" s="841">
        <f>'5 Year Model'!H30</f>
        <v>2389.5333333333333</v>
      </c>
      <c r="V37" s="841">
        <f>'5 Year Model'!I30</f>
        <v>2389.5333333333333</v>
      </c>
      <c r="W37" s="841">
        <f>'5 Year Model'!J30</f>
        <v>2389.5333333333333</v>
      </c>
      <c r="X37" s="841">
        <f>'5 Year Model'!K30</f>
        <v>2389.5333333333333</v>
      </c>
      <c r="Y37" s="841">
        <f>'5 Year Model'!L30</f>
        <v>2389.5333333333333</v>
      </c>
      <c r="Z37" s="841">
        <f>'5 Year Model'!M30</f>
        <v>2389.5333333333333</v>
      </c>
      <c r="AA37" s="841">
        <f>'5 Year Model'!N30</f>
        <v>2389.5333333333333</v>
      </c>
      <c r="AB37" s="841">
        <f>'5 Year Model'!O30</f>
        <v>2461.2193333333335</v>
      </c>
      <c r="AC37" s="841">
        <f>'5 Year Model'!P30</f>
        <v>2461.2193333333335</v>
      </c>
      <c r="AD37" s="841">
        <f>'5 Year Model'!Q30</f>
        <v>2461.2193333333335</v>
      </c>
      <c r="AE37" s="841">
        <f>'5 Year Model'!R30</f>
        <v>2461.2193333333335</v>
      </c>
      <c r="AF37" s="841">
        <f>'5 Year Model'!S30</f>
        <v>2461.2193333333335</v>
      </c>
      <c r="AG37" s="841">
        <f>'5 Year Model'!T30</f>
        <v>2461.2193333333335</v>
      </c>
      <c r="AH37" s="841">
        <f>'5 Year Model'!U30</f>
        <v>2461.2193333333335</v>
      </c>
      <c r="AI37" s="841">
        <f>'5 Year Model'!V30</f>
        <v>2461.2193333333335</v>
      </c>
      <c r="AJ37" s="841">
        <f>'5 Year Model'!W30</f>
        <v>2461.2193333333335</v>
      </c>
      <c r="AK37" s="841">
        <f>'5 Year Model'!X30</f>
        <v>2461.2193333333335</v>
      </c>
      <c r="AL37" s="841">
        <f>'5 Year Model'!Y30</f>
        <v>2461.2193333333335</v>
      </c>
      <c r="AM37" s="841">
        <f>'5 Year Model'!Z30</f>
        <v>2461.2193333333335</v>
      </c>
      <c r="AN37" s="841">
        <f>'5 Year Model'!AA30</f>
        <v>2535.0559133333331</v>
      </c>
      <c r="AO37" s="841">
        <f>'5 Year Model'!AB30</f>
        <v>2535.0559133333331</v>
      </c>
      <c r="AP37" s="841">
        <f>'5 Year Model'!AC30</f>
        <v>2535.0559133333331</v>
      </c>
      <c r="AQ37" s="841">
        <f>'5 Year Model'!AD30</f>
        <v>2535.0559133333331</v>
      </c>
      <c r="AR37" s="841">
        <f>'5 Year Model'!AE30</f>
        <v>2535.0559133333331</v>
      </c>
      <c r="AS37" s="841">
        <f>'5 Year Model'!AF30</f>
        <v>2535.0559133333331</v>
      </c>
      <c r="AT37" s="841">
        <f>'5 Year Model'!AG30</f>
        <v>2535.0559133333331</v>
      </c>
      <c r="AU37" s="841">
        <f>'5 Year Model'!AH30</f>
        <v>2535.0559133333331</v>
      </c>
      <c r="AV37" s="841">
        <f>'5 Year Model'!AI30</f>
        <v>2535.0559133333331</v>
      </c>
      <c r="AW37" s="841">
        <f>'5 Year Model'!AJ30</f>
        <v>2535.0559133333331</v>
      </c>
      <c r="AX37" s="841">
        <f>'5 Year Model'!AK30</f>
        <v>2535.0559133333331</v>
      </c>
      <c r="AY37" s="841">
        <f>'5 Year Model'!AL30</f>
        <v>2535.0559133333331</v>
      </c>
      <c r="AZ37" s="841">
        <f>'5 Year Model'!AM30</f>
        <v>2611.1075907333334</v>
      </c>
      <c r="BA37" s="841">
        <f>'5 Year Model'!AN30</f>
        <v>2611.1075907333334</v>
      </c>
      <c r="BB37" s="841">
        <f>'5 Year Model'!AO30</f>
        <v>2611.1075907333334</v>
      </c>
      <c r="BC37" s="841">
        <f>'5 Year Model'!AP30</f>
        <v>2611.1075907333334</v>
      </c>
      <c r="BD37" s="841">
        <f>'5 Year Model'!AQ30</f>
        <v>2611.1075907333334</v>
      </c>
      <c r="BE37" s="841">
        <f>'5 Year Model'!AR30</f>
        <v>2611.1075907333334</v>
      </c>
      <c r="BF37" s="841">
        <f>'5 Year Model'!AS30</f>
        <v>2611.1075907333334</v>
      </c>
      <c r="BG37" s="841">
        <f>'5 Year Model'!AT30</f>
        <v>2611.1075907333334</v>
      </c>
      <c r="BH37" s="841">
        <f>'5 Year Model'!AU30</f>
        <v>2611.1075907333334</v>
      </c>
      <c r="BI37" s="841">
        <f>'5 Year Model'!AV30</f>
        <v>2611.1075907333334</v>
      </c>
      <c r="BJ37" s="841">
        <f>'5 Year Model'!AW30</f>
        <v>2611.1075907333334</v>
      </c>
      <c r="BK37" s="841">
        <f>'5 Year Model'!AX30</f>
        <v>2611.1075907333334</v>
      </c>
      <c r="BL37" s="841">
        <f>'5 Year Model'!AY30</f>
        <v>2689.4408184553331</v>
      </c>
      <c r="BM37" s="841">
        <f>'5 Year Model'!AZ30</f>
        <v>2689.4408184553331</v>
      </c>
      <c r="BN37" s="841">
        <f>'5 Year Model'!BA30</f>
        <v>2689.4408184553331</v>
      </c>
      <c r="BO37" s="841">
        <f>'5 Year Model'!BB30</f>
        <v>2689.4408184553331</v>
      </c>
      <c r="BP37" s="841">
        <f>'5 Year Model'!BC30</f>
        <v>2689.4408184553331</v>
      </c>
      <c r="BQ37" s="841">
        <f>'5 Year Model'!BD30</f>
        <v>2689.4408184553331</v>
      </c>
      <c r="BR37" s="841">
        <f>'5 Year Model'!BE30</f>
        <v>2689.4408184553331</v>
      </c>
      <c r="BS37" s="841">
        <f>'5 Year Model'!BF30</f>
        <v>2689.4408184553331</v>
      </c>
      <c r="BT37" s="841">
        <f>'5 Year Model'!BG30</f>
        <v>2689.4408184553331</v>
      </c>
      <c r="BU37" s="841">
        <f>'5 Year Model'!BH30</f>
        <v>2689.4408184553331</v>
      </c>
      <c r="BV37" s="841">
        <f>'5 Year Model'!BI30</f>
        <v>2689.4408184553331</v>
      </c>
      <c r="BW37" s="841">
        <f>'5 Year Model'!BJ30</f>
        <v>2689.4408184553331</v>
      </c>
      <c r="BX37" s="841">
        <f t="shared" si="85"/>
        <v>2770.1240430089933</v>
      </c>
      <c r="BY37" s="841">
        <f t="shared" si="86"/>
        <v>2770.1240430089933</v>
      </c>
      <c r="BZ37" s="841">
        <f t="shared" si="86"/>
        <v>2770.1240430089933</v>
      </c>
      <c r="CA37" s="841">
        <f t="shared" si="86"/>
        <v>2770.1240430089933</v>
      </c>
    </row>
    <row r="38" spans="2:79" ht="13.5" customHeight="1">
      <c r="B38" s="401" t="s">
        <v>827</v>
      </c>
      <c r="P38" s="841">
        <f>'5 Year Model'!C31</f>
        <v>1373.9816666666668</v>
      </c>
      <c r="Q38" s="841">
        <f>'5 Year Model'!D31</f>
        <v>1373.9816666666668</v>
      </c>
      <c r="R38" s="841">
        <f>'5 Year Model'!E31</f>
        <v>1373.9816666666668</v>
      </c>
      <c r="S38" s="841">
        <f>'5 Year Model'!F31</f>
        <v>1373.9816666666668</v>
      </c>
      <c r="T38" s="841">
        <f>'5 Year Model'!G31</f>
        <v>1373.9816666666668</v>
      </c>
      <c r="U38" s="841">
        <f>'5 Year Model'!H31</f>
        <v>1373.9816666666668</v>
      </c>
      <c r="V38" s="841">
        <f>'5 Year Model'!I31</f>
        <v>1373.9816666666668</v>
      </c>
      <c r="W38" s="841">
        <f>'5 Year Model'!J31</f>
        <v>1373.9816666666668</v>
      </c>
      <c r="X38" s="841">
        <f>'5 Year Model'!K31</f>
        <v>1373.9816666666668</v>
      </c>
      <c r="Y38" s="841">
        <f>'5 Year Model'!L31</f>
        <v>1373.9816666666668</v>
      </c>
      <c r="Z38" s="841">
        <f>'5 Year Model'!M31</f>
        <v>1373.9816666666668</v>
      </c>
      <c r="AA38" s="841">
        <f>'5 Year Model'!N31</f>
        <v>1373.9816666666668</v>
      </c>
      <c r="AB38" s="841">
        <f>'5 Year Model'!O31</f>
        <v>2153.5669166666662</v>
      </c>
      <c r="AC38" s="841">
        <f>'5 Year Model'!P31</f>
        <v>2153.5669166666662</v>
      </c>
      <c r="AD38" s="841">
        <f>'5 Year Model'!Q31</f>
        <v>2153.5669166666662</v>
      </c>
      <c r="AE38" s="841">
        <f>'5 Year Model'!R31</f>
        <v>2153.5669166666662</v>
      </c>
      <c r="AF38" s="841">
        <f>'5 Year Model'!S31</f>
        <v>2153.5669166666662</v>
      </c>
      <c r="AG38" s="841">
        <f>'5 Year Model'!T31</f>
        <v>2153.5669166666662</v>
      </c>
      <c r="AH38" s="841">
        <f>'5 Year Model'!U31</f>
        <v>2153.5669166666662</v>
      </c>
      <c r="AI38" s="841">
        <f>'5 Year Model'!V31</f>
        <v>2153.5669166666662</v>
      </c>
      <c r="AJ38" s="841">
        <f>'5 Year Model'!W31</f>
        <v>2153.5669166666662</v>
      </c>
      <c r="AK38" s="841">
        <f>'5 Year Model'!X31</f>
        <v>2153.5669166666662</v>
      </c>
      <c r="AL38" s="841">
        <f>'5 Year Model'!Y31</f>
        <v>2153.5669166666662</v>
      </c>
      <c r="AM38" s="841">
        <f>'5 Year Model'!Z31</f>
        <v>2153.5669166666662</v>
      </c>
      <c r="AN38" s="841">
        <f>'5 Year Model'!AA31</f>
        <v>2218.173924166666</v>
      </c>
      <c r="AO38" s="841">
        <f>'5 Year Model'!AB31</f>
        <v>2218.173924166666</v>
      </c>
      <c r="AP38" s="841">
        <f>'5 Year Model'!AC31</f>
        <v>2218.173924166666</v>
      </c>
      <c r="AQ38" s="841">
        <f>'5 Year Model'!AD31</f>
        <v>2218.173924166666</v>
      </c>
      <c r="AR38" s="841">
        <f>'5 Year Model'!AE31</f>
        <v>2218.173924166666</v>
      </c>
      <c r="AS38" s="841">
        <f>'5 Year Model'!AF31</f>
        <v>2218.173924166666</v>
      </c>
      <c r="AT38" s="841">
        <f>'5 Year Model'!AG31</f>
        <v>2218.173924166666</v>
      </c>
      <c r="AU38" s="841">
        <f>'5 Year Model'!AH31</f>
        <v>2218.173924166666</v>
      </c>
      <c r="AV38" s="841">
        <f>'5 Year Model'!AI31</f>
        <v>2218.173924166666</v>
      </c>
      <c r="AW38" s="841">
        <f>'5 Year Model'!AJ31</f>
        <v>2218.173924166666</v>
      </c>
      <c r="AX38" s="841">
        <f>'5 Year Model'!AK31</f>
        <v>2218.173924166666</v>
      </c>
      <c r="AY38" s="841">
        <f>'5 Year Model'!AL31</f>
        <v>2218.173924166666</v>
      </c>
      <c r="AZ38" s="841">
        <f>'5 Year Model'!AM31</f>
        <v>2284.7191418916664</v>
      </c>
      <c r="BA38" s="841">
        <f>'5 Year Model'!AN31</f>
        <v>2284.7191418916664</v>
      </c>
      <c r="BB38" s="841">
        <f>'5 Year Model'!AO31</f>
        <v>2284.7191418916664</v>
      </c>
      <c r="BC38" s="841">
        <f>'5 Year Model'!AP31</f>
        <v>2284.7191418916664</v>
      </c>
      <c r="BD38" s="841">
        <f>'5 Year Model'!AQ31</f>
        <v>2284.7191418916664</v>
      </c>
      <c r="BE38" s="841">
        <f>'5 Year Model'!AR31</f>
        <v>2284.7191418916664</v>
      </c>
      <c r="BF38" s="841">
        <f>'5 Year Model'!AS31</f>
        <v>2284.7191418916664</v>
      </c>
      <c r="BG38" s="841">
        <f>'5 Year Model'!AT31</f>
        <v>2284.7191418916664</v>
      </c>
      <c r="BH38" s="841">
        <f>'5 Year Model'!AU31</f>
        <v>2284.7191418916664</v>
      </c>
      <c r="BI38" s="841">
        <f>'5 Year Model'!AV31</f>
        <v>2284.7191418916664</v>
      </c>
      <c r="BJ38" s="841">
        <f>'5 Year Model'!AW31</f>
        <v>2284.7191418916664</v>
      </c>
      <c r="BK38" s="841">
        <f>'5 Year Model'!AX31</f>
        <v>2284.7191418916664</v>
      </c>
      <c r="BL38" s="841">
        <f>'5 Year Model'!AY31</f>
        <v>2353.2607161484161</v>
      </c>
      <c r="BM38" s="841">
        <f>'5 Year Model'!AZ31</f>
        <v>2353.2607161484161</v>
      </c>
      <c r="BN38" s="841">
        <f>'5 Year Model'!BA31</f>
        <v>2353.2607161484161</v>
      </c>
      <c r="BO38" s="841">
        <f>'5 Year Model'!BB31</f>
        <v>2353.2607161484161</v>
      </c>
      <c r="BP38" s="841">
        <f>'5 Year Model'!BC31</f>
        <v>2353.2607161484161</v>
      </c>
      <c r="BQ38" s="841">
        <f>'5 Year Model'!BD31</f>
        <v>2353.2607161484161</v>
      </c>
      <c r="BR38" s="841">
        <f>'5 Year Model'!BE31</f>
        <v>2353.2607161484161</v>
      </c>
      <c r="BS38" s="841">
        <f>'5 Year Model'!BF31</f>
        <v>2353.2607161484161</v>
      </c>
      <c r="BT38" s="841">
        <f>'5 Year Model'!BG31</f>
        <v>2353.2607161484161</v>
      </c>
      <c r="BU38" s="841">
        <f>'5 Year Model'!BH31</f>
        <v>2353.2607161484161</v>
      </c>
      <c r="BV38" s="841">
        <f>'5 Year Model'!BI31</f>
        <v>2353.2607161484161</v>
      </c>
      <c r="BW38" s="841">
        <f>'5 Year Model'!BJ31</f>
        <v>2353.2607161484161</v>
      </c>
      <c r="BX38" s="841">
        <f t="shared" si="85"/>
        <v>2423.8585376328688</v>
      </c>
      <c r="BY38" s="841">
        <f t="shared" si="86"/>
        <v>2423.8585376328688</v>
      </c>
      <c r="BZ38" s="841">
        <f t="shared" si="86"/>
        <v>2423.8585376328688</v>
      </c>
      <c r="CA38" s="841">
        <f t="shared" si="86"/>
        <v>2423.8585376328688</v>
      </c>
    </row>
    <row r="39" spans="2:79" ht="13.5" customHeight="1">
      <c r="B39" s="401" t="s">
        <v>828</v>
      </c>
      <c r="P39" s="841">
        <f>'5 Year Model'!C32</f>
        <v>65.40947338128602</v>
      </c>
      <c r="Q39" s="841">
        <f>'5 Year Model'!D32</f>
        <v>145.20985458921567</v>
      </c>
      <c r="R39" s="841">
        <f>'5 Year Model'!E32</f>
        <v>246.32491268475326</v>
      </c>
      <c r="S39" s="841">
        <f>'5 Year Model'!F32</f>
        <v>341.4641070742573</v>
      </c>
      <c r="T39" s="841">
        <f>'5 Year Model'!G32</f>
        <v>440.49965355109015</v>
      </c>
      <c r="U39" s="841">
        <f>'5 Year Model'!H32</f>
        <v>545.00171785233533</v>
      </c>
      <c r="V39" s="841">
        <f>'5 Year Model'!I32</f>
        <v>670.31007629796352</v>
      </c>
      <c r="W39" s="841">
        <f>'5 Year Model'!J32</f>
        <v>806.20922385076608</v>
      </c>
      <c r="X39" s="841">
        <f>'5 Year Model'!K32</f>
        <v>952.54829303636404</v>
      </c>
      <c r="Y39" s="841">
        <f>'5 Year Model'!L32</f>
        <v>1119.8235996021544</v>
      </c>
      <c r="Z39" s="841">
        <f>'5 Year Model'!M32</f>
        <v>1292.6754652400191</v>
      </c>
      <c r="AA39" s="841">
        <f>'5 Year Model'!N32</f>
        <v>1474.4077558853214</v>
      </c>
      <c r="AB39" s="841">
        <f>'5 Year Model'!O32</f>
        <v>1630.7375308724656</v>
      </c>
      <c r="AC39" s="841">
        <f>'5 Year Model'!P32</f>
        <v>1746.9758799021085</v>
      </c>
      <c r="AD39" s="841">
        <f>'5 Year Model'!Q32</f>
        <v>1864.5952027220883</v>
      </c>
      <c r="AE39" s="841">
        <f>'5 Year Model'!R32</f>
        <v>1985.0960211611371</v>
      </c>
      <c r="AF39" s="841">
        <f>'5 Year Model'!S32</f>
        <v>2093.3429959440437</v>
      </c>
      <c r="AG39" s="841">
        <f>'5 Year Model'!T32</f>
        <v>2212.5969735726271</v>
      </c>
      <c r="AH39" s="841">
        <f>'5 Year Model'!U32</f>
        <v>2316.0768196214985</v>
      </c>
      <c r="AI39" s="841">
        <f>'5 Year Model'!V32</f>
        <v>2437.4000706600318</v>
      </c>
      <c r="AJ39" s="841">
        <f>'5 Year Model'!W32</f>
        <v>2561.1856397468432</v>
      </c>
      <c r="AK39" s="841">
        <f>'5 Year Model'!X32</f>
        <v>2715.9595975243619</v>
      </c>
      <c r="AL39" s="841">
        <f>'5 Year Model'!Y32</f>
        <v>2859.7449145441306</v>
      </c>
      <c r="AM39" s="841">
        <f>'5 Year Model'!Z32</f>
        <v>2911.3027967795347</v>
      </c>
      <c r="AN39" s="841">
        <f>'5 Year Model'!AA32</f>
        <v>2926.8131524481209</v>
      </c>
      <c r="AO39" s="841">
        <f>'5 Year Model'!AB32</f>
        <v>2932.7582788648474</v>
      </c>
      <c r="AP39" s="841">
        <f>'5 Year Model'!AC32</f>
        <v>2924.2915389934133</v>
      </c>
      <c r="AQ39" s="841">
        <f>'5 Year Model'!AD32</f>
        <v>2949.2122053282892</v>
      </c>
      <c r="AR39" s="841">
        <f>'5 Year Model'!AE32</f>
        <v>2996.906759469578</v>
      </c>
      <c r="AS39" s="841">
        <f>'5 Year Model'!AF32</f>
        <v>3036.096631058007</v>
      </c>
      <c r="AT39" s="841">
        <f>'5 Year Model'!AG32</f>
        <v>3082.2809657402599</v>
      </c>
      <c r="AU39" s="841">
        <f>'5 Year Model'!AH32</f>
        <v>3129.4605969124782</v>
      </c>
      <c r="AV39" s="841">
        <f>'5 Year Model'!AI32</f>
        <v>3192.524036670176</v>
      </c>
      <c r="AW39" s="841">
        <f>'5 Year Model'!AJ32</f>
        <v>3217.9198137119693</v>
      </c>
      <c r="AX39" s="841">
        <f>'5 Year Model'!AK32</f>
        <v>3245.0210656418772</v>
      </c>
      <c r="AY39" s="841">
        <f>'5 Year Model'!AL32</f>
        <v>3264.2168656509784</v>
      </c>
      <c r="AZ39" s="841">
        <f>'5 Year Model'!AM32</f>
        <v>3273.7386155349914</v>
      </c>
      <c r="BA39" s="841">
        <f>'5 Year Model'!AN32</f>
        <v>3266.5800341469803</v>
      </c>
      <c r="BB39" s="841">
        <f>'5 Year Model'!AO32</f>
        <v>3246.3868025525253</v>
      </c>
      <c r="BC39" s="841">
        <f>'5 Year Model'!AP32</f>
        <v>3260.0985625454091</v>
      </c>
      <c r="BD39" s="841">
        <f>'5 Year Model'!AQ32</f>
        <v>3296.6831385876071</v>
      </c>
      <c r="BE39" s="841">
        <f>'5 Year Model'!AR32</f>
        <v>3334.7467336614914</v>
      </c>
      <c r="BF39" s="841">
        <f>'5 Year Model'!AS32</f>
        <v>3379.2578669159843</v>
      </c>
      <c r="BG39" s="841">
        <f>'5 Year Model'!AT32</f>
        <v>3430.1909555780867</v>
      </c>
      <c r="BH39" s="841">
        <f>'5 Year Model'!AU32</f>
        <v>3473.8192059110543</v>
      </c>
      <c r="BI39" s="841">
        <f>'5 Year Model'!AV32</f>
        <v>3495.0383164792829</v>
      </c>
      <c r="BJ39" s="841">
        <f>'5 Year Model'!AW32</f>
        <v>3519.1937346109471</v>
      </c>
      <c r="BK39" s="841">
        <f>'5 Year Model'!AX32</f>
        <v>3533.565210604499</v>
      </c>
      <c r="BL39" s="841">
        <f>'5 Year Model'!AY32</f>
        <v>3539.5761506875842</v>
      </c>
      <c r="BM39" s="841">
        <f>'5 Year Model'!AZ32</f>
        <v>3533.4023880271375</v>
      </c>
      <c r="BN39" s="841">
        <f>'5 Year Model'!BA32</f>
        <v>3513.8597690788342</v>
      </c>
      <c r="BO39" s="841">
        <f>'5 Year Model'!BB32</f>
        <v>3530.4554471214619</v>
      </c>
      <c r="BP39" s="841">
        <f>'5 Year Model'!BC32</f>
        <v>3565.698849569304</v>
      </c>
      <c r="BQ39" s="841">
        <f>'5 Year Model'!BD32</f>
        <v>3607.6895286608415</v>
      </c>
      <c r="BR39" s="841">
        <f>'5 Year Model'!BE32</f>
        <v>3656.2788292652144</v>
      </c>
      <c r="BS39" s="841">
        <f>'5 Year Model'!BF32</f>
        <v>3706.4722513612624</v>
      </c>
      <c r="BT39" s="841">
        <f>'5 Year Model'!BG32</f>
        <v>3754.2663634825863</v>
      </c>
      <c r="BU39" s="841">
        <f>'5 Year Model'!BH32</f>
        <v>3779.1355802155776</v>
      </c>
      <c r="BV39" s="841">
        <f>'5 Year Model'!BI32</f>
        <v>3803.4761962358543</v>
      </c>
      <c r="BW39" s="841">
        <f>'5 Year Model'!BJ32</f>
        <v>3819.601716608925</v>
      </c>
      <c r="BX39" s="841">
        <f t="shared" si="85"/>
        <v>3934.1897681071928</v>
      </c>
      <c r="BY39" s="841">
        <f t="shared" si="86"/>
        <v>3934.1897681071928</v>
      </c>
      <c r="BZ39" s="841">
        <f t="shared" si="86"/>
        <v>3934.1897681071928</v>
      </c>
      <c r="CA39" s="841">
        <f t="shared" si="86"/>
        <v>3934.1897681071928</v>
      </c>
    </row>
    <row r="40" spans="2:79" ht="13.5" customHeight="1">
      <c r="B40" s="401" t="s">
        <v>829</v>
      </c>
      <c r="P40" s="841">
        <f>'5 Year Model'!C33</f>
        <v>4125.8045319738703</v>
      </c>
      <c r="Q40" s="841">
        <f>'5 Year Model'!D33</f>
        <v>3675</v>
      </c>
      <c r="R40" s="841">
        <f>'5 Year Model'!E33</f>
        <v>3465</v>
      </c>
      <c r="S40" s="841">
        <f>'5 Year Model'!F33</f>
        <v>3570</v>
      </c>
      <c r="T40" s="841">
        <f>'5 Year Model'!G33</f>
        <v>3780</v>
      </c>
      <c r="U40" s="841">
        <f>'5 Year Model'!H33</f>
        <v>3885</v>
      </c>
      <c r="V40" s="841">
        <f>'5 Year Model'!I33</f>
        <v>4095</v>
      </c>
      <c r="W40" s="841">
        <f>'5 Year Model'!J33</f>
        <v>4410</v>
      </c>
      <c r="X40" s="841">
        <f>'5 Year Model'!K33</f>
        <v>4935</v>
      </c>
      <c r="Y40" s="841">
        <f>'5 Year Model'!L33</f>
        <v>5460</v>
      </c>
      <c r="Z40" s="841">
        <f>'5 Year Model'!M33</f>
        <v>5985</v>
      </c>
      <c r="AA40" s="841">
        <f>'5 Year Model'!N33</f>
        <v>5145</v>
      </c>
      <c r="AB40" s="841">
        <f>'5 Year Model'!O33</f>
        <v>4650.45</v>
      </c>
      <c r="AC40" s="841">
        <f>'5 Year Model'!P33</f>
        <v>4542.3</v>
      </c>
      <c r="AD40" s="841">
        <f>'5 Year Model'!Q33</f>
        <v>4217.8500000000004</v>
      </c>
      <c r="AE40" s="841">
        <f>'5 Year Model'!R33</f>
        <v>4434.1500000000005</v>
      </c>
      <c r="AF40" s="841">
        <f>'5 Year Model'!S33</f>
        <v>4650.45</v>
      </c>
      <c r="AG40" s="841">
        <f>'5 Year Model'!T33</f>
        <v>4758.6000000000004</v>
      </c>
      <c r="AH40" s="841">
        <f>'5 Year Model'!U33</f>
        <v>5083.05</v>
      </c>
      <c r="AI40" s="841">
        <f>'5 Year Model'!V33</f>
        <v>5191.2000000000007</v>
      </c>
      <c r="AJ40" s="841">
        <f>'5 Year Model'!W33</f>
        <v>5731.9500000000007</v>
      </c>
      <c r="AK40" s="841">
        <f>'5 Year Model'!X33</f>
        <v>5948.25</v>
      </c>
      <c r="AL40" s="841">
        <f>'5 Year Model'!Y33</f>
        <v>6272.7000000000007</v>
      </c>
      <c r="AM40" s="841">
        <f>'5 Year Model'!Z33</f>
        <v>3785.25</v>
      </c>
      <c r="AN40" s="841">
        <f>'5 Year Model'!AA33</f>
        <v>3676.0184999999997</v>
      </c>
      <c r="AO40" s="841">
        <f>'5 Year Model'!AB33</f>
        <v>3453.2294999999999</v>
      </c>
      <c r="AP40" s="841">
        <f>'5 Year Model'!AC33</f>
        <v>3119.0459999999998</v>
      </c>
      <c r="AQ40" s="841">
        <f>'5 Year Model'!AD33</f>
        <v>3787.4129999999996</v>
      </c>
      <c r="AR40" s="841">
        <f>'5 Year Model'!AE33</f>
        <v>4344.3854999999994</v>
      </c>
      <c r="AS40" s="841">
        <f>'5 Year Model'!AF33</f>
        <v>4344.3854999999994</v>
      </c>
      <c r="AT40" s="841">
        <f>'5 Year Model'!AG33</f>
        <v>4567.1745000000001</v>
      </c>
      <c r="AU40" s="841">
        <f>'5 Year Model'!AH33</f>
        <v>4567.1745000000001</v>
      </c>
      <c r="AV40" s="841">
        <f>'5 Year Model'!AI33</f>
        <v>4901.3580000000002</v>
      </c>
      <c r="AW40" s="841">
        <f>'5 Year Model'!AJ33</f>
        <v>4232.991</v>
      </c>
      <c r="AX40" s="841">
        <f>'5 Year Model'!AK33</f>
        <v>4232.991</v>
      </c>
      <c r="AY40" s="841">
        <f>'5 Year Model'!AL33</f>
        <v>3898.8074999999999</v>
      </c>
      <c r="AZ40" s="841">
        <f>'5 Year Model'!AM33</f>
        <v>3786.299055</v>
      </c>
      <c r="BA40" s="841">
        <f>'5 Year Model'!AN33</f>
        <v>3556.8263849999998</v>
      </c>
      <c r="BB40" s="841">
        <f>'5 Year Model'!AO33</f>
        <v>3212.6173799999997</v>
      </c>
      <c r="BC40" s="841">
        <f>'5 Year Model'!AP33</f>
        <v>3901.03539</v>
      </c>
      <c r="BD40" s="841">
        <f>'5 Year Model'!AQ33</f>
        <v>4474.7170649999998</v>
      </c>
      <c r="BE40" s="841">
        <f>'5 Year Model'!AR33</f>
        <v>4474.7170649999998</v>
      </c>
      <c r="BF40" s="841">
        <f>'5 Year Model'!AS33</f>
        <v>4589.4534000000003</v>
      </c>
      <c r="BG40" s="841">
        <f>'5 Year Model'!AT33</f>
        <v>4818.9260699999995</v>
      </c>
      <c r="BH40" s="841">
        <f>'5 Year Model'!AU33</f>
        <v>4704.1897349999999</v>
      </c>
      <c r="BI40" s="841">
        <f>'5 Year Model'!AV33</f>
        <v>4245.2443949999997</v>
      </c>
      <c r="BJ40" s="841">
        <f>'5 Year Model'!AW33</f>
        <v>4359.9807300000002</v>
      </c>
      <c r="BK40" s="841">
        <f>'5 Year Model'!AX33</f>
        <v>4015.7717250000001</v>
      </c>
      <c r="BL40" s="841">
        <f>'5 Year Model'!AY33</f>
        <v>3899.8880266499996</v>
      </c>
      <c r="BM40" s="841">
        <f>'5 Year Model'!AZ33</f>
        <v>3663.5311765499996</v>
      </c>
      <c r="BN40" s="841">
        <f>'5 Year Model'!BA33</f>
        <v>3308.9959013999996</v>
      </c>
      <c r="BO40" s="841">
        <f>'5 Year Model'!BB33</f>
        <v>4136.2448767499991</v>
      </c>
      <c r="BP40" s="841">
        <f>'5 Year Model'!BC33</f>
        <v>4490.7801518999995</v>
      </c>
      <c r="BQ40" s="841">
        <f>'5 Year Model'!BD33</f>
        <v>4608.958576949999</v>
      </c>
      <c r="BR40" s="841">
        <f>'5 Year Model'!BE33</f>
        <v>4845.3154270499999</v>
      </c>
      <c r="BS40" s="841">
        <f>'5 Year Model'!BF33</f>
        <v>4845.3154270499999</v>
      </c>
      <c r="BT40" s="841">
        <f>'5 Year Model'!BG33</f>
        <v>4845.3154270499999</v>
      </c>
      <c r="BU40" s="841">
        <f>'5 Year Model'!BH33</f>
        <v>4490.7801518999995</v>
      </c>
      <c r="BV40" s="841">
        <f>'5 Year Model'!BI33</f>
        <v>4490.7801518999995</v>
      </c>
      <c r="BW40" s="841">
        <f>'5 Year Model'!BJ33</f>
        <v>4136.2448767499991</v>
      </c>
      <c r="BX40" s="841">
        <f t="shared" si="85"/>
        <v>4260.3322230524991</v>
      </c>
      <c r="BY40" s="841">
        <f t="shared" si="86"/>
        <v>4260.3322230524991</v>
      </c>
      <c r="BZ40" s="841">
        <f t="shared" si="86"/>
        <v>4260.3322230524991</v>
      </c>
      <c r="CA40" s="841">
        <f t="shared" si="86"/>
        <v>4260.3322230524991</v>
      </c>
    </row>
    <row r="41" spans="2:79" ht="13.5" customHeight="1">
      <c r="B41" s="401" t="s">
        <v>830</v>
      </c>
      <c r="P41" s="841">
        <f>'5 Year Model'!C34</f>
        <v>400</v>
      </c>
      <c r="Q41" s="841">
        <f>'5 Year Model'!D34</f>
        <v>400</v>
      </c>
      <c r="R41" s="841">
        <f>'5 Year Model'!E34</f>
        <v>400</v>
      </c>
      <c r="S41" s="841">
        <f>'5 Year Model'!F34</f>
        <v>400</v>
      </c>
      <c r="T41" s="841">
        <f>'5 Year Model'!G34</f>
        <v>400</v>
      </c>
      <c r="U41" s="841">
        <f>'5 Year Model'!H34</f>
        <v>400</v>
      </c>
      <c r="V41" s="841">
        <f>'5 Year Model'!I34</f>
        <v>400</v>
      </c>
      <c r="W41" s="841">
        <f>'5 Year Model'!J34</f>
        <v>400</v>
      </c>
      <c r="X41" s="841">
        <f>'5 Year Model'!K34</f>
        <v>400</v>
      </c>
      <c r="Y41" s="841">
        <f>'5 Year Model'!L34</f>
        <v>400</v>
      </c>
      <c r="Z41" s="841">
        <f>'5 Year Model'!M34</f>
        <v>400</v>
      </c>
      <c r="AA41" s="841">
        <f>'5 Year Model'!N34</f>
        <v>400</v>
      </c>
      <c r="AB41" s="841">
        <f>'5 Year Model'!O34</f>
        <v>412</v>
      </c>
      <c r="AC41" s="841">
        <f>'5 Year Model'!P34</f>
        <v>412</v>
      </c>
      <c r="AD41" s="841">
        <f>'5 Year Model'!Q34</f>
        <v>412</v>
      </c>
      <c r="AE41" s="841">
        <f>'5 Year Model'!R34</f>
        <v>412</v>
      </c>
      <c r="AF41" s="841">
        <f>'5 Year Model'!S34</f>
        <v>412</v>
      </c>
      <c r="AG41" s="841">
        <f>'5 Year Model'!T34</f>
        <v>412</v>
      </c>
      <c r="AH41" s="841">
        <f>'5 Year Model'!U34</f>
        <v>412</v>
      </c>
      <c r="AI41" s="841">
        <f>'5 Year Model'!V34</f>
        <v>412</v>
      </c>
      <c r="AJ41" s="841">
        <f>'5 Year Model'!W34</f>
        <v>412</v>
      </c>
      <c r="AK41" s="841">
        <f>'5 Year Model'!X34</f>
        <v>412</v>
      </c>
      <c r="AL41" s="841">
        <f>'5 Year Model'!Y34</f>
        <v>412</v>
      </c>
      <c r="AM41" s="841">
        <f>'5 Year Model'!Z34</f>
        <v>412</v>
      </c>
      <c r="AN41" s="841">
        <f>'5 Year Model'!AA34</f>
        <v>424.35999999999996</v>
      </c>
      <c r="AO41" s="841">
        <f>'5 Year Model'!AB34</f>
        <v>424.35999999999996</v>
      </c>
      <c r="AP41" s="841">
        <f>'5 Year Model'!AC34</f>
        <v>424.35999999999996</v>
      </c>
      <c r="AQ41" s="841">
        <f>'5 Year Model'!AD34</f>
        <v>424.35999999999996</v>
      </c>
      <c r="AR41" s="841">
        <f>'5 Year Model'!AE34</f>
        <v>424.35999999999996</v>
      </c>
      <c r="AS41" s="841">
        <f>'5 Year Model'!AF34</f>
        <v>424.35999999999996</v>
      </c>
      <c r="AT41" s="841">
        <f>'5 Year Model'!AG34</f>
        <v>424.35999999999996</v>
      </c>
      <c r="AU41" s="841">
        <f>'5 Year Model'!AH34</f>
        <v>424.35999999999996</v>
      </c>
      <c r="AV41" s="841">
        <f>'5 Year Model'!AI34</f>
        <v>424.35999999999996</v>
      </c>
      <c r="AW41" s="841">
        <f>'5 Year Model'!AJ34</f>
        <v>424.35999999999996</v>
      </c>
      <c r="AX41" s="841">
        <f>'5 Year Model'!AK34</f>
        <v>424.35999999999996</v>
      </c>
      <c r="AY41" s="841">
        <f>'5 Year Model'!AL34</f>
        <v>424.35999999999996</v>
      </c>
      <c r="AZ41" s="841">
        <f>'5 Year Model'!AM34</f>
        <v>437.0908</v>
      </c>
      <c r="BA41" s="841">
        <f>'5 Year Model'!AN34</f>
        <v>437.0908</v>
      </c>
      <c r="BB41" s="841">
        <f>'5 Year Model'!AO34</f>
        <v>437.0908</v>
      </c>
      <c r="BC41" s="841">
        <f>'5 Year Model'!AP34</f>
        <v>437.0908</v>
      </c>
      <c r="BD41" s="841">
        <f>'5 Year Model'!AQ34</f>
        <v>437.0908</v>
      </c>
      <c r="BE41" s="841">
        <f>'5 Year Model'!AR34</f>
        <v>437.0908</v>
      </c>
      <c r="BF41" s="841">
        <f>'5 Year Model'!AS34</f>
        <v>437.0908</v>
      </c>
      <c r="BG41" s="841">
        <f>'5 Year Model'!AT34</f>
        <v>437.0908</v>
      </c>
      <c r="BH41" s="841">
        <f>'5 Year Model'!AU34</f>
        <v>437.0908</v>
      </c>
      <c r="BI41" s="841">
        <f>'5 Year Model'!AV34</f>
        <v>437.0908</v>
      </c>
      <c r="BJ41" s="841">
        <f>'5 Year Model'!AW34</f>
        <v>437.0908</v>
      </c>
      <c r="BK41" s="841">
        <f>'5 Year Model'!AX34</f>
        <v>437.0908</v>
      </c>
      <c r="BL41" s="841">
        <f>'5 Year Model'!AY34</f>
        <v>450.20352399999996</v>
      </c>
      <c r="BM41" s="841">
        <f>'5 Year Model'!AZ34</f>
        <v>450.20352399999996</v>
      </c>
      <c r="BN41" s="841">
        <f>'5 Year Model'!BA34</f>
        <v>450.20352399999996</v>
      </c>
      <c r="BO41" s="841">
        <f>'5 Year Model'!BB34</f>
        <v>450.20352399999996</v>
      </c>
      <c r="BP41" s="841">
        <f>'5 Year Model'!BC34</f>
        <v>450.20352399999996</v>
      </c>
      <c r="BQ41" s="841">
        <f>'5 Year Model'!BD34</f>
        <v>450.20352399999996</v>
      </c>
      <c r="BR41" s="841">
        <f>'5 Year Model'!BE34</f>
        <v>450.20352399999996</v>
      </c>
      <c r="BS41" s="841">
        <f>'5 Year Model'!BF34</f>
        <v>450.20352399999996</v>
      </c>
      <c r="BT41" s="841">
        <f>'5 Year Model'!BG34</f>
        <v>450.20352399999996</v>
      </c>
      <c r="BU41" s="841">
        <f>'5 Year Model'!BH34</f>
        <v>450.20352399999996</v>
      </c>
      <c r="BV41" s="841">
        <f>'5 Year Model'!BI34</f>
        <v>450.20352399999996</v>
      </c>
      <c r="BW41" s="841">
        <f>'5 Year Model'!BJ34</f>
        <v>450.20352399999996</v>
      </c>
      <c r="BX41" s="841">
        <f t="shared" si="85"/>
        <v>463.70962971999995</v>
      </c>
      <c r="BY41" s="841">
        <f t="shared" si="86"/>
        <v>463.70962971999995</v>
      </c>
      <c r="BZ41" s="841">
        <f t="shared" si="86"/>
        <v>463.70962971999995</v>
      </c>
      <c r="CA41" s="841">
        <f t="shared" si="86"/>
        <v>463.70962971999995</v>
      </c>
    </row>
    <row r="42" spans="2:79" ht="13.5" customHeight="1">
      <c r="B42" s="401" t="s">
        <v>831</v>
      </c>
      <c r="P42" s="841">
        <f>'5 Year Model'!C35</f>
        <v>150</v>
      </c>
      <c r="Q42" s="841">
        <f>'5 Year Model'!D35</f>
        <v>150</v>
      </c>
      <c r="R42" s="841">
        <f>'5 Year Model'!E35</f>
        <v>150</v>
      </c>
      <c r="S42" s="841">
        <f>'5 Year Model'!F35</f>
        <v>150</v>
      </c>
      <c r="T42" s="841">
        <f>'5 Year Model'!G35</f>
        <v>150</v>
      </c>
      <c r="U42" s="841">
        <f>'5 Year Model'!H35</f>
        <v>150</v>
      </c>
      <c r="V42" s="841">
        <f>'5 Year Model'!I35</f>
        <v>150</v>
      </c>
      <c r="W42" s="841">
        <f>'5 Year Model'!J35</f>
        <v>150</v>
      </c>
      <c r="X42" s="841">
        <f>'5 Year Model'!K35</f>
        <v>150</v>
      </c>
      <c r="Y42" s="841">
        <f>'5 Year Model'!L35</f>
        <v>150</v>
      </c>
      <c r="Z42" s="841">
        <f>'5 Year Model'!M35</f>
        <v>150</v>
      </c>
      <c r="AA42" s="841">
        <f>'5 Year Model'!N35</f>
        <v>150</v>
      </c>
      <c r="AB42" s="841">
        <f>'5 Year Model'!O35</f>
        <v>154.5</v>
      </c>
      <c r="AC42" s="841">
        <f>'5 Year Model'!P35</f>
        <v>154.5</v>
      </c>
      <c r="AD42" s="841">
        <f>'5 Year Model'!Q35</f>
        <v>154.5</v>
      </c>
      <c r="AE42" s="841">
        <f>'5 Year Model'!R35</f>
        <v>154.5</v>
      </c>
      <c r="AF42" s="841">
        <f>'5 Year Model'!S35</f>
        <v>154.5</v>
      </c>
      <c r="AG42" s="841">
        <f>'5 Year Model'!T35</f>
        <v>154.5</v>
      </c>
      <c r="AH42" s="841">
        <f>'5 Year Model'!U35</f>
        <v>154.5</v>
      </c>
      <c r="AI42" s="841">
        <f>'5 Year Model'!V35</f>
        <v>154.5</v>
      </c>
      <c r="AJ42" s="841">
        <f>'5 Year Model'!W35</f>
        <v>154.5</v>
      </c>
      <c r="AK42" s="841">
        <f>'5 Year Model'!X35</f>
        <v>154.5</v>
      </c>
      <c r="AL42" s="841">
        <f>'5 Year Model'!Y35</f>
        <v>154.5</v>
      </c>
      <c r="AM42" s="841">
        <f>'5 Year Model'!Z35</f>
        <v>154.5</v>
      </c>
      <c r="AN42" s="841">
        <f>'5 Year Model'!AA35</f>
        <v>159.13499999999999</v>
      </c>
      <c r="AO42" s="841">
        <f>'5 Year Model'!AB35</f>
        <v>159.13499999999999</v>
      </c>
      <c r="AP42" s="841">
        <f>'5 Year Model'!AC35</f>
        <v>159.13499999999999</v>
      </c>
      <c r="AQ42" s="841">
        <f>'5 Year Model'!AD35</f>
        <v>159.13499999999999</v>
      </c>
      <c r="AR42" s="841">
        <f>'5 Year Model'!AE35</f>
        <v>159.13499999999999</v>
      </c>
      <c r="AS42" s="841">
        <f>'5 Year Model'!AF35</f>
        <v>159.13499999999999</v>
      </c>
      <c r="AT42" s="841">
        <f>'5 Year Model'!AG35</f>
        <v>159.13499999999999</v>
      </c>
      <c r="AU42" s="841">
        <f>'5 Year Model'!AH35</f>
        <v>159.13499999999999</v>
      </c>
      <c r="AV42" s="841">
        <f>'5 Year Model'!AI35</f>
        <v>159.13499999999999</v>
      </c>
      <c r="AW42" s="841">
        <f>'5 Year Model'!AJ35</f>
        <v>159.13499999999999</v>
      </c>
      <c r="AX42" s="841">
        <f>'5 Year Model'!AK35</f>
        <v>159.13499999999999</v>
      </c>
      <c r="AY42" s="841">
        <f>'5 Year Model'!AL35</f>
        <v>159.13499999999999</v>
      </c>
      <c r="AZ42" s="841">
        <f>'5 Year Model'!AM35</f>
        <v>163.90905000000001</v>
      </c>
      <c r="BA42" s="841">
        <f>'5 Year Model'!AN35</f>
        <v>163.90905000000001</v>
      </c>
      <c r="BB42" s="841">
        <f>'5 Year Model'!AO35</f>
        <v>163.90905000000001</v>
      </c>
      <c r="BC42" s="841">
        <f>'5 Year Model'!AP35</f>
        <v>163.90905000000001</v>
      </c>
      <c r="BD42" s="841">
        <f>'5 Year Model'!AQ35</f>
        <v>163.90905000000001</v>
      </c>
      <c r="BE42" s="841">
        <f>'5 Year Model'!AR35</f>
        <v>163.90905000000001</v>
      </c>
      <c r="BF42" s="841">
        <f>'5 Year Model'!AS35</f>
        <v>163.90905000000001</v>
      </c>
      <c r="BG42" s="841">
        <f>'5 Year Model'!AT35</f>
        <v>163.90905000000001</v>
      </c>
      <c r="BH42" s="841">
        <f>'5 Year Model'!AU35</f>
        <v>163.90905000000001</v>
      </c>
      <c r="BI42" s="841">
        <f>'5 Year Model'!AV35</f>
        <v>163.90905000000001</v>
      </c>
      <c r="BJ42" s="841">
        <f>'5 Year Model'!AW35</f>
        <v>163.90905000000001</v>
      </c>
      <c r="BK42" s="841">
        <f>'5 Year Model'!AX35</f>
        <v>163.90905000000001</v>
      </c>
      <c r="BL42" s="841">
        <f>'5 Year Model'!AY35</f>
        <v>168.82632149999998</v>
      </c>
      <c r="BM42" s="841">
        <f>'5 Year Model'!AZ35</f>
        <v>168.82632149999998</v>
      </c>
      <c r="BN42" s="841">
        <f>'5 Year Model'!BA35</f>
        <v>168.82632149999998</v>
      </c>
      <c r="BO42" s="841">
        <f>'5 Year Model'!BB35</f>
        <v>168.82632149999998</v>
      </c>
      <c r="BP42" s="841">
        <f>'5 Year Model'!BC35</f>
        <v>168.82632149999998</v>
      </c>
      <c r="BQ42" s="841">
        <f>'5 Year Model'!BD35</f>
        <v>168.82632149999998</v>
      </c>
      <c r="BR42" s="841">
        <f>'5 Year Model'!BE35</f>
        <v>168.82632149999998</v>
      </c>
      <c r="BS42" s="841">
        <f>'5 Year Model'!BF35</f>
        <v>168.82632149999998</v>
      </c>
      <c r="BT42" s="841">
        <f>'5 Year Model'!BG35</f>
        <v>168.82632149999998</v>
      </c>
      <c r="BU42" s="841">
        <f>'5 Year Model'!BH35</f>
        <v>168.82632149999998</v>
      </c>
      <c r="BV42" s="841">
        <f>'5 Year Model'!BI35</f>
        <v>168.82632149999998</v>
      </c>
      <c r="BW42" s="841">
        <f>'5 Year Model'!BJ35</f>
        <v>168.82632149999998</v>
      </c>
      <c r="BX42" s="841">
        <f t="shared" si="85"/>
        <v>173.89111114499997</v>
      </c>
      <c r="BY42" s="841">
        <f t="shared" si="86"/>
        <v>173.89111114499997</v>
      </c>
      <c r="BZ42" s="841">
        <f t="shared" si="86"/>
        <v>173.89111114499997</v>
      </c>
      <c r="CA42" s="841">
        <f t="shared" si="86"/>
        <v>173.89111114499997</v>
      </c>
    </row>
    <row r="43" spans="2:79" ht="13.5" customHeight="1">
      <c r="B43" s="401" t="s">
        <v>832</v>
      </c>
      <c r="P43" s="841">
        <f>'5 Year Model'!C36</f>
        <v>400</v>
      </c>
      <c r="Q43" s="841">
        <f>'5 Year Model'!D36</f>
        <v>400</v>
      </c>
      <c r="R43" s="841">
        <f>'5 Year Model'!E36</f>
        <v>400</v>
      </c>
      <c r="S43" s="841">
        <f>'5 Year Model'!F36</f>
        <v>400</v>
      </c>
      <c r="T43" s="841">
        <f>'5 Year Model'!G36</f>
        <v>400</v>
      </c>
      <c r="U43" s="841">
        <f>'5 Year Model'!H36</f>
        <v>400</v>
      </c>
      <c r="V43" s="841">
        <f>'5 Year Model'!I36</f>
        <v>400</v>
      </c>
      <c r="W43" s="841">
        <f>'5 Year Model'!J36</f>
        <v>400</v>
      </c>
      <c r="X43" s="841">
        <f>'5 Year Model'!K36</f>
        <v>400</v>
      </c>
      <c r="Y43" s="841">
        <f>'5 Year Model'!L36</f>
        <v>400</v>
      </c>
      <c r="Z43" s="841">
        <f>'5 Year Model'!M36</f>
        <v>400</v>
      </c>
      <c r="AA43" s="841">
        <f>'5 Year Model'!N36</f>
        <v>400</v>
      </c>
      <c r="AB43" s="841">
        <f>'5 Year Model'!O36</f>
        <v>412</v>
      </c>
      <c r="AC43" s="841">
        <f>'5 Year Model'!P36</f>
        <v>412</v>
      </c>
      <c r="AD43" s="841">
        <f>'5 Year Model'!Q36</f>
        <v>412</v>
      </c>
      <c r="AE43" s="841">
        <f>'5 Year Model'!R36</f>
        <v>412</v>
      </c>
      <c r="AF43" s="841">
        <f>'5 Year Model'!S36</f>
        <v>412</v>
      </c>
      <c r="AG43" s="841">
        <f>'5 Year Model'!T36</f>
        <v>412</v>
      </c>
      <c r="AH43" s="841">
        <f>'5 Year Model'!U36</f>
        <v>412</v>
      </c>
      <c r="AI43" s="841">
        <f>'5 Year Model'!V36</f>
        <v>412</v>
      </c>
      <c r="AJ43" s="841">
        <f>'5 Year Model'!W36</f>
        <v>412</v>
      </c>
      <c r="AK43" s="841">
        <f>'5 Year Model'!X36</f>
        <v>412</v>
      </c>
      <c r="AL43" s="841">
        <f>'5 Year Model'!Y36</f>
        <v>412</v>
      </c>
      <c r="AM43" s="841">
        <f>'5 Year Model'!Z36</f>
        <v>412</v>
      </c>
      <c r="AN43" s="841">
        <f>'5 Year Model'!AA36</f>
        <v>424.35999999999996</v>
      </c>
      <c r="AO43" s="841">
        <f>'5 Year Model'!AB36</f>
        <v>424.35999999999996</v>
      </c>
      <c r="AP43" s="841">
        <f>'5 Year Model'!AC36</f>
        <v>424.35999999999996</v>
      </c>
      <c r="AQ43" s="841">
        <f>'5 Year Model'!AD36</f>
        <v>424.35999999999996</v>
      </c>
      <c r="AR43" s="841">
        <f>'5 Year Model'!AE36</f>
        <v>424.35999999999996</v>
      </c>
      <c r="AS43" s="841">
        <f>'5 Year Model'!AF36</f>
        <v>424.35999999999996</v>
      </c>
      <c r="AT43" s="841">
        <f>'5 Year Model'!AG36</f>
        <v>424.35999999999996</v>
      </c>
      <c r="AU43" s="841">
        <f>'5 Year Model'!AH36</f>
        <v>424.35999999999996</v>
      </c>
      <c r="AV43" s="841">
        <f>'5 Year Model'!AI36</f>
        <v>424.35999999999996</v>
      </c>
      <c r="AW43" s="841">
        <f>'5 Year Model'!AJ36</f>
        <v>424.35999999999996</v>
      </c>
      <c r="AX43" s="841">
        <f>'5 Year Model'!AK36</f>
        <v>424.35999999999996</v>
      </c>
      <c r="AY43" s="841">
        <f>'5 Year Model'!AL36</f>
        <v>424.35999999999996</v>
      </c>
      <c r="AZ43" s="841">
        <f>'5 Year Model'!AM36</f>
        <v>437.0908</v>
      </c>
      <c r="BA43" s="841">
        <f>'5 Year Model'!AN36</f>
        <v>437.0908</v>
      </c>
      <c r="BB43" s="841">
        <f>'5 Year Model'!AO36</f>
        <v>437.0908</v>
      </c>
      <c r="BC43" s="841">
        <f>'5 Year Model'!AP36</f>
        <v>437.0908</v>
      </c>
      <c r="BD43" s="841">
        <f>'5 Year Model'!AQ36</f>
        <v>437.0908</v>
      </c>
      <c r="BE43" s="841">
        <f>'5 Year Model'!AR36</f>
        <v>437.0908</v>
      </c>
      <c r="BF43" s="841">
        <f>'5 Year Model'!AS36</f>
        <v>437.0908</v>
      </c>
      <c r="BG43" s="841">
        <f>'5 Year Model'!AT36</f>
        <v>437.0908</v>
      </c>
      <c r="BH43" s="841">
        <f>'5 Year Model'!AU36</f>
        <v>437.0908</v>
      </c>
      <c r="BI43" s="841">
        <f>'5 Year Model'!AV36</f>
        <v>437.0908</v>
      </c>
      <c r="BJ43" s="841">
        <f>'5 Year Model'!AW36</f>
        <v>437.0908</v>
      </c>
      <c r="BK43" s="841">
        <f>'5 Year Model'!AX36</f>
        <v>437.0908</v>
      </c>
      <c r="BL43" s="841">
        <f>'5 Year Model'!AY36</f>
        <v>450.20352399999996</v>
      </c>
      <c r="BM43" s="841">
        <f>'5 Year Model'!AZ36</f>
        <v>450.20352399999996</v>
      </c>
      <c r="BN43" s="841">
        <f>'5 Year Model'!BA36</f>
        <v>450.20352399999996</v>
      </c>
      <c r="BO43" s="841">
        <f>'5 Year Model'!BB36</f>
        <v>450.20352399999996</v>
      </c>
      <c r="BP43" s="841">
        <f>'5 Year Model'!BC36</f>
        <v>450.20352399999996</v>
      </c>
      <c r="BQ43" s="841">
        <f>'5 Year Model'!BD36</f>
        <v>450.20352399999996</v>
      </c>
      <c r="BR43" s="841">
        <f>'5 Year Model'!BE36</f>
        <v>450.20352399999996</v>
      </c>
      <c r="BS43" s="841">
        <f>'5 Year Model'!BF36</f>
        <v>450.20352399999996</v>
      </c>
      <c r="BT43" s="841">
        <f>'5 Year Model'!BG36</f>
        <v>450.20352399999996</v>
      </c>
      <c r="BU43" s="841">
        <f>'5 Year Model'!BH36</f>
        <v>450.20352399999996</v>
      </c>
      <c r="BV43" s="841">
        <f>'5 Year Model'!BI36</f>
        <v>450.20352399999996</v>
      </c>
      <c r="BW43" s="841">
        <f>'5 Year Model'!BJ36</f>
        <v>450.20352399999996</v>
      </c>
      <c r="BX43" s="841">
        <f t="shared" si="85"/>
        <v>463.70962971999995</v>
      </c>
      <c r="BY43" s="841">
        <f t="shared" si="86"/>
        <v>463.70962971999995</v>
      </c>
      <c r="BZ43" s="841">
        <f t="shared" si="86"/>
        <v>463.70962971999995</v>
      </c>
      <c r="CA43" s="841">
        <f t="shared" si="86"/>
        <v>463.70962971999995</v>
      </c>
    </row>
    <row r="44" spans="2:79" ht="13.5" customHeight="1">
      <c r="B44" s="401" t="s">
        <v>833</v>
      </c>
      <c r="P44" s="841">
        <f>'5 Year Model'!C37</f>
        <v>72.75</v>
      </c>
      <c r="Q44" s="841">
        <f>'5 Year Model'!D37</f>
        <v>72.75</v>
      </c>
      <c r="R44" s="841">
        <f>'5 Year Model'!E37</f>
        <v>72.75</v>
      </c>
      <c r="S44" s="841">
        <f>'5 Year Model'!F37</f>
        <v>72.75</v>
      </c>
      <c r="T44" s="841">
        <f>'5 Year Model'!G37</f>
        <v>72.75</v>
      </c>
      <c r="U44" s="841">
        <f>'5 Year Model'!H37</f>
        <v>72.75</v>
      </c>
      <c r="V44" s="841">
        <f>'5 Year Model'!I37</f>
        <v>72.75</v>
      </c>
      <c r="W44" s="841">
        <f>'5 Year Model'!J37</f>
        <v>72.75</v>
      </c>
      <c r="X44" s="841">
        <f>'5 Year Model'!K37</f>
        <v>72.75</v>
      </c>
      <c r="Y44" s="841">
        <f>'5 Year Model'!L37</f>
        <v>72.75</v>
      </c>
      <c r="Z44" s="841">
        <f>'5 Year Model'!M37</f>
        <v>72.75</v>
      </c>
      <c r="AA44" s="841">
        <f>'5 Year Model'!N37</f>
        <v>72.75</v>
      </c>
      <c r="AB44" s="841">
        <f>'5 Year Model'!O37</f>
        <v>74.932500000000005</v>
      </c>
      <c r="AC44" s="841">
        <f>'5 Year Model'!P37</f>
        <v>74.932500000000005</v>
      </c>
      <c r="AD44" s="841">
        <f>'5 Year Model'!Q37</f>
        <v>74.932500000000005</v>
      </c>
      <c r="AE44" s="841">
        <f>'5 Year Model'!R37</f>
        <v>74.932500000000005</v>
      </c>
      <c r="AF44" s="841">
        <f>'5 Year Model'!S37</f>
        <v>74.932500000000005</v>
      </c>
      <c r="AG44" s="841">
        <f>'5 Year Model'!T37</f>
        <v>74.932500000000005</v>
      </c>
      <c r="AH44" s="841">
        <f>'5 Year Model'!U37</f>
        <v>74.932500000000005</v>
      </c>
      <c r="AI44" s="841">
        <f>'5 Year Model'!V37</f>
        <v>74.932500000000005</v>
      </c>
      <c r="AJ44" s="841">
        <f>'5 Year Model'!W37</f>
        <v>74.932500000000005</v>
      </c>
      <c r="AK44" s="841">
        <f>'5 Year Model'!X37</f>
        <v>74.932500000000005</v>
      </c>
      <c r="AL44" s="841">
        <f>'5 Year Model'!Y37</f>
        <v>74.932500000000005</v>
      </c>
      <c r="AM44" s="841">
        <f>'5 Year Model'!Z37</f>
        <v>74.932500000000005</v>
      </c>
      <c r="AN44" s="841">
        <f>'5 Year Model'!AA37</f>
        <v>77.180474999999987</v>
      </c>
      <c r="AO44" s="841">
        <f>'5 Year Model'!AB37</f>
        <v>77.180474999999987</v>
      </c>
      <c r="AP44" s="841">
        <f>'5 Year Model'!AC37</f>
        <v>77.180474999999987</v>
      </c>
      <c r="AQ44" s="841">
        <f>'5 Year Model'!AD37</f>
        <v>77.180474999999987</v>
      </c>
      <c r="AR44" s="841">
        <f>'5 Year Model'!AE37</f>
        <v>77.180474999999987</v>
      </c>
      <c r="AS44" s="841">
        <f>'5 Year Model'!AF37</f>
        <v>77.180474999999987</v>
      </c>
      <c r="AT44" s="841">
        <f>'5 Year Model'!AG37</f>
        <v>77.180474999999987</v>
      </c>
      <c r="AU44" s="841">
        <f>'5 Year Model'!AH37</f>
        <v>77.180474999999987</v>
      </c>
      <c r="AV44" s="841">
        <f>'5 Year Model'!AI37</f>
        <v>77.180474999999987</v>
      </c>
      <c r="AW44" s="841">
        <f>'5 Year Model'!AJ37</f>
        <v>77.180474999999987</v>
      </c>
      <c r="AX44" s="841">
        <f>'5 Year Model'!AK37</f>
        <v>77.180474999999987</v>
      </c>
      <c r="AY44" s="841">
        <f>'5 Year Model'!AL37</f>
        <v>77.180474999999987</v>
      </c>
      <c r="AZ44" s="841">
        <f>'5 Year Model'!AM37</f>
        <v>79.495889250000005</v>
      </c>
      <c r="BA44" s="841">
        <f>'5 Year Model'!AN37</f>
        <v>79.495889250000005</v>
      </c>
      <c r="BB44" s="841">
        <f>'5 Year Model'!AO37</f>
        <v>79.495889250000005</v>
      </c>
      <c r="BC44" s="841">
        <f>'5 Year Model'!AP37</f>
        <v>79.495889250000005</v>
      </c>
      <c r="BD44" s="841">
        <f>'5 Year Model'!AQ37</f>
        <v>79.495889250000005</v>
      </c>
      <c r="BE44" s="841">
        <f>'5 Year Model'!AR37</f>
        <v>79.495889250000005</v>
      </c>
      <c r="BF44" s="841">
        <f>'5 Year Model'!AS37</f>
        <v>79.495889250000005</v>
      </c>
      <c r="BG44" s="841">
        <f>'5 Year Model'!AT37</f>
        <v>79.495889250000005</v>
      </c>
      <c r="BH44" s="841">
        <f>'5 Year Model'!AU37</f>
        <v>79.495889250000005</v>
      </c>
      <c r="BI44" s="841">
        <f>'5 Year Model'!AV37</f>
        <v>79.495889250000005</v>
      </c>
      <c r="BJ44" s="841">
        <f>'5 Year Model'!AW37</f>
        <v>79.495889250000005</v>
      </c>
      <c r="BK44" s="841">
        <f>'5 Year Model'!AX37</f>
        <v>79.495889250000005</v>
      </c>
      <c r="BL44" s="841">
        <f>'5 Year Model'!AY37</f>
        <v>81.880765927499979</v>
      </c>
      <c r="BM44" s="841">
        <f>'5 Year Model'!AZ37</f>
        <v>81.880765927499979</v>
      </c>
      <c r="BN44" s="841">
        <f>'5 Year Model'!BA37</f>
        <v>81.880765927499979</v>
      </c>
      <c r="BO44" s="841">
        <f>'5 Year Model'!BB37</f>
        <v>81.880765927499979</v>
      </c>
      <c r="BP44" s="841">
        <f>'5 Year Model'!BC37</f>
        <v>81.880765927499979</v>
      </c>
      <c r="BQ44" s="841">
        <f>'5 Year Model'!BD37</f>
        <v>81.880765927499979</v>
      </c>
      <c r="BR44" s="841">
        <f>'5 Year Model'!BE37</f>
        <v>81.880765927499979</v>
      </c>
      <c r="BS44" s="841">
        <f>'5 Year Model'!BF37</f>
        <v>81.880765927499979</v>
      </c>
      <c r="BT44" s="841">
        <f>'5 Year Model'!BG37</f>
        <v>81.880765927499979</v>
      </c>
      <c r="BU44" s="841">
        <f>'5 Year Model'!BH37</f>
        <v>81.880765927499979</v>
      </c>
      <c r="BV44" s="841">
        <f>'5 Year Model'!BI37</f>
        <v>81.880765927499979</v>
      </c>
      <c r="BW44" s="841">
        <f>'5 Year Model'!BJ37</f>
        <v>81.880765927499979</v>
      </c>
      <c r="BX44" s="841">
        <f t="shared" si="85"/>
        <v>84.337188905324979</v>
      </c>
      <c r="BY44" s="841">
        <f t="shared" si="86"/>
        <v>84.337188905324979</v>
      </c>
      <c r="BZ44" s="841">
        <f t="shared" si="86"/>
        <v>84.337188905324979</v>
      </c>
      <c r="CA44" s="841">
        <f t="shared" si="86"/>
        <v>84.337188905324979</v>
      </c>
    </row>
    <row r="45" spans="2:79" ht="13.5" customHeight="1">
      <c r="B45" s="401" t="s">
        <v>834</v>
      </c>
      <c r="P45" s="841">
        <f>'5 Year Model'!C38</f>
        <v>145.5</v>
      </c>
      <c r="Q45" s="841">
        <f>'5 Year Model'!D38</f>
        <v>145.5</v>
      </c>
      <c r="R45" s="841">
        <f>'5 Year Model'!E38</f>
        <v>145.5</v>
      </c>
      <c r="S45" s="841">
        <f>'5 Year Model'!F38</f>
        <v>145.5</v>
      </c>
      <c r="T45" s="841">
        <f>'5 Year Model'!G38</f>
        <v>145.5</v>
      </c>
      <c r="U45" s="841">
        <f>'5 Year Model'!H38</f>
        <v>145.5</v>
      </c>
      <c r="V45" s="841">
        <f>'5 Year Model'!I38</f>
        <v>145.5</v>
      </c>
      <c r="W45" s="841">
        <f>'5 Year Model'!J38</f>
        <v>145.5</v>
      </c>
      <c r="X45" s="841">
        <f>'5 Year Model'!K38</f>
        <v>145.5</v>
      </c>
      <c r="Y45" s="841">
        <f>'5 Year Model'!L38</f>
        <v>145.5</v>
      </c>
      <c r="Z45" s="841">
        <f>'5 Year Model'!M38</f>
        <v>145.5</v>
      </c>
      <c r="AA45" s="841">
        <f>'5 Year Model'!N38</f>
        <v>145.5</v>
      </c>
      <c r="AB45" s="841">
        <f>'5 Year Model'!O38</f>
        <v>149.86500000000001</v>
      </c>
      <c r="AC45" s="841">
        <f>'5 Year Model'!P38</f>
        <v>149.86500000000001</v>
      </c>
      <c r="AD45" s="841">
        <f>'5 Year Model'!Q38</f>
        <v>149.86500000000001</v>
      </c>
      <c r="AE45" s="841">
        <f>'5 Year Model'!R38</f>
        <v>149.86500000000001</v>
      </c>
      <c r="AF45" s="841">
        <f>'5 Year Model'!S38</f>
        <v>149.86500000000001</v>
      </c>
      <c r="AG45" s="841">
        <f>'5 Year Model'!T38</f>
        <v>149.86500000000001</v>
      </c>
      <c r="AH45" s="841">
        <f>'5 Year Model'!U38</f>
        <v>149.86500000000001</v>
      </c>
      <c r="AI45" s="841">
        <f>'5 Year Model'!V38</f>
        <v>149.86500000000001</v>
      </c>
      <c r="AJ45" s="841">
        <f>'5 Year Model'!W38</f>
        <v>149.86500000000001</v>
      </c>
      <c r="AK45" s="841">
        <f>'5 Year Model'!X38</f>
        <v>149.86500000000001</v>
      </c>
      <c r="AL45" s="841">
        <f>'5 Year Model'!Y38</f>
        <v>149.86500000000001</v>
      </c>
      <c r="AM45" s="841">
        <f>'5 Year Model'!Z38</f>
        <v>149.86500000000001</v>
      </c>
      <c r="AN45" s="841">
        <f>'5 Year Model'!AA38</f>
        <v>154.36094999999997</v>
      </c>
      <c r="AO45" s="841">
        <f>'5 Year Model'!AB38</f>
        <v>154.36094999999997</v>
      </c>
      <c r="AP45" s="841">
        <f>'5 Year Model'!AC38</f>
        <v>154.36094999999997</v>
      </c>
      <c r="AQ45" s="841">
        <f>'5 Year Model'!AD38</f>
        <v>154.36094999999997</v>
      </c>
      <c r="AR45" s="841">
        <f>'5 Year Model'!AE38</f>
        <v>154.36094999999997</v>
      </c>
      <c r="AS45" s="841">
        <f>'5 Year Model'!AF38</f>
        <v>154.36094999999997</v>
      </c>
      <c r="AT45" s="841">
        <f>'5 Year Model'!AG38</f>
        <v>154.36094999999997</v>
      </c>
      <c r="AU45" s="841">
        <f>'5 Year Model'!AH38</f>
        <v>154.36094999999997</v>
      </c>
      <c r="AV45" s="841">
        <f>'5 Year Model'!AI38</f>
        <v>154.36094999999997</v>
      </c>
      <c r="AW45" s="841">
        <f>'5 Year Model'!AJ38</f>
        <v>154.36094999999997</v>
      </c>
      <c r="AX45" s="841">
        <f>'5 Year Model'!AK38</f>
        <v>154.36094999999997</v>
      </c>
      <c r="AY45" s="841">
        <f>'5 Year Model'!AL38</f>
        <v>154.36094999999997</v>
      </c>
      <c r="AZ45" s="841">
        <f>'5 Year Model'!AM38</f>
        <v>158.99177850000001</v>
      </c>
      <c r="BA45" s="841">
        <f>'5 Year Model'!AN38</f>
        <v>158.99177850000001</v>
      </c>
      <c r="BB45" s="841">
        <f>'5 Year Model'!AO38</f>
        <v>158.99177850000001</v>
      </c>
      <c r="BC45" s="841">
        <f>'5 Year Model'!AP38</f>
        <v>158.99177850000001</v>
      </c>
      <c r="BD45" s="841">
        <f>'5 Year Model'!AQ38</f>
        <v>158.99177850000001</v>
      </c>
      <c r="BE45" s="841">
        <f>'5 Year Model'!AR38</f>
        <v>158.99177850000001</v>
      </c>
      <c r="BF45" s="841">
        <f>'5 Year Model'!AS38</f>
        <v>158.99177850000001</v>
      </c>
      <c r="BG45" s="841">
        <f>'5 Year Model'!AT38</f>
        <v>158.99177850000001</v>
      </c>
      <c r="BH45" s="841">
        <f>'5 Year Model'!AU38</f>
        <v>158.99177850000001</v>
      </c>
      <c r="BI45" s="841">
        <f>'5 Year Model'!AV38</f>
        <v>158.99177850000001</v>
      </c>
      <c r="BJ45" s="841">
        <f>'5 Year Model'!AW38</f>
        <v>158.99177850000001</v>
      </c>
      <c r="BK45" s="841">
        <f>'5 Year Model'!AX38</f>
        <v>158.99177850000001</v>
      </c>
      <c r="BL45" s="841">
        <f>'5 Year Model'!AY38</f>
        <v>163.76153185499996</v>
      </c>
      <c r="BM45" s="841">
        <f>'5 Year Model'!AZ38</f>
        <v>163.76153185499996</v>
      </c>
      <c r="BN45" s="841">
        <f>'5 Year Model'!BA38</f>
        <v>163.76153185499996</v>
      </c>
      <c r="BO45" s="841">
        <f>'5 Year Model'!BB38</f>
        <v>163.76153185499996</v>
      </c>
      <c r="BP45" s="841">
        <f>'5 Year Model'!BC38</f>
        <v>163.76153185499996</v>
      </c>
      <c r="BQ45" s="841">
        <f>'5 Year Model'!BD38</f>
        <v>163.76153185499996</v>
      </c>
      <c r="BR45" s="841">
        <f>'5 Year Model'!BE38</f>
        <v>163.76153185499996</v>
      </c>
      <c r="BS45" s="841">
        <f>'5 Year Model'!BF38</f>
        <v>163.76153185499996</v>
      </c>
      <c r="BT45" s="841">
        <f>'5 Year Model'!BG38</f>
        <v>163.76153185499996</v>
      </c>
      <c r="BU45" s="841">
        <f>'5 Year Model'!BH38</f>
        <v>163.76153185499996</v>
      </c>
      <c r="BV45" s="841">
        <f>'5 Year Model'!BI38</f>
        <v>163.76153185499996</v>
      </c>
      <c r="BW45" s="841">
        <f>'5 Year Model'!BJ38</f>
        <v>163.76153185499996</v>
      </c>
      <c r="BX45" s="841">
        <f t="shared" si="85"/>
        <v>168.67437781064996</v>
      </c>
      <c r="BY45" s="841">
        <f t="shared" si="86"/>
        <v>168.67437781064996</v>
      </c>
      <c r="BZ45" s="841">
        <f t="shared" si="86"/>
        <v>168.67437781064996</v>
      </c>
      <c r="CA45" s="841">
        <f t="shared" si="86"/>
        <v>168.67437781064996</v>
      </c>
    </row>
    <row r="46" spans="2:79" ht="13.5" customHeight="1">
      <c r="B46" s="401" t="s">
        <v>835</v>
      </c>
      <c r="P46" s="841">
        <f>'5 Year Model'!C39</f>
        <v>50</v>
      </c>
      <c r="Q46" s="841">
        <f>'5 Year Model'!D39</f>
        <v>50</v>
      </c>
      <c r="R46" s="841">
        <f>'5 Year Model'!E39</f>
        <v>50</v>
      </c>
      <c r="S46" s="841">
        <f>'5 Year Model'!F39</f>
        <v>50</v>
      </c>
      <c r="T46" s="841">
        <f>'5 Year Model'!G39</f>
        <v>50</v>
      </c>
      <c r="U46" s="841">
        <f>'5 Year Model'!H39</f>
        <v>50</v>
      </c>
      <c r="V46" s="841">
        <f>'5 Year Model'!I39</f>
        <v>50</v>
      </c>
      <c r="W46" s="841">
        <f>'5 Year Model'!J39</f>
        <v>50</v>
      </c>
      <c r="X46" s="841">
        <f>'5 Year Model'!K39</f>
        <v>50</v>
      </c>
      <c r="Y46" s="841">
        <f>'5 Year Model'!L39</f>
        <v>50</v>
      </c>
      <c r="Z46" s="841">
        <f>'5 Year Model'!M39</f>
        <v>50</v>
      </c>
      <c r="AA46" s="841">
        <f>'5 Year Model'!N39</f>
        <v>50</v>
      </c>
      <c r="AB46" s="841">
        <f>'5 Year Model'!O39</f>
        <v>51.5</v>
      </c>
      <c r="AC46" s="841">
        <f>'5 Year Model'!P39</f>
        <v>51.5</v>
      </c>
      <c r="AD46" s="841">
        <f>'5 Year Model'!Q39</f>
        <v>51.5</v>
      </c>
      <c r="AE46" s="841">
        <f>'5 Year Model'!R39</f>
        <v>51.5</v>
      </c>
      <c r="AF46" s="841">
        <f>'5 Year Model'!S39</f>
        <v>51.5</v>
      </c>
      <c r="AG46" s="841">
        <f>'5 Year Model'!T39</f>
        <v>51.5</v>
      </c>
      <c r="AH46" s="841">
        <f>'5 Year Model'!U39</f>
        <v>51.5</v>
      </c>
      <c r="AI46" s="841">
        <f>'5 Year Model'!V39</f>
        <v>51.5</v>
      </c>
      <c r="AJ46" s="841">
        <f>'5 Year Model'!W39</f>
        <v>51.5</v>
      </c>
      <c r="AK46" s="841">
        <f>'5 Year Model'!X39</f>
        <v>51.5</v>
      </c>
      <c r="AL46" s="841">
        <f>'5 Year Model'!Y39</f>
        <v>51.5</v>
      </c>
      <c r="AM46" s="841">
        <f>'5 Year Model'!Z39</f>
        <v>51.5</v>
      </c>
      <c r="AN46" s="841">
        <f>'5 Year Model'!AA39</f>
        <v>53.044999999999995</v>
      </c>
      <c r="AO46" s="841">
        <f>'5 Year Model'!AB39</f>
        <v>53.044999999999995</v>
      </c>
      <c r="AP46" s="841">
        <f>'5 Year Model'!AC39</f>
        <v>53.044999999999995</v>
      </c>
      <c r="AQ46" s="841">
        <f>'5 Year Model'!AD39</f>
        <v>53.044999999999995</v>
      </c>
      <c r="AR46" s="841">
        <f>'5 Year Model'!AE39</f>
        <v>53.044999999999995</v>
      </c>
      <c r="AS46" s="841">
        <f>'5 Year Model'!AF39</f>
        <v>53.044999999999995</v>
      </c>
      <c r="AT46" s="841">
        <f>'5 Year Model'!AG39</f>
        <v>53.044999999999995</v>
      </c>
      <c r="AU46" s="841">
        <f>'5 Year Model'!AH39</f>
        <v>53.044999999999995</v>
      </c>
      <c r="AV46" s="841">
        <f>'5 Year Model'!AI39</f>
        <v>53.044999999999995</v>
      </c>
      <c r="AW46" s="841">
        <f>'5 Year Model'!AJ39</f>
        <v>53.044999999999995</v>
      </c>
      <c r="AX46" s="841">
        <f>'5 Year Model'!AK39</f>
        <v>53.044999999999995</v>
      </c>
      <c r="AY46" s="841">
        <f>'5 Year Model'!AL39</f>
        <v>53.044999999999995</v>
      </c>
      <c r="AZ46" s="841">
        <f>'5 Year Model'!AM39</f>
        <v>54.63635</v>
      </c>
      <c r="BA46" s="841">
        <f>'5 Year Model'!AN39</f>
        <v>54.63635</v>
      </c>
      <c r="BB46" s="841">
        <f>'5 Year Model'!AO39</f>
        <v>54.63635</v>
      </c>
      <c r="BC46" s="841">
        <f>'5 Year Model'!AP39</f>
        <v>54.63635</v>
      </c>
      <c r="BD46" s="841">
        <f>'5 Year Model'!AQ39</f>
        <v>54.63635</v>
      </c>
      <c r="BE46" s="841">
        <f>'5 Year Model'!AR39</f>
        <v>54.63635</v>
      </c>
      <c r="BF46" s="841">
        <f>'5 Year Model'!AS39</f>
        <v>54.63635</v>
      </c>
      <c r="BG46" s="841">
        <f>'5 Year Model'!AT39</f>
        <v>54.63635</v>
      </c>
      <c r="BH46" s="841">
        <f>'5 Year Model'!AU39</f>
        <v>54.63635</v>
      </c>
      <c r="BI46" s="841">
        <f>'5 Year Model'!AV39</f>
        <v>54.63635</v>
      </c>
      <c r="BJ46" s="841">
        <f>'5 Year Model'!AW39</f>
        <v>54.63635</v>
      </c>
      <c r="BK46" s="841">
        <f>'5 Year Model'!AX39</f>
        <v>54.63635</v>
      </c>
      <c r="BL46" s="841">
        <f>'5 Year Model'!AY39</f>
        <v>56.275440499999995</v>
      </c>
      <c r="BM46" s="841">
        <f>'5 Year Model'!AZ39</f>
        <v>56.275440499999995</v>
      </c>
      <c r="BN46" s="841">
        <f>'5 Year Model'!BA39</f>
        <v>56.275440499999995</v>
      </c>
      <c r="BO46" s="841">
        <f>'5 Year Model'!BB39</f>
        <v>56.275440499999995</v>
      </c>
      <c r="BP46" s="841">
        <f>'5 Year Model'!BC39</f>
        <v>56.275440499999995</v>
      </c>
      <c r="BQ46" s="841">
        <f>'5 Year Model'!BD39</f>
        <v>56.275440499999995</v>
      </c>
      <c r="BR46" s="841">
        <f>'5 Year Model'!BE39</f>
        <v>56.275440499999995</v>
      </c>
      <c r="BS46" s="841">
        <f>'5 Year Model'!BF39</f>
        <v>56.275440499999995</v>
      </c>
      <c r="BT46" s="841">
        <f>'5 Year Model'!BG39</f>
        <v>56.275440499999995</v>
      </c>
      <c r="BU46" s="841">
        <f>'5 Year Model'!BH39</f>
        <v>56.275440499999995</v>
      </c>
      <c r="BV46" s="841">
        <f>'5 Year Model'!BI39</f>
        <v>56.275440499999995</v>
      </c>
      <c r="BW46" s="841">
        <f>'5 Year Model'!BJ39</f>
        <v>56.275440499999995</v>
      </c>
      <c r="BX46" s="841">
        <f t="shared" si="85"/>
        <v>57.963703714999994</v>
      </c>
      <c r="BY46" s="841">
        <f t="shared" si="86"/>
        <v>57.963703714999994</v>
      </c>
      <c r="BZ46" s="841">
        <f t="shared" si="86"/>
        <v>57.963703714999994</v>
      </c>
      <c r="CA46" s="841">
        <f t="shared" si="86"/>
        <v>57.963703714999994</v>
      </c>
    </row>
    <row r="47" spans="2:79" ht="13.5" customHeight="1">
      <c r="B47" s="401" t="s">
        <v>836</v>
      </c>
      <c r="P47" s="841">
        <f>'5 Year Model'!C40</f>
        <v>204.29017160686428</v>
      </c>
      <c r="Q47" s="841">
        <f>'5 Year Model'!D40</f>
        <v>204.29017160686428</v>
      </c>
      <c r="R47" s="841">
        <f>'5 Year Model'!E40</f>
        <v>204.29017160686428</v>
      </c>
      <c r="S47" s="841">
        <f>'5 Year Model'!F40</f>
        <v>204.29017160686428</v>
      </c>
      <c r="T47" s="841">
        <f>'5 Year Model'!G40</f>
        <v>204.29017160686428</v>
      </c>
      <c r="U47" s="841">
        <f>'5 Year Model'!H40</f>
        <v>204.29017160686428</v>
      </c>
      <c r="V47" s="841">
        <f>'5 Year Model'!I40</f>
        <v>204.29017160686428</v>
      </c>
      <c r="W47" s="841">
        <f>'5 Year Model'!J40</f>
        <v>204.29017160686428</v>
      </c>
      <c r="X47" s="841">
        <f>'5 Year Model'!K40</f>
        <v>204.29017160686428</v>
      </c>
      <c r="Y47" s="841">
        <f>'5 Year Model'!L40</f>
        <v>204.29017160686428</v>
      </c>
      <c r="Z47" s="841">
        <f>'5 Year Model'!M40</f>
        <v>204.29017160686428</v>
      </c>
      <c r="AA47" s="841">
        <f>'5 Year Model'!N40</f>
        <v>204.29017160686428</v>
      </c>
      <c r="AB47" s="841">
        <f>'5 Year Model'!O40</f>
        <v>210.41887675507022</v>
      </c>
      <c r="AC47" s="841">
        <f>'5 Year Model'!P40</f>
        <v>210.41887675507022</v>
      </c>
      <c r="AD47" s="841">
        <f>'5 Year Model'!Q40</f>
        <v>210.41887675507022</v>
      </c>
      <c r="AE47" s="841">
        <f>'5 Year Model'!R40</f>
        <v>210.41887675507022</v>
      </c>
      <c r="AF47" s="841">
        <f>'5 Year Model'!S40</f>
        <v>210.41887675507022</v>
      </c>
      <c r="AG47" s="841">
        <f>'5 Year Model'!T40</f>
        <v>210.41887675507022</v>
      </c>
      <c r="AH47" s="841">
        <f>'5 Year Model'!U40</f>
        <v>210.41887675507022</v>
      </c>
      <c r="AI47" s="841">
        <f>'5 Year Model'!V40</f>
        <v>210.41887675507022</v>
      </c>
      <c r="AJ47" s="841">
        <f>'5 Year Model'!W40</f>
        <v>210.41887675507022</v>
      </c>
      <c r="AK47" s="841">
        <f>'5 Year Model'!X40</f>
        <v>210.41887675507022</v>
      </c>
      <c r="AL47" s="841">
        <f>'5 Year Model'!Y40</f>
        <v>210.41887675507022</v>
      </c>
      <c r="AM47" s="841">
        <f>'5 Year Model'!Z40</f>
        <v>210.41887675507022</v>
      </c>
      <c r="AN47" s="841">
        <f>'5 Year Model'!AA40</f>
        <v>216.73144305772229</v>
      </c>
      <c r="AO47" s="841">
        <f>'5 Year Model'!AB40</f>
        <v>216.73144305772229</v>
      </c>
      <c r="AP47" s="841">
        <f>'5 Year Model'!AC40</f>
        <v>216.73144305772229</v>
      </c>
      <c r="AQ47" s="841">
        <f>'5 Year Model'!AD40</f>
        <v>216.73144305772229</v>
      </c>
      <c r="AR47" s="841">
        <f>'5 Year Model'!AE40</f>
        <v>216.73144305772229</v>
      </c>
      <c r="AS47" s="841">
        <f>'5 Year Model'!AF40</f>
        <v>216.73144305772229</v>
      </c>
      <c r="AT47" s="841">
        <f>'5 Year Model'!AG40</f>
        <v>216.73144305772229</v>
      </c>
      <c r="AU47" s="841">
        <f>'5 Year Model'!AH40</f>
        <v>216.73144305772229</v>
      </c>
      <c r="AV47" s="841">
        <f>'5 Year Model'!AI40</f>
        <v>216.73144305772229</v>
      </c>
      <c r="AW47" s="841">
        <f>'5 Year Model'!AJ40</f>
        <v>216.73144305772229</v>
      </c>
      <c r="AX47" s="841">
        <f>'5 Year Model'!AK40</f>
        <v>216.73144305772229</v>
      </c>
      <c r="AY47" s="841">
        <f>'5 Year Model'!AL40</f>
        <v>216.73144305772229</v>
      </c>
      <c r="AZ47" s="841">
        <f>'5 Year Model'!AM40</f>
        <v>223.23338634945398</v>
      </c>
      <c r="BA47" s="841">
        <f>'5 Year Model'!AN40</f>
        <v>223.23338634945398</v>
      </c>
      <c r="BB47" s="841">
        <f>'5 Year Model'!AO40</f>
        <v>223.23338634945398</v>
      </c>
      <c r="BC47" s="841">
        <f>'5 Year Model'!AP40</f>
        <v>223.23338634945398</v>
      </c>
      <c r="BD47" s="841">
        <f>'5 Year Model'!AQ40</f>
        <v>223.23338634945398</v>
      </c>
      <c r="BE47" s="841">
        <f>'5 Year Model'!AR40</f>
        <v>223.23338634945398</v>
      </c>
      <c r="BF47" s="841">
        <f>'5 Year Model'!AS40</f>
        <v>223.23338634945398</v>
      </c>
      <c r="BG47" s="841">
        <f>'5 Year Model'!AT40</f>
        <v>223.23338634945398</v>
      </c>
      <c r="BH47" s="841">
        <f>'5 Year Model'!AU40</f>
        <v>223.23338634945398</v>
      </c>
      <c r="BI47" s="841">
        <f>'5 Year Model'!AV40</f>
        <v>223.23338634945398</v>
      </c>
      <c r="BJ47" s="841">
        <f>'5 Year Model'!AW40</f>
        <v>223.23338634945398</v>
      </c>
      <c r="BK47" s="841">
        <f>'5 Year Model'!AX40</f>
        <v>223.23338634945398</v>
      </c>
      <c r="BL47" s="841">
        <f>'5 Year Model'!AY40</f>
        <v>229.93038793993759</v>
      </c>
      <c r="BM47" s="841">
        <f>'5 Year Model'!AZ40</f>
        <v>229.93038793993759</v>
      </c>
      <c r="BN47" s="841">
        <f>'5 Year Model'!BA40</f>
        <v>229.93038793993759</v>
      </c>
      <c r="BO47" s="841">
        <f>'5 Year Model'!BB40</f>
        <v>229.93038793993759</v>
      </c>
      <c r="BP47" s="841">
        <f>'5 Year Model'!BC40</f>
        <v>229.93038793993759</v>
      </c>
      <c r="BQ47" s="841">
        <f>'5 Year Model'!BD40</f>
        <v>229.93038793993759</v>
      </c>
      <c r="BR47" s="841">
        <f>'5 Year Model'!BE40</f>
        <v>229.93038793993759</v>
      </c>
      <c r="BS47" s="841">
        <f>'5 Year Model'!BF40</f>
        <v>229.93038793993759</v>
      </c>
      <c r="BT47" s="841">
        <f>'5 Year Model'!BG40</f>
        <v>229.93038793993759</v>
      </c>
      <c r="BU47" s="841">
        <f>'5 Year Model'!BH40</f>
        <v>229.93038793993759</v>
      </c>
      <c r="BV47" s="841">
        <f>'5 Year Model'!BI40</f>
        <v>229.93038793993759</v>
      </c>
      <c r="BW47" s="841">
        <f>'5 Year Model'!BJ40</f>
        <v>229.93038793993759</v>
      </c>
      <c r="BX47" s="841">
        <f t="shared" si="85"/>
        <v>236.82829957813573</v>
      </c>
      <c r="BY47" s="841">
        <f t="shared" si="86"/>
        <v>236.82829957813573</v>
      </c>
      <c r="BZ47" s="841">
        <f t="shared" si="86"/>
        <v>236.82829957813573</v>
      </c>
      <c r="CA47" s="841">
        <f t="shared" si="86"/>
        <v>236.82829957813573</v>
      </c>
    </row>
    <row r="48" spans="2:79" ht="13.5" customHeight="1">
      <c r="B48" s="849" t="s">
        <v>31</v>
      </c>
      <c r="C48" s="36"/>
      <c r="D48" s="36"/>
      <c r="E48" s="36"/>
      <c r="F48" s="36"/>
      <c r="G48" s="850">
        <f>+SUM(G34:G47)</f>
        <v>2319.9352750809062</v>
      </c>
      <c r="H48" s="850">
        <f t="shared" ref="H48:L48" si="91">+SUM(H34:H47)</f>
        <v>2319.9352750809062</v>
      </c>
      <c r="I48" s="850">
        <f t="shared" si="91"/>
        <v>2319.9352750809062</v>
      </c>
      <c r="J48" s="850">
        <f t="shared" si="91"/>
        <v>2319.9352750809062</v>
      </c>
      <c r="K48" s="850">
        <f t="shared" si="91"/>
        <v>2319.9352750809062</v>
      </c>
      <c r="L48" s="850">
        <f t="shared" si="91"/>
        <v>2319.9352750809062</v>
      </c>
      <c r="M48" s="850">
        <f t="shared" ref="M48:O48" si="92">+SUM(M34:M47)</f>
        <v>2319.9352750809062</v>
      </c>
      <c r="N48" s="850">
        <f t="shared" si="92"/>
        <v>2319.9352750809062</v>
      </c>
      <c r="O48" s="850">
        <f t="shared" si="92"/>
        <v>2319.9352750809062</v>
      </c>
      <c r="P48" s="850">
        <f>+SUM(P34:P47)</f>
        <v>16901.816961637469</v>
      </c>
      <c r="Q48" s="850">
        <f t="shared" ref="Q48:BX48" si="93">+SUM(Q34:Q47)</f>
        <v>16487.879045921636</v>
      </c>
      <c r="R48" s="850">
        <f t="shared" si="93"/>
        <v>16358.994104017174</v>
      </c>
      <c r="S48" s="850">
        <f t="shared" si="93"/>
        <v>16569.133298406676</v>
      </c>
      <c r="T48" s="850">
        <f t="shared" si="93"/>
        <v>16898.168844883508</v>
      </c>
      <c r="U48" s="850">
        <f t="shared" si="93"/>
        <v>17117.670909184755</v>
      </c>
      <c r="V48" s="850">
        <f t="shared" si="93"/>
        <v>17472.97926763038</v>
      </c>
      <c r="W48" s="850">
        <f t="shared" si="93"/>
        <v>17953.878415183186</v>
      </c>
      <c r="X48" s="850">
        <f t="shared" si="93"/>
        <v>18675.217484368783</v>
      </c>
      <c r="Y48" s="850">
        <f t="shared" si="93"/>
        <v>19417.492790934575</v>
      </c>
      <c r="Z48" s="850">
        <f t="shared" si="93"/>
        <v>20165.344656572441</v>
      </c>
      <c r="AA48" s="850">
        <f t="shared" si="93"/>
        <v>19427.076947217742</v>
      </c>
      <c r="AB48" s="850">
        <f t="shared" si="93"/>
        <v>19592.788032319862</v>
      </c>
      <c r="AC48" s="850">
        <f t="shared" si="93"/>
        <v>19590.876381349506</v>
      </c>
      <c r="AD48" s="850">
        <f t="shared" si="93"/>
        <v>19354.045704169486</v>
      </c>
      <c r="AE48" s="850">
        <f t="shared" si="93"/>
        <v>19710.846522608532</v>
      </c>
      <c r="AF48" s="850">
        <f t="shared" si="93"/>
        <v>20055.39349739144</v>
      </c>
      <c r="AG48" s="850">
        <f t="shared" si="93"/>
        <v>20292.797475020023</v>
      </c>
      <c r="AH48" s="850">
        <f t="shared" si="93"/>
        <v>20750.727321068895</v>
      </c>
      <c r="AI48" s="850">
        <f t="shared" si="93"/>
        <v>20990.200572107427</v>
      </c>
      <c r="AJ48" s="850">
        <f t="shared" si="93"/>
        <v>21704.73614119424</v>
      </c>
      <c r="AK48" s="850">
        <f t="shared" si="93"/>
        <v>22095.810098971757</v>
      </c>
      <c r="AL48" s="850">
        <f t="shared" si="93"/>
        <v>22594.045415991528</v>
      </c>
      <c r="AM48" s="850">
        <f t="shared" si="93"/>
        <v>19928.153298226931</v>
      </c>
      <c r="AN48" s="850">
        <f t="shared" si="93"/>
        <v>20200.880168938929</v>
      </c>
      <c r="AO48" s="850">
        <f t="shared" si="93"/>
        <v>19964.036295355658</v>
      </c>
      <c r="AP48" s="850">
        <f t="shared" si="93"/>
        <v>19591.386055484221</v>
      </c>
      <c r="AQ48" s="850">
        <f t="shared" si="93"/>
        <v>20344.673721819097</v>
      </c>
      <c r="AR48" s="850">
        <f t="shared" si="93"/>
        <v>20999.340775960387</v>
      </c>
      <c r="AS48" s="850">
        <f t="shared" si="93"/>
        <v>21038.530647548818</v>
      </c>
      <c r="AT48" s="850">
        <f t="shared" si="93"/>
        <v>21327.503982231068</v>
      </c>
      <c r="AU48" s="850">
        <f t="shared" si="93"/>
        <v>21374.683613403289</v>
      </c>
      <c r="AV48" s="850">
        <f t="shared" si="93"/>
        <v>21801.930553160986</v>
      </c>
      <c r="AW48" s="850">
        <f t="shared" si="93"/>
        <v>21098.959330202779</v>
      </c>
      <c r="AX48" s="850">
        <f t="shared" si="93"/>
        <v>21126.060582132686</v>
      </c>
      <c r="AY48" s="850">
        <f t="shared" si="93"/>
        <v>20781.072882141787</v>
      </c>
      <c r="AZ48" s="850">
        <f t="shared" si="93"/>
        <v>21056.127642520532</v>
      </c>
      <c r="BA48" s="850">
        <f t="shared" si="93"/>
        <v>20799.496391132521</v>
      </c>
      <c r="BB48" s="850">
        <f t="shared" si="93"/>
        <v>20405.094154538067</v>
      </c>
      <c r="BC48" s="850">
        <f t="shared" si="93"/>
        <v>21167.22392453095</v>
      </c>
      <c r="BD48" s="850">
        <f t="shared" si="93"/>
        <v>21827.490175573148</v>
      </c>
      <c r="BE48" s="850">
        <f t="shared" si="93"/>
        <v>21865.553770647035</v>
      </c>
      <c r="BF48" s="850">
        <f t="shared" si="93"/>
        <v>22034.801238901528</v>
      </c>
      <c r="BG48" s="850">
        <f t="shared" si="93"/>
        <v>22335.206997563626</v>
      </c>
      <c r="BH48" s="850">
        <f t="shared" si="93"/>
        <v>22254.098912896596</v>
      </c>
      <c r="BI48" s="850">
        <f t="shared" si="93"/>
        <v>21776.372683464826</v>
      </c>
      <c r="BJ48" s="850">
        <f t="shared" si="93"/>
        <v>21925.264436596488</v>
      </c>
      <c r="BK48" s="850">
        <f t="shared" si="93"/>
        <v>21565.426907590041</v>
      </c>
      <c r="BL48" s="850">
        <f t="shared" si="93"/>
        <v>21845.536848482694</v>
      </c>
      <c r="BM48" s="850">
        <f t="shared" si="93"/>
        <v>21583.006235722249</v>
      </c>
      <c r="BN48" s="850">
        <f t="shared" si="93"/>
        <v>21178.928341623941</v>
      </c>
      <c r="BO48" s="850">
        <f t="shared" si="93"/>
        <v>22092.77299501657</v>
      </c>
      <c r="BP48" s="850">
        <f t="shared" si="93"/>
        <v>22512.551672614412</v>
      </c>
      <c r="BQ48" s="850">
        <f t="shared" si="93"/>
        <v>22682.720776755952</v>
      </c>
      <c r="BR48" s="850">
        <f t="shared" si="93"/>
        <v>22987.666927460326</v>
      </c>
      <c r="BS48" s="850">
        <f t="shared" si="93"/>
        <v>23037.860349556373</v>
      </c>
      <c r="BT48" s="850">
        <f t="shared" si="93"/>
        <v>23085.654461677696</v>
      </c>
      <c r="BU48" s="850">
        <f t="shared" si="93"/>
        <v>22725.988403260686</v>
      </c>
      <c r="BV48" s="850">
        <f t="shared" si="93"/>
        <v>22750.329019280962</v>
      </c>
      <c r="BW48" s="850">
        <f t="shared" si="93"/>
        <v>22381.919264504035</v>
      </c>
      <c r="BX48" s="850">
        <f t="shared" si="93"/>
        <v>23053.376842439149</v>
      </c>
      <c r="BY48" s="850">
        <f t="shared" ref="BY48" si="94">+SUM(BY34:BY47)</f>
        <v>23053.376842439149</v>
      </c>
      <c r="BZ48" s="850">
        <f t="shared" ref="BZ48" si="95">+SUM(BZ34:BZ47)</f>
        <v>23053.376842439149</v>
      </c>
      <c r="CA48" s="850">
        <f t="shared" ref="CA48" si="96">+SUM(CA34:CA47)</f>
        <v>23053.376842439149</v>
      </c>
    </row>
    <row r="49" spans="1:316" ht="13.5" customHeight="1">
      <c r="B49"/>
      <c r="P49" s="841"/>
      <c r="Q49" s="841"/>
      <c r="R49" s="841"/>
      <c r="S49" s="841"/>
      <c r="T49" s="841"/>
      <c r="U49" s="841"/>
      <c r="V49" s="841"/>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c r="BC49" s="841"/>
      <c r="BD49" s="841"/>
      <c r="BE49" s="841"/>
      <c r="BF49" s="841"/>
      <c r="BG49" s="841"/>
      <c r="BH49" s="841"/>
      <c r="BI49" s="841"/>
      <c r="BJ49" s="841"/>
      <c r="BK49" s="841"/>
      <c r="BL49" s="841"/>
      <c r="BM49" s="841"/>
      <c r="BN49" s="841"/>
      <c r="BO49" s="841"/>
      <c r="BP49" s="841"/>
      <c r="BQ49" s="841"/>
      <c r="BR49" s="841"/>
      <c r="BS49" s="841"/>
      <c r="BT49" s="841"/>
      <c r="BU49" s="841"/>
      <c r="BV49" s="841"/>
      <c r="BW49" s="841"/>
      <c r="BX49" s="841"/>
      <c r="BY49" s="841"/>
      <c r="BZ49" s="841"/>
      <c r="CA49" s="841"/>
    </row>
    <row r="50" spans="1:316" ht="13.5" customHeight="1">
      <c r="B50" s="4" t="s">
        <v>929</v>
      </c>
      <c r="P50" s="841"/>
      <c r="Q50" s="841"/>
      <c r="R50" s="841"/>
      <c r="S50" s="841"/>
      <c r="T50" s="841"/>
      <c r="U50" s="841"/>
      <c r="V50" s="841"/>
      <c r="W50" s="841"/>
      <c r="X50" s="841"/>
      <c r="Y50" s="841"/>
      <c r="Z50" s="841"/>
      <c r="AA50" s="841"/>
      <c r="AB50" s="841"/>
      <c r="AC50" s="841"/>
      <c r="AD50" s="841"/>
      <c r="AE50" s="841"/>
      <c r="AF50" s="841"/>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c r="BC50" s="841"/>
      <c r="BD50" s="841"/>
      <c r="BE50" s="841"/>
      <c r="BF50" s="841"/>
      <c r="BG50" s="841"/>
      <c r="BH50" s="841"/>
      <c r="BI50" s="841"/>
      <c r="BJ50" s="841"/>
      <c r="BK50" s="841"/>
      <c r="BL50" s="841"/>
      <c r="BM50" s="841"/>
      <c r="BN50" s="841"/>
      <c r="BO50" s="841"/>
      <c r="BP50" s="841"/>
      <c r="BQ50" s="841"/>
      <c r="BR50" s="841"/>
      <c r="BS50" s="841"/>
      <c r="BT50" s="841"/>
      <c r="BU50" s="841"/>
      <c r="BV50" s="841"/>
      <c r="BW50" s="841"/>
      <c r="BX50" s="841"/>
      <c r="BY50" s="841"/>
      <c r="BZ50" s="841"/>
      <c r="CA50" s="841"/>
    </row>
    <row r="51" spans="1:316" ht="13.5" customHeight="1">
      <c r="B51" s="401" t="s">
        <v>30</v>
      </c>
      <c r="E51" s="841">
        <v>350000</v>
      </c>
      <c r="G51" s="841">
        <f>114127/12</f>
        <v>9510.5833333333339</v>
      </c>
      <c r="H51" s="841">
        <f t="shared" ref="H51:O51" si="97">114127/12</f>
        <v>9510.5833333333339</v>
      </c>
      <c r="I51" s="841">
        <f t="shared" si="97"/>
        <v>9510.5833333333339</v>
      </c>
      <c r="J51" s="841">
        <f t="shared" si="97"/>
        <v>9510.5833333333339</v>
      </c>
      <c r="K51" s="841">
        <f t="shared" si="97"/>
        <v>9510.5833333333339</v>
      </c>
      <c r="L51" s="841">
        <f t="shared" si="97"/>
        <v>9510.5833333333339</v>
      </c>
      <c r="M51" s="841">
        <f t="shared" si="97"/>
        <v>9510.5833333333339</v>
      </c>
      <c r="N51" s="841">
        <f t="shared" si="97"/>
        <v>9510.5833333333339</v>
      </c>
      <c r="O51" s="841">
        <f t="shared" si="97"/>
        <v>9510.5833333333339</v>
      </c>
      <c r="P51" s="841">
        <f>114127/12</f>
        <v>9510.5833333333339</v>
      </c>
      <c r="Q51" s="841">
        <f>P51</f>
        <v>9510.5833333333339</v>
      </c>
      <c r="R51" s="841">
        <f t="shared" ref="R51:AA52" si="98">Q51</f>
        <v>9510.5833333333339</v>
      </c>
      <c r="S51" s="841">
        <f t="shared" si="98"/>
        <v>9510.5833333333339</v>
      </c>
      <c r="T51" s="841">
        <f t="shared" si="98"/>
        <v>9510.5833333333339</v>
      </c>
      <c r="U51" s="841">
        <f t="shared" si="98"/>
        <v>9510.5833333333339</v>
      </c>
      <c r="V51" s="841">
        <f t="shared" si="98"/>
        <v>9510.5833333333339</v>
      </c>
      <c r="W51" s="841">
        <f t="shared" si="98"/>
        <v>9510.5833333333339</v>
      </c>
      <c r="X51" s="841">
        <f t="shared" si="98"/>
        <v>9510.5833333333339</v>
      </c>
      <c r="Y51" s="841">
        <f t="shared" si="98"/>
        <v>9510.5833333333339</v>
      </c>
      <c r="Z51" s="841">
        <f t="shared" si="98"/>
        <v>9510.5833333333339</v>
      </c>
      <c r="AA51" s="841">
        <f t="shared" si="98"/>
        <v>9510.5833333333339</v>
      </c>
      <c r="AB51" s="841">
        <f>AA51*1.03</f>
        <v>9795.900833333335</v>
      </c>
      <c r="AC51" s="841">
        <f>AB51</f>
        <v>9795.900833333335</v>
      </c>
      <c r="AD51" s="841">
        <f t="shared" ref="AD51:AM52" si="99">AC51</f>
        <v>9795.900833333335</v>
      </c>
      <c r="AE51" s="841">
        <f t="shared" si="99"/>
        <v>9795.900833333335</v>
      </c>
      <c r="AF51" s="841">
        <f t="shared" si="99"/>
        <v>9795.900833333335</v>
      </c>
      <c r="AG51" s="841">
        <f t="shared" si="99"/>
        <v>9795.900833333335</v>
      </c>
      <c r="AH51" s="841">
        <f t="shared" si="99"/>
        <v>9795.900833333335</v>
      </c>
      <c r="AI51" s="841">
        <f t="shared" si="99"/>
        <v>9795.900833333335</v>
      </c>
      <c r="AJ51" s="841">
        <f t="shared" si="99"/>
        <v>9795.900833333335</v>
      </c>
      <c r="AK51" s="841">
        <f t="shared" si="99"/>
        <v>9795.900833333335</v>
      </c>
      <c r="AL51" s="841">
        <f t="shared" si="99"/>
        <v>9795.900833333335</v>
      </c>
      <c r="AM51" s="841">
        <f t="shared" si="99"/>
        <v>9795.900833333335</v>
      </c>
      <c r="AN51" s="841">
        <f>E51/12</f>
        <v>29166.666666666668</v>
      </c>
      <c r="AO51" s="841">
        <f>AN51</f>
        <v>29166.666666666668</v>
      </c>
      <c r="AP51" s="841">
        <f t="shared" ref="AP51:CA52" si="100">AO51</f>
        <v>29166.666666666668</v>
      </c>
      <c r="AQ51" s="841">
        <f t="shared" si="100"/>
        <v>29166.666666666668</v>
      </c>
      <c r="AR51" s="841">
        <f t="shared" si="100"/>
        <v>29166.666666666668</v>
      </c>
      <c r="AS51" s="841">
        <f t="shared" si="100"/>
        <v>29166.666666666668</v>
      </c>
      <c r="AT51" s="841">
        <f t="shared" si="100"/>
        <v>29166.666666666668</v>
      </c>
      <c r="AU51" s="841">
        <f t="shared" si="100"/>
        <v>29166.666666666668</v>
      </c>
      <c r="AV51" s="841">
        <f t="shared" si="100"/>
        <v>29166.666666666668</v>
      </c>
      <c r="AW51" s="841">
        <f t="shared" si="100"/>
        <v>29166.666666666668</v>
      </c>
      <c r="AX51" s="841">
        <f t="shared" si="100"/>
        <v>29166.666666666668</v>
      </c>
      <c r="AY51" s="841">
        <f t="shared" si="100"/>
        <v>29166.666666666668</v>
      </c>
      <c r="AZ51" s="841">
        <f>AY51*1.03</f>
        <v>30041.666666666668</v>
      </c>
      <c r="BA51" s="841">
        <f t="shared" si="100"/>
        <v>30041.666666666668</v>
      </c>
      <c r="BB51" s="841">
        <f t="shared" si="100"/>
        <v>30041.666666666668</v>
      </c>
      <c r="BC51" s="841">
        <f t="shared" si="100"/>
        <v>30041.666666666668</v>
      </c>
      <c r="BD51" s="841">
        <f t="shared" si="100"/>
        <v>30041.666666666668</v>
      </c>
      <c r="BE51" s="841">
        <f t="shared" si="100"/>
        <v>30041.666666666668</v>
      </c>
      <c r="BF51" s="841">
        <f t="shared" si="100"/>
        <v>30041.666666666668</v>
      </c>
      <c r="BG51" s="841">
        <f t="shared" si="100"/>
        <v>30041.666666666668</v>
      </c>
      <c r="BH51" s="841">
        <f t="shared" si="100"/>
        <v>30041.666666666668</v>
      </c>
      <c r="BI51" s="841">
        <f t="shared" si="100"/>
        <v>30041.666666666668</v>
      </c>
      <c r="BJ51" s="841">
        <f t="shared" si="100"/>
        <v>30041.666666666668</v>
      </c>
      <c r="BK51" s="841">
        <f t="shared" si="100"/>
        <v>30041.666666666668</v>
      </c>
      <c r="BL51" s="841">
        <f>BK51*1.03</f>
        <v>30942.916666666668</v>
      </c>
      <c r="BM51" s="841">
        <f t="shared" si="100"/>
        <v>30942.916666666668</v>
      </c>
      <c r="BN51" s="841">
        <f t="shared" si="100"/>
        <v>30942.916666666668</v>
      </c>
      <c r="BO51" s="841">
        <f t="shared" si="100"/>
        <v>30942.916666666668</v>
      </c>
      <c r="BP51" s="841">
        <f t="shared" si="100"/>
        <v>30942.916666666668</v>
      </c>
      <c r="BQ51" s="841">
        <f t="shared" si="100"/>
        <v>30942.916666666668</v>
      </c>
      <c r="BR51" s="841">
        <f t="shared" si="100"/>
        <v>30942.916666666668</v>
      </c>
      <c r="BS51" s="841">
        <f t="shared" si="100"/>
        <v>30942.916666666668</v>
      </c>
      <c r="BT51" s="841">
        <f t="shared" si="100"/>
        <v>30942.916666666668</v>
      </c>
      <c r="BU51" s="841">
        <f t="shared" si="100"/>
        <v>30942.916666666668</v>
      </c>
      <c r="BV51" s="841">
        <f t="shared" si="100"/>
        <v>30942.916666666668</v>
      </c>
      <c r="BW51" s="841">
        <f t="shared" si="100"/>
        <v>30942.916666666668</v>
      </c>
      <c r="BX51" s="841">
        <f>BW51*1.03</f>
        <v>31871.20416666667</v>
      </c>
      <c r="BY51" s="841">
        <f t="shared" si="100"/>
        <v>31871.20416666667</v>
      </c>
      <c r="BZ51" s="841">
        <f t="shared" si="100"/>
        <v>31871.20416666667</v>
      </c>
      <c r="CA51" s="841">
        <f t="shared" si="100"/>
        <v>31871.20416666667</v>
      </c>
    </row>
    <row r="52" spans="1:316" ht="13.5" customHeight="1">
      <c r="B52" s="401" t="s">
        <v>927</v>
      </c>
      <c r="E52" s="841">
        <v>50000</v>
      </c>
      <c r="P52" s="841">
        <f>E52/12</f>
        <v>4166.666666666667</v>
      </c>
      <c r="Q52" s="841">
        <f>P52</f>
        <v>4166.666666666667</v>
      </c>
      <c r="R52" s="841">
        <f t="shared" si="98"/>
        <v>4166.666666666667</v>
      </c>
      <c r="S52" s="841">
        <f t="shared" si="98"/>
        <v>4166.666666666667</v>
      </c>
      <c r="T52" s="841">
        <f t="shared" si="98"/>
        <v>4166.666666666667</v>
      </c>
      <c r="U52" s="841">
        <f t="shared" si="98"/>
        <v>4166.666666666667</v>
      </c>
      <c r="V52" s="841">
        <f t="shared" si="98"/>
        <v>4166.666666666667</v>
      </c>
      <c r="W52" s="841">
        <f t="shared" si="98"/>
        <v>4166.666666666667</v>
      </c>
      <c r="X52" s="841">
        <f t="shared" si="98"/>
        <v>4166.666666666667</v>
      </c>
      <c r="Y52" s="841">
        <f t="shared" si="98"/>
        <v>4166.666666666667</v>
      </c>
      <c r="Z52" s="841">
        <f t="shared" si="98"/>
        <v>4166.666666666667</v>
      </c>
      <c r="AA52" s="841">
        <f t="shared" si="98"/>
        <v>4166.666666666667</v>
      </c>
      <c r="AB52" s="841">
        <f>AA52*1.03</f>
        <v>4291.666666666667</v>
      </c>
      <c r="AC52" s="841">
        <f>AB52</f>
        <v>4291.666666666667</v>
      </c>
      <c r="AD52" s="841">
        <f t="shared" si="99"/>
        <v>4291.666666666667</v>
      </c>
      <c r="AE52" s="841">
        <f t="shared" si="99"/>
        <v>4291.666666666667</v>
      </c>
      <c r="AF52" s="841">
        <f t="shared" si="99"/>
        <v>4291.666666666667</v>
      </c>
      <c r="AG52" s="841">
        <f t="shared" si="99"/>
        <v>4291.666666666667</v>
      </c>
      <c r="AH52" s="841">
        <f t="shared" si="99"/>
        <v>4291.666666666667</v>
      </c>
      <c r="AI52" s="841">
        <f t="shared" si="99"/>
        <v>4291.666666666667</v>
      </c>
      <c r="AJ52" s="841">
        <f t="shared" si="99"/>
        <v>4291.666666666667</v>
      </c>
      <c r="AK52" s="841">
        <f t="shared" si="99"/>
        <v>4291.666666666667</v>
      </c>
      <c r="AL52" s="841">
        <f t="shared" si="99"/>
        <v>4291.666666666667</v>
      </c>
      <c r="AM52" s="841">
        <f t="shared" si="99"/>
        <v>4291.666666666667</v>
      </c>
      <c r="AN52" s="841">
        <f>AM52*1.03</f>
        <v>4420.416666666667</v>
      </c>
      <c r="AO52" s="841">
        <f>AN52</f>
        <v>4420.416666666667</v>
      </c>
      <c r="AP52" s="841">
        <f t="shared" si="100"/>
        <v>4420.416666666667</v>
      </c>
      <c r="AQ52" s="841">
        <f t="shared" si="100"/>
        <v>4420.416666666667</v>
      </c>
      <c r="AR52" s="841">
        <f t="shared" si="100"/>
        <v>4420.416666666667</v>
      </c>
      <c r="AS52" s="841">
        <f t="shared" si="100"/>
        <v>4420.416666666667</v>
      </c>
      <c r="AT52" s="841">
        <f t="shared" si="100"/>
        <v>4420.416666666667</v>
      </c>
      <c r="AU52" s="841">
        <f t="shared" si="100"/>
        <v>4420.416666666667</v>
      </c>
      <c r="AV52" s="841">
        <f t="shared" si="100"/>
        <v>4420.416666666667</v>
      </c>
      <c r="AW52" s="841">
        <f t="shared" si="100"/>
        <v>4420.416666666667</v>
      </c>
      <c r="AX52" s="841">
        <f t="shared" si="100"/>
        <v>4420.416666666667</v>
      </c>
      <c r="AY52" s="841">
        <f t="shared" si="100"/>
        <v>4420.416666666667</v>
      </c>
      <c r="AZ52" s="841">
        <f>AY52*1.03</f>
        <v>4553.0291666666672</v>
      </c>
      <c r="BA52" s="841">
        <f t="shared" si="100"/>
        <v>4553.0291666666672</v>
      </c>
      <c r="BB52" s="841">
        <f t="shared" si="100"/>
        <v>4553.0291666666672</v>
      </c>
      <c r="BC52" s="841">
        <f t="shared" si="100"/>
        <v>4553.0291666666672</v>
      </c>
      <c r="BD52" s="841">
        <f t="shared" si="100"/>
        <v>4553.0291666666672</v>
      </c>
      <c r="BE52" s="841">
        <f t="shared" si="100"/>
        <v>4553.0291666666672</v>
      </c>
      <c r="BF52" s="841">
        <f t="shared" si="100"/>
        <v>4553.0291666666672</v>
      </c>
      <c r="BG52" s="841">
        <f t="shared" si="100"/>
        <v>4553.0291666666672</v>
      </c>
      <c r="BH52" s="841">
        <f t="shared" si="100"/>
        <v>4553.0291666666672</v>
      </c>
      <c r="BI52" s="841">
        <f t="shared" si="100"/>
        <v>4553.0291666666672</v>
      </c>
      <c r="BJ52" s="841">
        <f t="shared" si="100"/>
        <v>4553.0291666666672</v>
      </c>
      <c r="BK52" s="841">
        <f t="shared" si="100"/>
        <v>4553.0291666666672</v>
      </c>
      <c r="BL52" s="841">
        <f>BK52*1.03</f>
        <v>4689.620041666667</v>
      </c>
      <c r="BM52" s="841">
        <f t="shared" si="100"/>
        <v>4689.620041666667</v>
      </c>
      <c r="BN52" s="841">
        <f t="shared" si="100"/>
        <v>4689.620041666667</v>
      </c>
      <c r="BO52" s="841">
        <f t="shared" si="100"/>
        <v>4689.620041666667</v>
      </c>
      <c r="BP52" s="841">
        <f t="shared" si="100"/>
        <v>4689.620041666667</v>
      </c>
      <c r="BQ52" s="841">
        <f t="shared" si="100"/>
        <v>4689.620041666667</v>
      </c>
      <c r="BR52" s="841">
        <f t="shared" si="100"/>
        <v>4689.620041666667</v>
      </c>
      <c r="BS52" s="841">
        <f t="shared" si="100"/>
        <v>4689.620041666667</v>
      </c>
      <c r="BT52" s="841">
        <f t="shared" si="100"/>
        <v>4689.620041666667</v>
      </c>
      <c r="BU52" s="841">
        <f t="shared" si="100"/>
        <v>4689.620041666667</v>
      </c>
      <c r="BV52" s="841">
        <f t="shared" si="100"/>
        <v>4689.620041666667</v>
      </c>
      <c r="BW52" s="841">
        <f t="shared" si="100"/>
        <v>4689.620041666667</v>
      </c>
      <c r="BX52" s="841">
        <f>BW52*1.03</f>
        <v>4830.3086429166669</v>
      </c>
      <c r="BY52" s="841">
        <f t="shared" si="100"/>
        <v>4830.3086429166669</v>
      </c>
      <c r="BZ52" s="841">
        <f t="shared" si="100"/>
        <v>4830.3086429166669</v>
      </c>
      <c r="CA52" s="841">
        <f t="shared" si="100"/>
        <v>4830.3086429166669</v>
      </c>
    </row>
    <row r="53" spans="1:316" ht="13.5" customHeight="1">
      <c r="B53" s="849" t="s">
        <v>928</v>
      </c>
      <c r="C53" s="36"/>
      <c r="D53" s="36"/>
      <c r="E53" s="36"/>
      <c r="F53" s="36"/>
      <c r="G53" s="1004">
        <f>SUM(G51:G52)</f>
        <v>9510.5833333333339</v>
      </c>
      <c r="H53" s="1004">
        <f t="shared" ref="H53:L53" si="101">SUM(H51:H52)</f>
        <v>9510.5833333333339</v>
      </c>
      <c r="I53" s="1004">
        <f t="shared" si="101"/>
        <v>9510.5833333333339</v>
      </c>
      <c r="J53" s="1004">
        <f t="shared" si="101"/>
        <v>9510.5833333333339</v>
      </c>
      <c r="K53" s="1004">
        <f t="shared" si="101"/>
        <v>9510.5833333333339</v>
      </c>
      <c r="L53" s="1004">
        <f t="shared" si="101"/>
        <v>9510.5833333333339</v>
      </c>
      <c r="M53" s="1004">
        <f t="shared" ref="M53:O53" si="102">SUM(M51:M52)</f>
        <v>9510.5833333333339</v>
      </c>
      <c r="N53" s="1004">
        <f t="shared" si="102"/>
        <v>9510.5833333333339</v>
      </c>
      <c r="O53" s="1004">
        <f t="shared" si="102"/>
        <v>9510.5833333333339</v>
      </c>
      <c r="P53" s="1004">
        <f t="shared" ref="P53:AU53" si="103">SUM(P51:P52)</f>
        <v>13677.25</v>
      </c>
      <c r="Q53" s="1004">
        <f t="shared" si="103"/>
        <v>13677.25</v>
      </c>
      <c r="R53" s="1004">
        <f t="shared" si="103"/>
        <v>13677.25</v>
      </c>
      <c r="S53" s="1004">
        <f t="shared" si="103"/>
        <v>13677.25</v>
      </c>
      <c r="T53" s="1004">
        <f t="shared" si="103"/>
        <v>13677.25</v>
      </c>
      <c r="U53" s="1004">
        <f t="shared" si="103"/>
        <v>13677.25</v>
      </c>
      <c r="V53" s="1004">
        <f t="shared" si="103"/>
        <v>13677.25</v>
      </c>
      <c r="W53" s="1004">
        <f t="shared" si="103"/>
        <v>13677.25</v>
      </c>
      <c r="X53" s="1004">
        <f t="shared" si="103"/>
        <v>13677.25</v>
      </c>
      <c r="Y53" s="1004">
        <f t="shared" si="103"/>
        <v>13677.25</v>
      </c>
      <c r="Z53" s="1004">
        <f t="shared" si="103"/>
        <v>13677.25</v>
      </c>
      <c r="AA53" s="1004">
        <f t="shared" si="103"/>
        <v>13677.25</v>
      </c>
      <c r="AB53" s="1004">
        <f t="shared" si="103"/>
        <v>14087.567500000001</v>
      </c>
      <c r="AC53" s="1004">
        <f t="shared" si="103"/>
        <v>14087.567500000001</v>
      </c>
      <c r="AD53" s="1004">
        <f t="shared" si="103"/>
        <v>14087.567500000001</v>
      </c>
      <c r="AE53" s="1004">
        <f t="shared" si="103"/>
        <v>14087.567500000001</v>
      </c>
      <c r="AF53" s="1004">
        <f t="shared" si="103"/>
        <v>14087.567500000001</v>
      </c>
      <c r="AG53" s="1004">
        <f t="shared" si="103"/>
        <v>14087.567500000001</v>
      </c>
      <c r="AH53" s="1004">
        <f t="shared" si="103"/>
        <v>14087.567500000001</v>
      </c>
      <c r="AI53" s="1004">
        <f t="shared" si="103"/>
        <v>14087.567500000001</v>
      </c>
      <c r="AJ53" s="1004">
        <f t="shared" si="103"/>
        <v>14087.567500000001</v>
      </c>
      <c r="AK53" s="1004">
        <f t="shared" si="103"/>
        <v>14087.567500000001</v>
      </c>
      <c r="AL53" s="1004">
        <f t="shared" si="103"/>
        <v>14087.567500000001</v>
      </c>
      <c r="AM53" s="1004">
        <f t="shared" si="103"/>
        <v>14087.567500000001</v>
      </c>
      <c r="AN53" s="1004">
        <f t="shared" si="103"/>
        <v>33587.083333333336</v>
      </c>
      <c r="AO53" s="1004">
        <f t="shared" si="103"/>
        <v>33587.083333333336</v>
      </c>
      <c r="AP53" s="1004">
        <f t="shared" si="103"/>
        <v>33587.083333333336</v>
      </c>
      <c r="AQ53" s="1004">
        <f t="shared" si="103"/>
        <v>33587.083333333336</v>
      </c>
      <c r="AR53" s="1004">
        <f t="shared" si="103"/>
        <v>33587.083333333336</v>
      </c>
      <c r="AS53" s="1004">
        <f t="shared" si="103"/>
        <v>33587.083333333336</v>
      </c>
      <c r="AT53" s="1004">
        <f t="shared" si="103"/>
        <v>33587.083333333336</v>
      </c>
      <c r="AU53" s="1004">
        <f t="shared" si="103"/>
        <v>33587.083333333336</v>
      </c>
      <c r="AV53" s="1004">
        <f t="shared" ref="AV53:BV53" si="104">SUM(AV51:AV52)</f>
        <v>33587.083333333336</v>
      </c>
      <c r="AW53" s="1004">
        <f t="shared" si="104"/>
        <v>33587.083333333336</v>
      </c>
      <c r="AX53" s="1004">
        <f t="shared" si="104"/>
        <v>33587.083333333336</v>
      </c>
      <c r="AY53" s="1004">
        <f t="shared" si="104"/>
        <v>33587.083333333336</v>
      </c>
      <c r="AZ53" s="1004">
        <f t="shared" si="104"/>
        <v>34594.695833333331</v>
      </c>
      <c r="BA53" s="1004">
        <f t="shared" si="104"/>
        <v>34594.695833333331</v>
      </c>
      <c r="BB53" s="1004">
        <f t="shared" si="104"/>
        <v>34594.695833333331</v>
      </c>
      <c r="BC53" s="1004">
        <f t="shared" si="104"/>
        <v>34594.695833333331</v>
      </c>
      <c r="BD53" s="1004">
        <f t="shared" si="104"/>
        <v>34594.695833333331</v>
      </c>
      <c r="BE53" s="1004">
        <f t="shared" si="104"/>
        <v>34594.695833333331</v>
      </c>
      <c r="BF53" s="1004">
        <f t="shared" si="104"/>
        <v>34594.695833333331</v>
      </c>
      <c r="BG53" s="1004">
        <f t="shared" si="104"/>
        <v>34594.695833333331</v>
      </c>
      <c r="BH53" s="1004">
        <f t="shared" si="104"/>
        <v>34594.695833333331</v>
      </c>
      <c r="BI53" s="1004">
        <f t="shared" si="104"/>
        <v>34594.695833333331</v>
      </c>
      <c r="BJ53" s="1004">
        <f t="shared" si="104"/>
        <v>34594.695833333331</v>
      </c>
      <c r="BK53" s="1004">
        <f t="shared" si="104"/>
        <v>34594.695833333331</v>
      </c>
      <c r="BL53" s="1004">
        <f t="shared" si="104"/>
        <v>35632.536708333333</v>
      </c>
      <c r="BM53" s="1004">
        <f t="shared" si="104"/>
        <v>35632.536708333333</v>
      </c>
      <c r="BN53" s="1004">
        <f t="shared" si="104"/>
        <v>35632.536708333333</v>
      </c>
      <c r="BO53" s="1004">
        <f t="shared" si="104"/>
        <v>35632.536708333333</v>
      </c>
      <c r="BP53" s="1004">
        <f t="shared" si="104"/>
        <v>35632.536708333333</v>
      </c>
      <c r="BQ53" s="1004">
        <f t="shared" si="104"/>
        <v>35632.536708333333</v>
      </c>
      <c r="BR53" s="1004">
        <f t="shared" si="104"/>
        <v>35632.536708333333</v>
      </c>
      <c r="BS53" s="1004">
        <f t="shared" si="104"/>
        <v>35632.536708333333</v>
      </c>
      <c r="BT53" s="1004">
        <f t="shared" si="104"/>
        <v>35632.536708333333</v>
      </c>
      <c r="BU53" s="1004">
        <f t="shared" si="104"/>
        <v>35632.536708333333</v>
      </c>
      <c r="BV53" s="1004">
        <f t="shared" si="104"/>
        <v>35632.536708333333</v>
      </c>
      <c r="BW53" s="1004">
        <f t="shared" ref="BW53:CA53" si="105">SUM(BW51:BW52)</f>
        <v>35632.536708333333</v>
      </c>
      <c r="BX53" s="1004">
        <f t="shared" si="105"/>
        <v>36701.512809583335</v>
      </c>
      <c r="BY53" s="1004">
        <f t="shared" si="105"/>
        <v>36701.512809583335</v>
      </c>
      <c r="BZ53" s="1004">
        <f t="shared" si="105"/>
        <v>36701.512809583335</v>
      </c>
      <c r="CA53" s="1004">
        <f t="shared" si="105"/>
        <v>36701.512809583335</v>
      </c>
    </row>
    <row r="54" spans="1:316" ht="13.5" customHeight="1">
      <c r="B54"/>
      <c r="P54" s="841"/>
      <c r="Q54" s="841"/>
      <c r="R54" s="841"/>
      <c r="S54" s="841"/>
      <c r="T54" s="841"/>
      <c r="U54" s="841"/>
      <c r="V54" s="841"/>
      <c r="W54" s="841"/>
      <c r="X54" s="841"/>
      <c r="Y54" s="841"/>
      <c r="Z54" s="841"/>
      <c r="AA54" s="841"/>
      <c r="AB54" s="841"/>
      <c r="AC54" s="841"/>
      <c r="AD54" s="841"/>
      <c r="AE54" s="841"/>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c r="BC54" s="841"/>
      <c r="BD54" s="841"/>
      <c r="BE54" s="841"/>
      <c r="BF54" s="841"/>
      <c r="BG54" s="841"/>
      <c r="BH54" s="841"/>
      <c r="BI54" s="841"/>
      <c r="BJ54" s="841"/>
      <c r="BK54" s="841"/>
      <c r="BL54" s="841"/>
      <c r="BM54" s="841"/>
      <c r="BN54" s="841"/>
      <c r="BO54" s="841"/>
      <c r="BP54" s="841"/>
      <c r="BQ54" s="841"/>
      <c r="BR54" s="841"/>
      <c r="BS54" s="841"/>
      <c r="BT54" s="841"/>
      <c r="BU54" s="841"/>
      <c r="BV54" s="841"/>
      <c r="BW54" s="841"/>
      <c r="BX54" s="841"/>
      <c r="BY54" s="841"/>
      <c r="BZ54" s="841"/>
      <c r="CA54" s="841"/>
    </row>
    <row r="55" spans="1:316" ht="13.5" customHeight="1" thickBot="1">
      <c r="B55" s="845" t="s">
        <v>23</v>
      </c>
      <c r="C55" s="845"/>
      <c r="D55" s="845"/>
      <c r="E55" s="845"/>
      <c r="F55" s="845"/>
      <c r="G55" s="846">
        <f>+G31+G48+G53</f>
        <v>11830.518608414241</v>
      </c>
      <c r="H55" s="846">
        <f t="shared" ref="H55:L55" si="106">+H31+H48+H53</f>
        <v>11830.518608414241</v>
      </c>
      <c r="I55" s="846">
        <f t="shared" si="106"/>
        <v>11830.518608414241</v>
      </c>
      <c r="J55" s="846">
        <f t="shared" si="106"/>
        <v>11830.518608414241</v>
      </c>
      <c r="K55" s="846">
        <f t="shared" si="106"/>
        <v>11830.518608414241</v>
      </c>
      <c r="L55" s="846">
        <f t="shared" si="106"/>
        <v>11830.518608414241</v>
      </c>
      <c r="M55" s="846">
        <f t="shared" ref="M55:O55" si="107">+M31+M48+M53</f>
        <v>11830.518608414241</v>
      </c>
      <c r="N55" s="846">
        <f t="shared" si="107"/>
        <v>11830.518608414241</v>
      </c>
      <c r="O55" s="846">
        <f t="shared" si="107"/>
        <v>11830.518608414241</v>
      </c>
      <c r="P55" s="846">
        <f t="shared" ref="P55:AU55" si="108">+P31+P48+P53</f>
        <v>31598.875845052313</v>
      </c>
      <c r="Q55" s="846">
        <f t="shared" si="108"/>
        <v>31394.546930642642</v>
      </c>
      <c r="R55" s="846">
        <f t="shared" si="108"/>
        <v>31531.257541335792</v>
      </c>
      <c r="S55" s="846">
        <f t="shared" si="108"/>
        <v>31991.295686321726</v>
      </c>
      <c r="T55" s="846">
        <f t="shared" si="108"/>
        <v>32580.464601544372</v>
      </c>
      <c r="U55" s="846">
        <f t="shared" si="108"/>
        <v>33074.458754743551</v>
      </c>
      <c r="V55" s="846">
        <f t="shared" si="108"/>
        <v>33758.910401373032</v>
      </c>
      <c r="W55" s="846">
        <f t="shared" si="108"/>
        <v>34596.771309831194</v>
      </c>
      <c r="X55" s="846">
        <f t="shared" si="108"/>
        <v>35702.494334077637</v>
      </c>
      <c r="Y55" s="846">
        <f t="shared" si="108"/>
        <v>36884.146112556235</v>
      </c>
      <c r="Z55" s="846">
        <f t="shared" si="108"/>
        <v>38086.022211936222</v>
      </c>
      <c r="AA55" s="846">
        <f t="shared" si="108"/>
        <v>37825.10465267652</v>
      </c>
      <c r="AB55" s="846">
        <f t="shared" si="108"/>
        <v>38811.75944674488</v>
      </c>
      <c r="AC55" s="846">
        <f t="shared" si="108"/>
        <v>39115.167192559049</v>
      </c>
      <c r="AD55" s="846">
        <f t="shared" si="108"/>
        <v>39187.283269986176</v>
      </c>
      <c r="AE55" s="846">
        <f t="shared" si="108"/>
        <v>39860.599571525119</v>
      </c>
      <c r="AF55" s="846">
        <f t="shared" si="108"/>
        <v>40489.475266737791</v>
      </c>
      <c r="AG55" s="846">
        <f t="shared" si="108"/>
        <v>41040.11969227079</v>
      </c>
      <c r="AH55" s="846">
        <f t="shared" si="108"/>
        <v>41769.856600608036</v>
      </c>
      <c r="AI55" s="846">
        <f t="shared" si="108"/>
        <v>42328.005591041117</v>
      </c>
      <c r="AJ55" s="846">
        <f t="shared" si="108"/>
        <v>43367.684588262622</v>
      </c>
      <c r="AK55" s="846">
        <f t="shared" si="108"/>
        <v>44165.298141802414</v>
      </c>
      <c r="AL55" s="846">
        <f t="shared" si="108"/>
        <v>45041.20955819411</v>
      </c>
      <c r="AM55" s="846">
        <f t="shared" si="108"/>
        <v>42510.742811101183</v>
      </c>
      <c r="AN55" s="846">
        <f t="shared" si="108"/>
        <v>62323.726049369332</v>
      </c>
      <c r="AO55" s="846">
        <f t="shared" si="108"/>
        <v>62102.498041173996</v>
      </c>
      <c r="AP55" s="846">
        <f t="shared" si="108"/>
        <v>61707.608497906927</v>
      </c>
      <c r="AQ55" s="846">
        <f t="shared" si="108"/>
        <v>62526.354447814738</v>
      </c>
      <c r="AR55" s="846">
        <f t="shared" si="108"/>
        <v>63306.299197500484</v>
      </c>
      <c r="AS55" s="846">
        <f t="shared" si="108"/>
        <v>63448.427798461184</v>
      </c>
      <c r="AT55" s="846">
        <f t="shared" si="108"/>
        <v>63858.711985575486</v>
      </c>
      <c r="AU55" s="846">
        <f t="shared" si="108"/>
        <v>64029.816781293397</v>
      </c>
      <c r="AV55" s="846">
        <f t="shared" ref="AV55:BV55" si="109">+AV31+AV48+AV53</f>
        <v>64622.710356147989</v>
      </c>
      <c r="AW55" s="846">
        <f t="shared" si="109"/>
        <v>63986.445374219555</v>
      </c>
      <c r="AX55" s="846">
        <f t="shared" si="109"/>
        <v>64084.73258121869</v>
      </c>
      <c r="AY55" s="846">
        <f t="shared" si="109"/>
        <v>63790.165849251694</v>
      </c>
      <c r="AZ55" s="846">
        <f t="shared" si="109"/>
        <v>65097.843572659112</v>
      </c>
      <c r="BA55" s="846">
        <f t="shared" si="109"/>
        <v>64822.409114158589</v>
      </c>
      <c r="BB55" s="846">
        <f t="shared" si="109"/>
        <v>64374.965989242701</v>
      </c>
      <c r="BC55" s="846">
        <f t="shared" si="109"/>
        <v>65173.111982150222</v>
      </c>
      <c r="BD55" s="846">
        <f t="shared" si="109"/>
        <v>65929.473719596601</v>
      </c>
      <c r="BE55" s="846">
        <f t="shared" si="109"/>
        <v>66067.517691064553</v>
      </c>
      <c r="BF55" s="846">
        <f t="shared" si="109"/>
        <v>66353.681069334183</v>
      </c>
      <c r="BG55" s="846">
        <f t="shared" si="109"/>
        <v>66787.871074215393</v>
      </c>
      <c r="BH55" s="846">
        <f t="shared" si="109"/>
        <v>66821.359860422963</v>
      </c>
      <c r="BI55" s="846">
        <f t="shared" si="109"/>
        <v>66399.369161417068</v>
      </c>
      <c r="BJ55" s="846">
        <f t="shared" si="109"/>
        <v>66611.709146174573</v>
      </c>
      <c r="BK55" s="846">
        <f t="shared" si="109"/>
        <v>66289.620694111189</v>
      </c>
      <c r="BL55" s="846">
        <f t="shared" si="109"/>
        <v>67623.360245955409</v>
      </c>
      <c r="BM55" s="846">
        <f t="shared" si="109"/>
        <v>67344.613216606871</v>
      </c>
      <c r="BN55" s="846">
        <f t="shared" si="109"/>
        <v>66889.203376737685</v>
      </c>
      <c r="BO55" s="846">
        <f t="shared" si="109"/>
        <v>67846.639344455616</v>
      </c>
      <c r="BP55" s="846">
        <f t="shared" si="109"/>
        <v>68358.990692483116</v>
      </c>
      <c r="BQ55" s="846">
        <f t="shared" si="109"/>
        <v>68639.455313705097</v>
      </c>
      <c r="BR55" s="846">
        <f t="shared" si="109"/>
        <v>69072.029360663626</v>
      </c>
      <c r="BS55" s="846">
        <f t="shared" si="109"/>
        <v>69254.064171465288</v>
      </c>
      <c r="BT55" s="846">
        <f t="shared" si="109"/>
        <v>69427.397484758621</v>
      </c>
      <c r="BU55" s="846">
        <f t="shared" si="109"/>
        <v>69133.054568960273</v>
      </c>
      <c r="BV55" s="846">
        <f t="shared" si="109"/>
        <v>69221.329869727138</v>
      </c>
      <c r="BW55" s="846">
        <f t="shared" ref="BW55:CA55" si="110">+BW31+BW48+BW53</f>
        <v>68895.276481796813</v>
      </c>
      <c r="BX55" s="846">
        <f t="shared" si="110"/>
        <v>70635.710160981922</v>
      </c>
      <c r="BY55" s="846">
        <f t="shared" si="110"/>
        <v>70635.710160981922</v>
      </c>
      <c r="BZ55" s="846">
        <f t="shared" si="110"/>
        <v>70635.710160981922</v>
      </c>
      <c r="CA55" s="846">
        <f t="shared" si="110"/>
        <v>70635.710160981922</v>
      </c>
    </row>
    <row r="56" spans="1:316" ht="13.5" customHeight="1" thickTop="1">
      <c r="B56"/>
      <c r="C56"/>
      <c r="D56"/>
      <c r="E56"/>
      <c r="F56"/>
      <c r="G56" s="841"/>
      <c r="H56" s="841"/>
      <c r="I56" s="841"/>
      <c r="J56" s="841"/>
      <c r="K56" s="841"/>
      <c r="L56" s="841"/>
      <c r="M56" s="841"/>
      <c r="N56" s="841"/>
      <c r="O56" s="841"/>
      <c r="P56" s="841"/>
      <c r="Q56" s="841"/>
      <c r="R56" s="841"/>
      <c r="S56" s="841"/>
      <c r="T56" s="841"/>
      <c r="U56" s="841"/>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c r="BC56" s="841"/>
      <c r="BD56" s="841"/>
      <c r="BE56" s="841"/>
      <c r="BF56" s="841"/>
      <c r="BG56" s="841"/>
      <c r="BH56" s="841"/>
      <c r="BI56" s="841"/>
      <c r="BJ56" s="841"/>
      <c r="BK56" s="841"/>
      <c r="BL56" s="841"/>
      <c r="BM56" s="841"/>
      <c r="BN56" s="841"/>
      <c r="BO56" s="841"/>
      <c r="BP56" s="841"/>
      <c r="BQ56" s="841"/>
      <c r="BR56" s="841"/>
      <c r="BS56" s="841"/>
      <c r="BT56" s="841"/>
      <c r="BU56" s="841"/>
      <c r="BV56" s="841"/>
      <c r="BW56" s="841"/>
      <c r="BX56" s="841"/>
      <c r="BY56" s="841"/>
      <c r="BZ56" s="841"/>
      <c r="CA56" s="841"/>
    </row>
    <row r="57" spans="1:316" ht="13.5" customHeight="1" thickBot="1">
      <c r="B57" s="845" t="s">
        <v>936</v>
      </c>
      <c r="C57" s="845"/>
      <c r="D57" s="845"/>
      <c r="E57" s="845"/>
      <c r="F57" s="845"/>
      <c r="G57" s="853">
        <f>+G25-G55</f>
        <v>-11830.518608414241</v>
      </c>
      <c r="H57" s="853">
        <f t="shared" ref="H57:L57" si="111">+H25-H55</f>
        <v>-11830.518608414241</v>
      </c>
      <c r="I57" s="853">
        <f t="shared" si="111"/>
        <v>-11830.518608414241</v>
      </c>
      <c r="J57" s="853">
        <f t="shared" si="111"/>
        <v>-11830.518608414241</v>
      </c>
      <c r="K57" s="853">
        <f t="shared" si="111"/>
        <v>-11830.518608414241</v>
      </c>
      <c r="L57" s="853">
        <f t="shared" si="111"/>
        <v>-11830.518608414241</v>
      </c>
      <c r="M57" s="853">
        <f t="shared" ref="M57:O57" si="112">+M25-M55</f>
        <v>-11830.518608414241</v>
      </c>
      <c r="N57" s="853">
        <f t="shared" si="112"/>
        <v>-11830.518608414241</v>
      </c>
      <c r="O57" s="853">
        <f t="shared" si="112"/>
        <v>-11830.518608414241</v>
      </c>
      <c r="P57" s="853">
        <f t="shared" ref="P57:AU57" si="113">+P25-P55</f>
        <v>-27009.555327329974</v>
      </c>
      <c r="Q57" s="853">
        <f t="shared" si="113"/>
        <v>-21217.072034933328</v>
      </c>
      <c r="R57" s="853">
        <f t="shared" si="113"/>
        <v>-14369.200765424699</v>
      </c>
      <c r="S57" s="853">
        <f t="shared" si="113"/>
        <v>-8241.462169802322</v>
      </c>
      <c r="T57" s="853">
        <f t="shared" si="113"/>
        <v>-1975.2285958622451</v>
      </c>
      <c r="U57" s="853">
        <f t="shared" si="113"/>
        <v>4748.7254044474685</v>
      </c>
      <c r="V57" s="853">
        <f t="shared" si="113"/>
        <v>12676.982777574412</v>
      </c>
      <c r="W57" s="853">
        <f t="shared" si="113"/>
        <v>21166.420931799126</v>
      </c>
      <c r="X57" s="853">
        <f t="shared" si="113"/>
        <v>30115.37803228636</v>
      </c>
      <c r="Y57" s="853">
        <f t="shared" si="113"/>
        <v>40397.621895328324</v>
      </c>
      <c r="Z57" s="853">
        <f t="shared" si="113"/>
        <v>51051.203105244618</v>
      </c>
      <c r="AA57" s="853">
        <f t="shared" si="113"/>
        <v>63662.928654207302</v>
      </c>
      <c r="AB57" s="853">
        <f t="shared" si="113"/>
        <v>73281.534371815054</v>
      </c>
      <c r="AC57" s="853">
        <f t="shared" si="113"/>
        <v>80890.608386575317</v>
      </c>
      <c r="AD57" s="853">
        <f t="shared" si="113"/>
        <v>88792.640117805669</v>
      </c>
      <c r="AE57" s="853">
        <f t="shared" si="113"/>
        <v>96286.261773169157</v>
      </c>
      <c r="AF57" s="853">
        <f t="shared" si="113"/>
        <v>103019.38399640117</v>
      </c>
      <c r="AG57" s="853">
        <f t="shared" si="113"/>
        <v>110553.94010419236</v>
      </c>
      <c r="AH57" s="853">
        <f t="shared" si="113"/>
        <v>116869.322119649</v>
      </c>
      <c r="AI57" s="853">
        <f t="shared" si="113"/>
        <v>124537.76272169285</v>
      </c>
      <c r="AJ57" s="853">
        <f t="shared" si="113"/>
        <v>131918.34167138854</v>
      </c>
      <c r="AK57" s="853">
        <f t="shared" si="113"/>
        <v>141603.72692909039</v>
      </c>
      <c r="AL57" s="853">
        <f t="shared" si="113"/>
        <v>150487.27906950773</v>
      </c>
      <c r="AM57" s="853">
        <f t="shared" si="113"/>
        <v>156444.69888642803</v>
      </c>
      <c r="AN57" s="853">
        <f t="shared" si="113"/>
        <v>137641.27858225338</v>
      </c>
      <c r="AO57" s="853">
        <f t="shared" si="113"/>
        <v>138217.28101285404</v>
      </c>
      <c r="AP57" s="853">
        <f t="shared" si="113"/>
        <v>137990.0309583749</v>
      </c>
      <c r="AQ57" s="853">
        <f t="shared" si="113"/>
        <v>138822.72101683816</v>
      </c>
      <c r="AR57" s="853">
        <f t="shared" si="113"/>
        <v>141246.36661433667</v>
      </c>
      <c r="AS57" s="853">
        <f t="shared" si="113"/>
        <v>143746.8774254481</v>
      </c>
      <c r="AT57" s="853">
        <f t="shared" si="113"/>
        <v>146451.211487389</v>
      </c>
      <c r="AU57" s="853">
        <f t="shared" si="113"/>
        <v>149466.43266285196</v>
      </c>
      <c r="AV57" s="853">
        <f t="shared" ref="AV57:BV57" si="114">+AV25-AV55</f>
        <v>153135.9956808337</v>
      </c>
      <c r="AW57" s="853">
        <f t="shared" si="114"/>
        <v>155465.31246554834</v>
      </c>
      <c r="AX57" s="853">
        <f t="shared" si="114"/>
        <v>157173.77538720972</v>
      </c>
      <c r="AY57" s="853">
        <f t="shared" si="114"/>
        <v>158735.23884103348</v>
      </c>
      <c r="AZ57" s="853">
        <f t="shared" si="114"/>
        <v>158035.44805800507</v>
      </c>
      <c r="BA57" s="853">
        <f t="shared" si="114"/>
        <v>157789.78085798319</v>
      </c>
      <c r="BB57" s="853">
        <f t="shared" si="114"/>
        <v>156831.15470440814</v>
      </c>
      <c r="BC57" s="853">
        <f t="shared" si="114"/>
        <v>156935.14513623342</v>
      </c>
      <c r="BD57" s="853">
        <f t="shared" si="114"/>
        <v>158639.78663027467</v>
      </c>
      <c r="BE57" s="853">
        <f t="shared" si="114"/>
        <v>161067.48557059135</v>
      </c>
      <c r="BF57" s="853">
        <f t="shared" si="114"/>
        <v>163782.68643566919</v>
      </c>
      <c r="BG57" s="853">
        <f t="shared" si="114"/>
        <v>166783.44382395915</v>
      </c>
      <c r="BH57" s="853">
        <f t="shared" si="114"/>
        <v>169690.35745928396</v>
      </c>
      <c r="BI57" s="853">
        <f t="shared" si="114"/>
        <v>171526.9555295051</v>
      </c>
      <c r="BJ57" s="853">
        <f t="shared" si="114"/>
        <v>172924.9767535252</v>
      </c>
      <c r="BK57" s="853">
        <f t="shared" si="114"/>
        <v>174192.34032640871</v>
      </c>
      <c r="BL57" s="853">
        <f t="shared" si="114"/>
        <v>173232.43372821494</v>
      </c>
      <c r="BM57" s="853">
        <f t="shared" si="114"/>
        <v>173055.73368087874</v>
      </c>
      <c r="BN57" s="853">
        <f t="shared" si="114"/>
        <v>172148.4484186671</v>
      </c>
      <c r="BO57" s="853">
        <f t="shared" si="114"/>
        <v>172285.41007899822</v>
      </c>
      <c r="BP57" s="853">
        <f t="shared" si="114"/>
        <v>174144.65038950127</v>
      </c>
      <c r="BQ57" s="853">
        <f t="shared" si="114"/>
        <v>176691.73428124079</v>
      </c>
      <c r="BR57" s="853">
        <f t="shared" si="114"/>
        <v>179532.40230095509</v>
      </c>
      <c r="BS57" s="853">
        <f t="shared" si="114"/>
        <v>182736.00377892097</v>
      </c>
      <c r="BT57" s="853">
        <f t="shared" si="114"/>
        <v>185780.79700638371</v>
      </c>
      <c r="BU57" s="853">
        <f t="shared" si="114"/>
        <v>187733.0877043815</v>
      </c>
      <c r="BV57" s="853">
        <f t="shared" si="114"/>
        <v>189267.52013829973</v>
      </c>
      <c r="BW57" s="853">
        <f t="shared" ref="BW57:CA57" si="115">+BW25-BW55</f>
        <v>190655.78493901814</v>
      </c>
      <c r="BX57" s="853">
        <f t="shared" si="115"/>
        <v>196701.88310245745</v>
      </c>
      <c r="BY57" s="853">
        <f t="shared" si="115"/>
        <v>196701.88310245745</v>
      </c>
      <c r="BZ57" s="853">
        <f t="shared" si="115"/>
        <v>196701.88310245745</v>
      </c>
      <c r="CA57" s="853">
        <f t="shared" si="115"/>
        <v>196701.88310245745</v>
      </c>
    </row>
    <row r="58" spans="1:316" ht="13.5" customHeight="1" thickTop="1">
      <c r="B58" s="9"/>
    </row>
    <row r="59" spans="1:316" ht="13.5" customHeight="1">
      <c r="A59" s="1060" t="s">
        <v>933</v>
      </c>
      <c r="B59" s="1062"/>
    </row>
    <row r="60" spans="1:316" s="1063" customFormat="1">
      <c r="B60" s="1064" t="s">
        <v>80</v>
      </c>
      <c r="H60" s="1065">
        <f>_xlfn.XLOOKUP(H5,'Assumptions &amp; Inputs'!$J$36:$O$36,'Assumptions &amp; Inputs'!$J$38:$O$38,0)</f>
        <v>0</v>
      </c>
      <c r="I60" s="1065">
        <f>_xlfn.XLOOKUP(I5,'Assumptions &amp; Inputs'!$J$36:$O$36,'Assumptions &amp; Inputs'!$J$38:$O$38,0)</f>
        <v>0</v>
      </c>
      <c r="J60" s="1065">
        <f>_xlfn.XLOOKUP(J5,'Assumptions &amp; Inputs'!$J$36:$O$36,'Assumptions &amp; Inputs'!$J$38:$O$38,0)</f>
        <v>0</v>
      </c>
      <c r="K60" s="1065">
        <f>_xlfn.XLOOKUP(K5,'Assumptions &amp; Inputs'!$J$36:$O$36,'Assumptions &amp; Inputs'!$J$38:$O$38,0)</f>
        <v>0</v>
      </c>
      <c r="L60" s="1065">
        <f>_xlfn.XLOOKUP(L5,'Assumptions &amp; Inputs'!$J$36:$O$36,'Assumptions &amp; Inputs'!$J$38:$O$38,0)</f>
        <v>0</v>
      </c>
      <c r="M60" s="1065">
        <f>_xlfn.XLOOKUP(M5,'Assumptions &amp; Inputs'!$J$36:$O$36,'Assumptions &amp; Inputs'!$J$38:$O$38,0)</f>
        <v>0</v>
      </c>
      <c r="N60" s="1065">
        <f>_xlfn.XLOOKUP(N5,'Assumptions &amp; Inputs'!$J$36:$O$36,'Assumptions &amp; Inputs'!$J$38:$O$38,0)</f>
        <v>0</v>
      </c>
      <c r="O60" s="1065">
        <f>_xlfn.XLOOKUP(O5,'Assumptions &amp; Inputs'!$J$36:$O$36,'Assumptions &amp; Inputs'!$J$38:$O$38,0)</f>
        <v>0</v>
      </c>
      <c r="P60" s="1065">
        <f>_xlfn.XLOOKUP(P5,'Assumptions &amp; Inputs'!$J$36:$O$36,'Assumptions &amp; Inputs'!$J$38:$O$38,0)</f>
        <v>0</v>
      </c>
      <c r="Q60" s="1065">
        <f>_xlfn.XLOOKUP(Q5,'Assumptions &amp; Inputs'!$J$36:$O$36,'Assumptions &amp; Inputs'!$J$38:$O$38,0)</f>
        <v>0</v>
      </c>
      <c r="R60" s="1065">
        <f>_xlfn.XLOOKUP(R5,'Assumptions &amp; Inputs'!$J$36:$O$36,'Assumptions &amp; Inputs'!$J$38:$O$38,0)</f>
        <v>0</v>
      </c>
      <c r="S60" s="1065">
        <f>_xlfn.XLOOKUP(S5,'Assumptions &amp; Inputs'!$J$36:$O$36,'Assumptions &amp; Inputs'!$J$38:$O$38,0)</f>
        <v>0</v>
      </c>
      <c r="T60" s="1065">
        <f>_xlfn.XLOOKUP(T5,'Assumptions &amp; Inputs'!$J$36:$O$36,'Assumptions &amp; Inputs'!$J$38:$O$38,0)</f>
        <v>0</v>
      </c>
      <c r="U60" s="1065">
        <f>_xlfn.XLOOKUP(U5,'Assumptions &amp; Inputs'!$J$36:$O$36,'Assumptions &amp; Inputs'!$J$38:$O$38,0)</f>
        <v>0</v>
      </c>
      <c r="V60" s="1065">
        <f>_xlfn.XLOOKUP(V5,'Assumptions &amp; Inputs'!$J$36:$O$36,'Assumptions &amp; Inputs'!$J$38:$O$38,0)</f>
        <v>0</v>
      </c>
      <c r="W60" s="1065">
        <f>_xlfn.XLOOKUP(W5,'Assumptions &amp; Inputs'!$J$36:$O$36,'Assumptions &amp; Inputs'!$J$38:$O$38,0)</f>
        <v>0</v>
      </c>
      <c r="X60" s="1065">
        <f>_xlfn.XLOOKUP(X5,'Assumptions &amp; Inputs'!$J$36:$O$36,'Assumptions &amp; Inputs'!$J$38:$O$38,0)</f>
        <v>0</v>
      </c>
      <c r="Y60" s="1065">
        <f>_xlfn.XLOOKUP(Y5,'Assumptions &amp; Inputs'!$J$36:$O$36,'Assumptions &amp; Inputs'!$J$38:$O$38,0)</f>
        <v>0</v>
      </c>
      <c r="Z60" s="1065">
        <f>_xlfn.XLOOKUP(Z5,'Assumptions &amp; Inputs'!$J$36:$O$36,'Assumptions &amp; Inputs'!$J$38:$O$38,0)</f>
        <v>0</v>
      </c>
      <c r="AA60" s="1065">
        <f>_xlfn.XLOOKUP(AA5,'Assumptions &amp; Inputs'!$J$36:$O$36,'Assumptions &amp; Inputs'!$J$38:$O$38,0)</f>
        <v>0</v>
      </c>
      <c r="AB60" s="1065">
        <f>_xlfn.XLOOKUP(AB5,'Assumptions &amp; Inputs'!$J$36:$O$36,'Assumptions &amp; Inputs'!$J$38:$O$38,0)</f>
        <v>0</v>
      </c>
      <c r="AC60" s="1065">
        <f>_xlfn.XLOOKUP(AC5,'Assumptions &amp; Inputs'!$J$36:$O$36,'Assumptions &amp; Inputs'!$J$38:$O$38,0)</f>
        <v>0</v>
      </c>
      <c r="AD60" s="1065">
        <f>_xlfn.XLOOKUP(AD5,'Assumptions &amp; Inputs'!$J$36:$O$36,'Assumptions &amp; Inputs'!$J$38:$O$38,0)</f>
        <v>0</v>
      </c>
      <c r="AE60" s="1065">
        <f>_xlfn.XLOOKUP(AE5,'Assumptions &amp; Inputs'!$J$36:$O$36,'Assumptions &amp; Inputs'!$J$38:$O$38,0)</f>
        <v>0</v>
      </c>
      <c r="AF60" s="1065">
        <f>_xlfn.XLOOKUP(AF5,'Assumptions &amp; Inputs'!$J$36:$O$36,'Assumptions &amp; Inputs'!$J$38:$O$38,0)</f>
        <v>0.03</v>
      </c>
      <c r="AG60" s="1065">
        <f>_xlfn.XLOOKUP(AG5,'Assumptions &amp; Inputs'!$J$36:$O$36,'Assumptions &amp; Inputs'!$J$38:$O$38,0)</f>
        <v>0.03</v>
      </c>
      <c r="AH60" s="1065">
        <f>_xlfn.XLOOKUP(AH5,'Assumptions &amp; Inputs'!$J$36:$O$36,'Assumptions &amp; Inputs'!$J$38:$O$38,0)</f>
        <v>0.03</v>
      </c>
      <c r="AI60" s="1065">
        <f>_xlfn.XLOOKUP(AI5,'Assumptions &amp; Inputs'!$J$36:$O$36,'Assumptions &amp; Inputs'!$J$38:$O$38,0)</f>
        <v>0.03</v>
      </c>
      <c r="AJ60" s="1065">
        <f>_xlfn.XLOOKUP(AJ5,'Assumptions &amp; Inputs'!$J$36:$O$36,'Assumptions &amp; Inputs'!$J$38:$O$38,0)</f>
        <v>0.03</v>
      </c>
      <c r="AK60" s="1065">
        <f>_xlfn.XLOOKUP(AK5,'Assumptions &amp; Inputs'!$J$36:$O$36,'Assumptions &amp; Inputs'!$J$38:$O$38,0)</f>
        <v>0.03</v>
      </c>
      <c r="AL60" s="1065">
        <f>_xlfn.XLOOKUP(AL5,'Assumptions &amp; Inputs'!$J$36:$O$36,'Assumptions &amp; Inputs'!$J$38:$O$38,0)</f>
        <v>0.03</v>
      </c>
      <c r="AM60" s="1065">
        <f>_xlfn.XLOOKUP(AM5,'Assumptions &amp; Inputs'!$J$36:$O$36,'Assumptions &amp; Inputs'!$J$38:$O$38,0)</f>
        <v>0.03</v>
      </c>
      <c r="AN60" s="1065">
        <f>_xlfn.XLOOKUP(AN5,'Assumptions &amp; Inputs'!$J$36:$O$36,'Assumptions &amp; Inputs'!$J$38:$O$38,0)</f>
        <v>0.03</v>
      </c>
      <c r="AO60" s="1065">
        <f>_xlfn.XLOOKUP(AO5,'Assumptions &amp; Inputs'!$J$36:$O$36,'Assumptions &amp; Inputs'!$J$38:$O$38,0)</f>
        <v>0.03</v>
      </c>
      <c r="AP60" s="1065">
        <f>_xlfn.XLOOKUP(AP5,'Assumptions &amp; Inputs'!$J$36:$O$36,'Assumptions &amp; Inputs'!$J$38:$O$38,0)</f>
        <v>0.03</v>
      </c>
      <c r="AQ60" s="1065">
        <f>_xlfn.XLOOKUP(AQ5,'Assumptions &amp; Inputs'!$J$36:$O$36,'Assumptions &amp; Inputs'!$J$38:$O$38,0)</f>
        <v>0.03</v>
      </c>
      <c r="AR60" s="1065">
        <f>_xlfn.XLOOKUP(AR5,'Assumptions &amp; Inputs'!$J$36:$O$36,'Assumptions &amp; Inputs'!$J$38:$O$38,0)</f>
        <v>0.03</v>
      </c>
      <c r="AS60" s="1065">
        <f>_xlfn.XLOOKUP(AS5,'Assumptions &amp; Inputs'!$J$36:$O$36,'Assumptions &amp; Inputs'!$J$38:$O$38,0)</f>
        <v>0.03</v>
      </c>
      <c r="AT60" s="1065">
        <f>_xlfn.XLOOKUP(AT5,'Assumptions &amp; Inputs'!$J$36:$O$36,'Assumptions &amp; Inputs'!$J$38:$O$38,0)</f>
        <v>0.03</v>
      </c>
      <c r="AU60" s="1065">
        <f>_xlfn.XLOOKUP(AU5,'Assumptions &amp; Inputs'!$J$36:$O$36,'Assumptions &amp; Inputs'!$J$38:$O$38,0)</f>
        <v>0.03</v>
      </c>
      <c r="AV60" s="1065">
        <f>_xlfn.XLOOKUP(AV5,'Assumptions &amp; Inputs'!$J$36:$O$36,'Assumptions &amp; Inputs'!$J$38:$O$38,0)</f>
        <v>0.03</v>
      </c>
      <c r="AW60" s="1065">
        <f>_xlfn.XLOOKUP(AW5,'Assumptions &amp; Inputs'!$J$36:$O$36,'Assumptions &amp; Inputs'!$J$38:$O$38,0)</f>
        <v>0.03</v>
      </c>
      <c r="AX60" s="1065">
        <f>_xlfn.XLOOKUP(AX5,'Assumptions &amp; Inputs'!$J$36:$O$36,'Assumptions &amp; Inputs'!$J$38:$O$38,0)</f>
        <v>0.03</v>
      </c>
      <c r="AY60" s="1065">
        <f>_xlfn.XLOOKUP(AY5,'Assumptions &amp; Inputs'!$J$36:$O$36,'Assumptions &amp; Inputs'!$J$38:$O$38,0)</f>
        <v>0.03</v>
      </c>
      <c r="AZ60" s="1065">
        <f>_xlfn.XLOOKUP(AZ5,'Assumptions &amp; Inputs'!$J$36:$O$36,'Assumptions &amp; Inputs'!$J$38:$O$38,0)</f>
        <v>0.03</v>
      </c>
      <c r="BA60" s="1065">
        <f>_xlfn.XLOOKUP(BA5,'Assumptions &amp; Inputs'!$J$36:$O$36,'Assumptions &amp; Inputs'!$J$38:$O$38,0)</f>
        <v>0.03</v>
      </c>
      <c r="BB60" s="1065">
        <f>_xlfn.XLOOKUP(BB5,'Assumptions &amp; Inputs'!$J$36:$O$36,'Assumptions &amp; Inputs'!$J$38:$O$38,0)</f>
        <v>0.03</v>
      </c>
      <c r="BC60" s="1065">
        <f>_xlfn.XLOOKUP(BC5,'Assumptions &amp; Inputs'!$J$36:$O$36,'Assumptions &amp; Inputs'!$J$38:$O$38,0)</f>
        <v>0.03</v>
      </c>
      <c r="BD60" s="1065">
        <f>_xlfn.XLOOKUP(BD5,'Assumptions &amp; Inputs'!$J$36:$O$36,'Assumptions &amp; Inputs'!$J$38:$O$38,0)</f>
        <v>0.03</v>
      </c>
      <c r="BE60" s="1065">
        <f>_xlfn.XLOOKUP(BE5,'Assumptions &amp; Inputs'!$J$36:$O$36,'Assumptions &amp; Inputs'!$J$38:$O$38,0)</f>
        <v>0.03</v>
      </c>
      <c r="BF60" s="1065">
        <f>_xlfn.XLOOKUP(BF5,'Assumptions &amp; Inputs'!$J$36:$O$36,'Assumptions &amp; Inputs'!$J$38:$O$38,0)</f>
        <v>0.03</v>
      </c>
      <c r="BG60" s="1065">
        <f>_xlfn.XLOOKUP(BG5,'Assumptions &amp; Inputs'!$J$36:$O$36,'Assumptions &amp; Inputs'!$J$38:$O$38,0)</f>
        <v>0.03</v>
      </c>
      <c r="BH60" s="1065">
        <f>_xlfn.XLOOKUP(BH5,'Assumptions &amp; Inputs'!$J$36:$O$36,'Assumptions &amp; Inputs'!$J$38:$O$38,0)</f>
        <v>0.03</v>
      </c>
      <c r="BI60" s="1065">
        <f>_xlfn.XLOOKUP(BI5,'Assumptions &amp; Inputs'!$J$36:$O$36,'Assumptions &amp; Inputs'!$J$38:$O$38,0)</f>
        <v>0.03</v>
      </c>
      <c r="BJ60" s="1065">
        <f>_xlfn.XLOOKUP(BJ5,'Assumptions &amp; Inputs'!$J$36:$O$36,'Assumptions &amp; Inputs'!$J$38:$O$38,0)</f>
        <v>0.03</v>
      </c>
      <c r="BK60" s="1065">
        <f>_xlfn.XLOOKUP(BK5,'Assumptions &amp; Inputs'!$J$36:$O$36,'Assumptions &amp; Inputs'!$J$38:$O$38,0)</f>
        <v>0.03</v>
      </c>
      <c r="BL60" s="1065">
        <f>_xlfn.XLOOKUP(BL5,'Assumptions &amp; Inputs'!$J$36:$O$36,'Assumptions &amp; Inputs'!$J$38:$O$38,0)</f>
        <v>0.03</v>
      </c>
      <c r="BM60" s="1065">
        <f>_xlfn.XLOOKUP(BM5,'Assumptions &amp; Inputs'!$J$36:$O$36,'Assumptions &amp; Inputs'!$J$38:$O$38,0)</f>
        <v>0.03</v>
      </c>
      <c r="BN60" s="1065">
        <f>_xlfn.XLOOKUP(BN5,'Assumptions &amp; Inputs'!$J$36:$O$36,'Assumptions &amp; Inputs'!$J$38:$O$38,0)</f>
        <v>0.03</v>
      </c>
      <c r="BO60" s="1065">
        <f>_xlfn.XLOOKUP(BO5,'Assumptions &amp; Inputs'!$J$36:$O$36,'Assumptions &amp; Inputs'!$J$38:$O$38,0)</f>
        <v>0.03</v>
      </c>
      <c r="BP60" s="1065">
        <f>_xlfn.XLOOKUP(BP5,'Assumptions &amp; Inputs'!$J$36:$O$36,'Assumptions &amp; Inputs'!$J$38:$O$38,0)</f>
        <v>0.03</v>
      </c>
      <c r="BQ60" s="1065">
        <f>_xlfn.XLOOKUP(BQ5,'Assumptions &amp; Inputs'!$J$36:$O$36,'Assumptions &amp; Inputs'!$J$38:$O$38,0)</f>
        <v>0.03</v>
      </c>
      <c r="BR60" s="1065">
        <f>_xlfn.XLOOKUP(BR5,'Assumptions &amp; Inputs'!$J$36:$O$36,'Assumptions &amp; Inputs'!$J$38:$O$38,0)</f>
        <v>0.03</v>
      </c>
      <c r="BS60" s="1065">
        <f>_xlfn.XLOOKUP(BS5,'Assumptions &amp; Inputs'!$J$36:$O$36,'Assumptions &amp; Inputs'!$J$38:$O$38,0)</f>
        <v>0.03</v>
      </c>
      <c r="BT60" s="1065">
        <f>_xlfn.XLOOKUP(BT5,'Assumptions &amp; Inputs'!$J$36:$O$36,'Assumptions &amp; Inputs'!$J$38:$O$38,0)</f>
        <v>0.03</v>
      </c>
      <c r="BU60" s="1065">
        <f>_xlfn.XLOOKUP(BU5,'Assumptions &amp; Inputs'!$J$36:$O$36,'Assumptions &amp; Inputs'!$J$38:$O$38,0)</f>
        <v>0.03</v>
      </c>
      <c r="BV60" s="1065">
        <f>_xlfn.XLOOKUP(BV5,'Assumptions &amp; Inputs'!$J$36:$O$36,'Assumptions &amp; Inputs'!$J$38:$O$38,0)</f>
        <v>0.03</v>
      </c>
      <c r="BW60" s="1065">
        <f>_xlfn.XLOOKUP(BW5,'Assumptions &amp; Inputs'!$J$36:$O$36,'Assumptions &amp; Inputs'!$J$38:$O$38,0)</f>
        <v>0.03</v>
      </c>
      <c r="BX60" s="1065">
        <f>_xlfn.XLOOKUP(BX5,'Assumptions &amp; Inputs'!$J$36:$O$36,'Assumptions &amp; Inputs'!$J$38:$O$38,0)</f>
        <v>0.03</v>
      </c>
      <c r="BY60" s="1065">
        <f>_xlfn.XLOOKUP(BY5,'Assumptions &amp; Inputs'!$J$36:$O$36,'Assumptions &amp; Inputs'!$J$38:$O$38,0)</f>
        <v>0.03</v>
      </c>
      <c r="BZ60" s="1065">
        <f>_xlfn.XLOOKUP(BZ5,'Assumptions &amp; Inputs'!$J$36:$O$36,'Assumptions &amp; Inputs'!$J$38:$O$38,0)</f>
        <v>0.03</v>
      </c>
      <c r="CA60" s="1065">
        <f>_xlfn.XLOOKUP(CA5,'Assumptions &amp; Inputs'!$J$36:$O$36,'Assumptions &amp; Inputs'!$J$38:$O$38,0)</f>
        <v>0.03</v>
      </c>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row>
    <row r="61" spans="1:316" s="1063" customFormat="1">
      <c r="B61" s="1066" t="s">
        <v>82</v>
      </c>
      <c r="C61" s="1067">
        <f>'Assumptions &amp; Inputs'!E28</f>
        <v>3481.75</v>
      </c>
      <c r="D61" s="1067"/>
      <c r="G61" s="1068">
        <f>IF(G6&gt;='Assumptions &amp; Inputs'!$D$45,$C$61*'Assumptions &amp; Inputs'!$E$46/12,0)</f>
        <v>0</v>
      </c>
      <c r="H61" s="1068">
        <f>IF(H6&gt;='Assumptions &amp; Inputs'!$D$45,$C$61*'Assumptions &amp; Inputs'!$E$46/12,0)</f>
        <v>0</v>
      </c>
      <c r="I61" s="1068">
        <f>IF(I6&gt;='Assumptions &amp; Inputs'!$D$45,$C$61*'Assumptions &amp; Inputs'!$E$46/12,0)</f>
        <v>0</v>
      </c>
      <c r="J61" s="1068">
        <f>IF(J6&gt;='Assumptions &amp; Inputs'!$D$45,$C$61*'Assumptions &amp; Inputs'!$E$46/12,0)</f>
        <v>0</v>
      </c>
      <c r="K61" s="1068">
        <f>IF(K6&gt;='Assumptions &amp; Inputs'!$D$45,$C$61*'Assumptions &amp; Inputs'!$E$46/12,0)</f>
        <v>0</v>
      </c>
      <c r="L61" s="1068">
        <f>IF(L6&gt;='Assumptions &amp; Inputs'!$D$45,$C$61*'Assumptions &amp; Inputs'!$E$46/12,0)</f>
        <v>0</v>
      </c>
      <c r="M61" s="1068">
        <f>IF(M6&gt;='Assumptions &amp; Inputs'!$D$45,$C$61*'Assumptions &amp; Inputs'!$E$46/12,0)</f>
        <v>0</v>
      </c>
      <c r="N61" s="1068">
        <f>IF(N6&gt;='Assumptions &amp; Inputs'!$D$45,$C$61*'Assumptions &amp; Inputs'!$E$46/12,0)</f>
        <v>0</v>
      </c>
      <c r="O61" s="1068">
        <f>IF(O6&gt;='Assumptions &amp; Inputs'!$D$45,$C$61*'Assumptions &amp; Inputs'!$E$46/12,0)</f>
        <v>0</v>
      </c>
      <c r="P61" s="1068">
        <f>IF(P6&gt;='Assumptions &amp; Inputs'!$D$45,$C$61*'Assumptions &amp; Inputs'!$E$46/12,0)</f>
        <v>0</v>
      </c>
      <c r="Q61" s="1068">
        <f>IF(Q6&gt;='Assumptions &amp; Inputs'!$D$45,$C$61*'Assumptions &amp; Inputs'!$E$46/12,0)</f>
        <v>0</v>
      </c>
      <c r="R61" s="1068">
        <f>IF(R6&gt;='Assumptions &amp; Inputs'!$D$45,$C$61*'Assumptions &amp; Inputs'!$E$46/12,0)</f>
        <v>0</v>
      </c>
      <c r="S61" s="1068">
        <f>IF(S6&gt;='Assumptions &amp; Inputs'!$D$45,$C$61*'Assumptions &amp; Inputs'!$E$46/12,0)</f>
        <v>0</v>
      </c>
      <c r="T61" s="1068">
        <f>IF(T6&gt;='Assumptions &amp; Inputs'!$D$45,$C$61*'Assumptions &amp; Inputs'!$E$46/12,0)</f>
        <v>0</v>
      </c>
      <c r="U61" s="1068">
        <f>IF(U6&gt;='Assumptions &amp; Inputs'!$D$45,$C$61*'Assumptions &amp; Inputs'!$E$46/12,0)</f>
        <v>0</v>
      </c>
      <c r="V61" s="1068">
        <f>IF(V6&gt;='Assumptions &amp; Inputs'!$D$45,$C$61*'Assumptions &amp; Inputs'!$E$46/12,0)</f>
        <v>0</v>
      </c>
      <c r="W61" s="1068">
        <f>IF(W6&gt;='Assumptions &amp; Inputs'!$D$45,$C$61*'Assumptions &amp; Inputs'!$E$46/12,0)</f>
        <v>0</v>
      </c>
      <c r="X61" s="1068">
        <f>IF(X6&gt;='Assumptions &amp; Inputs'!$D$45,$C$61*'Assumptions &amp; Inputs'!$E$46/12,0)</f>
        <v>0</v>
      </c>
      <c r="Y61" s="1068">
        <f>IF(Y6&gt;='Assumptions &amp; Inputs'!$D$45,$C$61*'Assumptions &amp; Inputs'!$E$46/12,0)</f>
        <v>0</v>
      </c>
      <c r="Z61" s="1068">
        <f>IF(Z6&gt;='Assumptions &amp; Inputs'!$D$45,$C$61*'Assumptions &amp; Inputs'!$E$46/12,0)</f>
        <v>0</v>
      </c>
      <c r="AA61" s="1068">
        <f>IF(AA6&gt;='Assumptions &amp; Inputs'!$D$45,$C$61*'Assumptions &amp; Inputs'!$E$46/12,0)</f>
        <v>0</v>
      </c>
      <c r="AB61" s="1068">
        <f>IF(AB6&gt;='Assumptions &amp; Inputs'!$D$45,$C$61*'Assumptions &amp; Inputs'!$E$46/12,0)</f>
        <v>0</v>
      </c>
      <c r="AC61" s="1068">
        <f>IF(AC6&gt;='Assumptions &amp; Inputs'!$D$45,$C$61*'Assumptions &amp; Inputs'!$E$46/12,0)</f>
        <v>0</v>
      </c>
      <c r="AD61" s="1068">
        <f>IF(AD6&gt;='Assumptions &amp; Inputs'!$D$45,$C$61*'Assumptions &amp; Inputs'!$E$46/12,0)</f>
        <v>0</v>
      </c>
      <c r="AE61" s="1068">
        <f>IF(AE6&gt;='Assumptions &amp; Inputs'!$D$45,$C$61*'Assumptions &amp; Inputs'!$E$46/12,0)</f>
        <v>0</v>
      </c>
      <c r="AF61" s="1068">
        <f>IF(AF6&gt;='Assumptions &amp; Inputs'!$D$45,$C$61*'Assumptions &amp; Inputs'!$E$46/12,0)</f>
        <v>0</v>
      </c>
      <c r="AG61" s="1068">
        <f>IF(AG6&gt;='Assumptions &amp; Inputs'!$D$45,$C$61*'Assumptions &amp; Inputs'!$E$46/12,0)</f>
        <v>0</v>
      </c>
      <c r="AH61" s="1068">
        <f>IF(AH6&gt;='Assumptions &amp; Inputs'!$D$45,$C$61*'Assumptions &amp; Inputs'!$E$46/12,0)</f>
        <v>0</v>
      </c>
      <c r="AI61" s="1068">
        <f>IF(AI6&gt;='Assumptions &amp; Inputs'!$D$45,$C$61*'Assumptions &amp; Inputs'!$E$46/12,0)</f>
        <v>0</v>
      </c>
      <c r="AJ61" s="1068">
        <f>IF(AJ6&gt;='Assumptions &amp; Inputs'!$D$45,$C$61*'Assumptions &amp; Inputs'!$E$46/12,0)</f>
        <v>0</v>
      </c>
      <c r="AK61" s="1068">
        <f>IF(AK6&gt;='Assumptions &amp; Inputs'!$D$45,$C$61*'Assumptions &amp; Inputs'!$E$46/12,0)</f>
        <v>7253.645833333333</v>
      </c>
      <c r="AL61" s="1068">
        <f>IF(AL6&gt;='Assumptions &amp; Inputs'!$D$45,$C$61*'Assumptions &amp; Inputs'!$E$46/12,0)</f>
        <v>7253.645833333333</v>
      </c>
      <c r="AM61" s="1068">
        <f>IF(AM6&gt;='Assumptions &amp; Inputs'!$D$45,$C$61*'Assumptions &amp; Inputs'!$E$46/12,0)</f>
        <v>7253.645833333333</v>
      </c>
      <c r="AN61" s="1068">
        <f>IF(AN6&gt;='Assumptions &amp; Inputs'!$D$45,$C$61*'Assumptions &amp; Inputs'!$E$46/12,0)</f>
        <v>7253.645833333333</v>
      </c>
      <c r="AO61" s="1068">
        <f>IF(AO6&gt;='Assumptions &amp; Inputs'!$D$45,$C$61*'Assumptions &amp; Inputs'!$E$46/12,0)</f>
        <v>7253.645833333333</v>
      </c>
      <c r="AP61" s="1068">
        <f>IF(AP6&gt;='Assumptions &amp; Inputs'!$D$45,$C$61*'Assumptions &amp; Inputs'!$E$46/12,0)</f>
        <v>7253.645833333333</v>
      </c>
      <c r="AQ61" s="1068">
        <f>IF(AQ6&gt;='Assumptions &amp; Inputs'!$D$45,$C$61*'Assumptions &amp; Inputs'!$E$46/12,0)</f>
        <v>7253.645833333333</v>
      </c>
      <c r="AR61" s="1068">
        <f>IF(AR6&gt;='Assumptions &amp; Inputs'!$D$45,$C$61*'Assumptions &amp; Inputs'!$E$46/12,0)</f>
        <v>7253.645833333333</v>
      </c>
      <c r="AS61" s="1068">
        <f>IF(AS6&gt;='Assumptions &amp; Inputs'!$D$45,$C$61*'Assumptions &amp; Inputs'!$E$46/12,0)</f>
        <v>7253.645833333333</v>
      </c>
      <c r="AT61" s="1068">
        <f>IF(AT6&gt;='Assumptions &amp; Inputs'!$D$45,$C$61*'Assumptions &amp; Inputs'!$E$46/12,0)</f>
        <v>7253.645833333333</v>
      </c>
      <c r="AU61" s="1068">
        <f>IF(AU6&gt;='Assumptions &amp; Inputs'!$D$45,$C$61*'Assumptions &amp; Inputs'!$E$46/12,0)</f>
        <v>7253.645833333333</v>
      </c>
      <c r="AV61" s="1068">
        <f>IF(AV6&gt;='Assumptions &amp; Inputs'!$D$45,$C$61*'Assumptions &amp; Inputs'!$E$46/12,0)</f>
        <v>7253.645833333333</v>
      </c>
      <c r="AW61" s="1068">
        <f>IF(AW6&gt;='Assumptions &amp; Inputs'!$D$45,$C$61*'Assumptions &amp; Inputs'!$E$46/12,0)</f>
        <v>7253.645833333333</v>
      </c>
      <c r="AX61" s="1068">
        <f>IF(AX6&gt;='Assumptions &amp; Inputs'!$D$45,$C$61*'Assumptions &amp; Inputs'!$E$46/12,0)</f>
        <v>7253.645833333333</v>
      </c>
      <c r="AY61" s="1068">
        <f>IF(AY6&gt;='Assumptions &amp; Inputs'!$D$45,$C$61*'Assumptions &amp; Inputs'!$E$46/12,0)</f>
        <v>7253.645833333333</v>
      </c>
      <c r="AZ61" s="1068">
        <f>IF(AZ6&gt;='Assumptions &amp; Inputs'!$D$45,$C$61*'Assumptions &amp; Inputs'!$E$46/12,0)</f>
        <v>7253.645833333333</v>
      </c>
      <c r="BA61" s="1068">
        <f>IF(BA6&gt;='Assumptions &amp; Inputs'!$D$45,$C$61*'Assumptions &amp; Inputs'!$E$46/12,0)</f>
        <v>7253.645833333333</v>
      </c>
      <c r="BB61" s="1068">
        <f>IF(BB6&gt;='Assumptions &amp; Inputs'!$D$45,$C$61*'Assumptions &amp; Inputs'!$E$46/12,0)</f>
        <v>7253.645833333333</v>
      </c>
      <c r="BC61" s="1068">
        <f>IF(BC6&gt;='Assumptions &amp; Inputs'!$D$45,$C$61*'Assumptions &amp; Inputs'!$E$46/12,0)</f>
        <v>7253.645833333333</v>
      </c>
      <c r="BD61" s="1068">
        <f>IF(BD6&gt;='Assumptions &amp; Inputs'!$D$45,$C$61*'Assumptions &amp; Inputs'!$E$46/12,0)</f>
        <v>7253.645833333333</v>
      </c>
      <c r="BE61" s="1068">
        <f>IF(BE6&gt;='Assumptions &amp; Inputs'!$D$45,$C$61*'Assumptions &amp; Inputs'!$E$46/12,0)</f>
        <v>7253.645833333333</v>
      </c>
      <c r="BF61" s="1068">
        <f>IF(BF6&gt;='Assumptions &amp; Inputs'!$D$45,$C$61*'Assumptions &amp; Inputs'!$E$46/12,0)</f>
        <v>7253.645833333333</v>
      </c>
      <c r="BG61" s="1068">
        <f>IF(BG6&gt;='Assumptions &amp; Inputs'!$D$45,$C$61*'Assumptions &amp; Inputs'!$E$46/12,0)</f>
        <v>7253.645833333333</v>
      </c>
      <c r="BH61" s="1068">
        <f>IF(BH6&gt;='Assumptions &amp; Inputs'!$D$45,$C$61*'Assumptions &amp; Inputs'!$E$46/12,0)</f>
        <v>7253.645833333333</v>
      </c>
      <c r="BI61" s="1068">
        <f>IF(BI6&gt;='Assumptions &amp; Inputs'!$D$45,$C$61*'Assumptions &amp; Inputs'!$E$46/12,0)</f>
        <v>7253.645833333333</v>
      </c>
      <c r="BJ61" s="1068">
        <f>IF(BJ6&gt;='Assumptions &amp; Inputs'!$D$45,$C$61*'Assumptions &amp; Inputs'!$E$46/12,0)</f>
        <v>7253.645833333333</v>
      </c>
      <c r="BK61" s="1068">
        <f>IF(BK6&gt;='Assumptions &amp; Inputs'!$D$45,$C$61*'Assumptions &amp; Inputs'!$E$46/12,0)</f>
        <v>7253.645833333333</v>
      </c>
      <c r="BL61" s="1068">
        <f>IF(BL6&gt;='Assumptions &amp; Inputs'!$D$45,$C$61*'Assumptions &amp; Inputs'!$E$46/12,0)</f>
        <v>7253.645833333333</v>
      </c>
      <c r="BM61" s="1068">
        <f>IF(BM6&gt;='Assumptions &amp; Inputs'!$D$45,$C$61*'Assumptions &amp; Inputs'!$E$46/12,0)</f>
        <v>7253.645833333333</v>
      </c>
      <c r="BN61" s="1068">
        <f>IF(BN6&gt;='Assumptions &amp; Inputs'!$D$45,$C$61*'Assumptions &amp; Inputs'!$E$46/12,0)</f>
        <v>7253.645833333333</v>
      </c>
      <c r="BO61" s="1068">
        <f>IF(BO6&gt;='Assumptions &amp; Inputs'!$D$45,$C$61*'Assumptions &amp; Inputs'!$E$46/12,0)</f>
        <v>7253.645833333333</v>
      </c>
      <c r="BP61" s="1068">
        <f>IF(BP6&gt;='Assumptions &amp; Inputs'!$D$45,$C$61*'Assumptions &amp; Inputs'!$E$46/12,0)</f>
        <v>7253.645833333333</v>
      </c>
      <c r="BQ61" s="1068">
        <f>IF(BQ6&gt;='Assumptions &amp; Inputs'!$D$45,$C$61*'Assumptions &amp; Inputs'!$E$46/12,0)</f>
        <v>7253.645833333333</v>
      </c>
      <c r="BR61" s="1068">
        <f>IF(BR6&gt;='Assumptions &amp; Inputs'!$D$45,$C$61*'Assumptions &amp; Inputs'!$E$46/12,0)</f>
        <v>7253.645833333333</v>
      </c>
      <c r="BS61" s="1068">
        <f>IF(BS6&gt;='Assumptions &amp; Inputs'!$D$45,$C$61*'Assumptions &amp; Inputs'!$E$46/12,0)</f>
        <v>7253.645833333333</v>
      </c>
      <c r="BT61" s="1068">
        <f>IF(BT6&gt;='Assumptions &amp; Inputs'!$D$45,$C$61*'Assumptions &amp; Inputs'!$E$46/12,0)</f>
        <v>7253.645833333333</v>
      </c>
      <c r="BU61" s="1068">
        <f>IF(BU6&gt;='Assumptions &amp; Inputs'!$D$45,$C$61*'Assumptions &amp; Inputs'!$E$46/12,0)</f>
        <v>7253.645833333333</v>
      </c>
      <c r="BV61" s="1068">
        <f>IF(BV6&gt;='Assumptions &amp; Inputs'!$D$45,$C$61*'Assumptions &amp; Inputs'!$E$46/12,0)</f>
        <v>7253.645833333333</v>
      </c>
      <c r="BW61" s="1068">
        <f>IF(BW6&gt;='Assumptions &amp; Inputs'!$D$45,$C$61*'Assumptions &amp; Inputs'!$E$46/12,0)</f>
        <v>7253.645833333333</v>
      </c>
      <c r="BX61" s="1068">
        <f>IF(BX6&gt;='Assumptions &amp; Inputs'!$D$45,$C$61*'Assumptions &amp; Inputs'!$E$46/12,0)</f>
        <v>7253.645833333333</v>
      </c>
      <c r="BY61" s="1068">
        <f>IF(BY6&gt;='Assumptions &amp; Inputs'!$D$45,$C$61*'Assumptions &amp; Inputs'!$E$46/12,0)</f>
        <v>7253.645833333333</v>
      </c>
      <c r="BZ61" s="1068">
        <f>IF(BZ6&gt;='Assumptions &amp; Inputs'!$D$45,$C$61*'Assumptions &amp; Inputs'!$E$46/12,0)</f>
        <v>7253.645833333333</v>
      </c>
      <c r="CA61" s="1068">
        <f>IF(CA6&gt;='Assumptions &amp; Inputs'!$D$45,$C$61*'Assumptions &amp; Inputs'!$E$46/12,0)</f>
        <v>7253.645833333333</v>
      </c>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row>
    <row r="62" spans="1:316" s="1063" customFormat="1">
      <c r="B62" s="1066" t="s">
        <v>83</v>
      </c>
      <c r="G62" s="1069">
        <f t="shared" ref="G62:AL62" si="116">G61/$C61*12</f>
        <v>0</v>
      </c>
      <c r="H62" s="1069">
        <f t="shared" si="116"/>
        <v>0</v>
      </c>
      <c r="I62" s="1069">
        <f t="shared" si="116"/>
        <v>0</v>
      </c>
      <c r="J62" s="1069">
        <f t="shared" si="116"/>
        <v>0</v>
      </c>
      <c r="K62" s="1069">
        <f t="shared" si="116"/>
        <v>0</v>
      </c>
      <c r="L62" s="1069">
        <f t="shared" si="116"/>
        <v>0</v>
      </c>
      <c r="M62" s="1069">
        <f t="shared" si="116"/>
        <v>0</v>
      </c>
      <c r="N62" s="1069">
        <f t="shared" si="116"/>
        <v>0</v>
      </c>
      <c r="O62" s="1069">
        <f t="shared" si="116"/>
        <v>0</v>
      </c>
      <c r="P62" s="1069">
        <f t="shared" si="116"/>
        <v>0</v>
      </c>
      <c r="Q62" s="1069">
        <f t="shared" si="116"/>
        <v>0</v>
      </c>
      <c r="R62" s="1069">
        <f t="shared" si="116"/>
        <v>0</v>
      </c>
      <c r="S62" s="1069">
        <f t="shared" si="116"/>
        <v>0</v>
      </c>
      <c r="T62" s="1069">
        <f t="shared" si="116"/>
        <v>0</v>
      </c>
      <c r="U62" s="1069">
        <f t="shared" si="116"/>
        <v>0</v>
      </c>
      <c r="V62" s="1069">
        <f t="shared" si="116"/>
        <v>0</v>
      </c>
      <c r="W62" s="1069">
        <f t="shared" si="116"/>
        <v>0</v>
      </c>
      <c r="X62" s="1069">
        <f t="shared" si="116"/>
        <v>0</v>
      </c>
      <c r="Y62" s="1069">
        <f t="shared" si="116"/>
        <v>0</v>
      </c>
      <c r="Z62" s="1069">
        <f t="shared" si="116"/>
        <v>0</v>
      </c>
      <c r="AA62" s="1069">
        <f t="shared" si="116"/>
        <v>0</v>
      </c>
      <c r="AB62" s="1069">
        <f t="shared" si="116"/>
        <v>0</v>
      </c>
      <c r="AC62" s="1069">
        <f t="shared" si="116"/>
        <v>0</v>
      </c>
      <c r="AD62" s="1069">
        <f t="shared" si="116"/>
        <v>0</v>
      </c>
      <c r="AE62" s="1069">
        <f t="shared" si="116"/>
        <v>0</v>
      </c>
      <c r="AF62" s="1069">
        <f t="shared" si="116"/>
        <v>0</v>
      </c>
      <c r="AG62" s="1069">
        <f t="shared" si="116"/>
        <v>0</v>
      </c>
      <c r="AH62" s="1069">
        <f t="shared" si="116"/>
        <v>0</v>
      </c>
      <c r="AI62" s="1069">
        <f t="shared" si="116"/>
        <v>0</v>
      </c>
      <c r="AJ62" s="1069">
        <f t="shared" si="116"/>
        <v>0</v>
      </c>
      <c r="AK62" s="1069">
        <f t="shared" si="116"/>
        <v>24.999999999999996</v>
      </c>
      <c r="AL62" s="1069">
        <f t="shared" si="116"/>
        <v>24.999999999999996</v>
      </c>
      <c r="AM62" s="1069">
        <f t="shared" ref="AM62:BR62" si="117">AM61/$C61*12</f>
        <v>24.999999999999996</v>
      </c>
      <c r="AN62" s="1069">
        <f t="shared" si="117"/>
        <v>24.999999999999996</v>
      </c>
      <c r="AO62" s="1069">
        <f t="shared" si="117"/>
        <v>24.999999999999996</v>
      </c>
      <c r="AP62" s="1069">
        <f t="shared" si="117"/>
        <v>24.999999999999996</v>
      </c>
      <c r="AQ62" s="1069">
        <f t="shared" si="117"/>
        <v>24.999999999999996</v>
      </c>
      <c r="AR62" s="1069">
        <f t="shared" si="117"/>
        <v>24.999999999999996</v>
      </c>
      <c r="AS62" s="1069">
        <f t="shared" si="117"/>
        <v>24.999999999999996</v>
      </c>
      <c r="AT62" s="1069">
        <f t="shared" si="117"/>
        <v>24.999999999999996</v>
      </c>
      <c r="AU62" s="1069">
        <f t="shared" si="117"/>
        <v>24.999999999999996</v>
      </c>
      <c r="AV62" s="1069">
        <f t="shared" si="117"/>
        <v>24.999999999999996</v>
      </c>
      <c r="AW62" s="1069">
        <f t="shared" si="117"/>
        <v>24.999999999999996</v>
      </c>
      <c r="AX62" s="1069">
        <f t="shared" si="117"/>
        <v>24.999999999999996</v>
      </c>
      <c r="AY62" s="1069">
        <f t="shared" si="117"/>
        <v>24.999999999999996</v>
      </c>
      <c r="AZ62" s="1069">
        <f t="shared" si="117"/>
        <v>24.999999999999996</v>
      </c>
      <c r="BA62" s="1069">
        <f t="shared" si="117"/>
        <v>24.999999999999996</v>
      </c>
      <c r="BB62" s="1069">
        <f t="shared" si="117"/>
        <v>24.999999999999996</v>
      </c>
      <c r="BC62" s="1069">
        <f t="shared" si="117"/>
        <v>24.999999999999996</v>
      </c>
      <c r="BD62" s="1069">
        <f t="shared" si="117"/>
        <v>24.999999999999996</v>
      </c>
      <c r="BE62" s="1069">
        <f t="shared" si="117"/>
        <v>24.999999999999996</v>
      </c>
      <c r="BF62" s="1069">
        <f t="shared" si="117"/>
        <v>24.999999999999996</v>
      </c>
      <c r="BG62" s="1069">
        <f t="shared" si="117"/>
        <v>24.999999999999996</v>
      </c>
      <c r="BH62" s="1069">
        <f t="shared" si="117"/>
        <v>24.999999999999996</v>
      </c>
      <c r="BI62" s="1069">
        <f t="shared" si="117"/>
        <v>24.999999999999996</v>
      </c>
      <c r="BJ62" s="1069">
        <f t="shared" si="117"/>
        <v>24.999999999999996</v>
      </c>
      <c r="BK62" s="1069">
        <f t="shared" si="117"/>
        <v>24.999999999999996</v>
      </c>
      <c r="BL62" s="1069">
        <f t="shared" si="117"/>
        <v>24.999999999999996</v>
      </c>
      <c r="BM62" s="1069">
        <f t="shared" si="117"/>
        <v>24.999999999999996</v>
      </c>
      <c r="BN62" s="1069">
        <f t="shared" si="117"/>
        <v>24.999999999999996</v>
      </c>
      <c r="BO62" s="1069">
        <f t="shared" si="117"/>
        <v>24.999999999999996</v>
      </c>
      <c r="BP62" s="1069">
        <f t="shared" si="117"/>
        <v>24.999999999999996</v>
      </c>
      <c r="BQ62" s="1069">
        <f t="shared" si="117"/>
        <v>24.999999999999996</v>
      </c>
      <c r="BR62" s="1069">
        <f t="shared" si="117"/>
        <v>24.999999999999996</v>
      </c>
      <c r="BS62" s="1069">
        <f t="shared" ref="BS62:CA62" si="118">BS61/$C61*12</f>
        <v>24.999999999999996</v>
      </c>
      <c r="BT62" s="1069">
        <f t="shared" si="118"/>
        <v>24.999999999999996</v>
      </c>
      <c r="BU62" s="1069">
        <f t="shared" si="118"/>
        <v>24.999999999999996</v>
      </c>
      <c r="BV62" s="1069">
        <f t="shared" si="118"/>
        <v>24.999999999999996</v>
      </c>
      <c r="BW62" s="1069">
        <f t="shared" si="118"/>
        <v>24.999999999999996</v>
      </c>
      <c r="BX62" s="1069">
        <f t="shared" si="118"/>
        <v>24.999999999999996</v>
      </c>
      <c r="BY62" s="1069">
        <f t="shared" si="118"/>
        <v>24.999999999999996</v>
      </c>
      <c r="BZ62" s="1069">
        <f t="shared" si="118"/>
        <v>24.999999999999996</v>
      </c>
      <c r="CA62" s="1069">
        <f t="shared" si="118"/>
        <v>24.999999999999996</v>
      </c>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row>
    <row r="63" spans="1:316" s="1063" customFormat="1">
      <c r="B63" s="1066" t="s">
        <v>90</v>
      </c>
      <c r="C63" s="1067">
        <f>'Assumptions &amp; Inputs'!E29</f>
        <v>3527.35</v>
      </c>
      <c r="D63" s="1067"/>
      <c r="G63" s="1068">
        <f>IF(G6&gt;='Assumptions &amp; Inputs'!$D$50,$C$63*'Assumptions &amp; Inputs'!$E$51/12,0)</f>
        <v>0</v>
      </c>
      <c r="H63" s="1068">
        <f>IF(H6&gt;='Assumptions &amp; Inputs'!$D$50,$C$63*'Assumptions &amp; Inputs'!$E$51/12,0)</f>
        <v>0</v>
      </c>
      <c r="I63" s="1068">
        <f>IF(I6&gt;='Assumptions &amp; Inputs'!$D$50,$C$63*'Assumptions &amp; Inputs'!$E$51/12,0)</f>
        <v>0</v>
      </c>
      <c r="J63" s="1068">
        <f>IF(J6&gt;='Assumptions &amp; Inputs'!$D$50,$C$63*'Assumptions &amp; Inputs'!$E$51/12,0)</f>
        <v>0</v>
      </c>
      <c r="K63" s="1068">
        <f>IF(K6&gt;='Assumptions &amp; Inputs'!$D$50,$C$63*'Assumptions &amp; Inputs'!$E$51/12,0)</f>
        <v>0</v>
      </c>
      <c r="L63" s="1068">
        <f>IF(L6&gt;='Assumptions &amp; Inputs'!$D$50,$C$63*'Assumptions &amp; Inputs'!$E$51/12,0)</f>
        <v>0</v>
      </c>
      <c r="M63" s="1068">
        <f>IF(M6&gt;='Assumptions &amp; Inputs'!$D$50,$C$63*'Assumptions &amp; Inputs'!$E$51/12,0)</f>
        <v>0</v>
      </c>
      <c r="N63" s="1068">
        <f>IF(N6&gt;='Assumptions &amp; Inputs'!$D$50,$C$63*'Assumptions &amp; Inputs'!$E$51/12,0)</f>
        <v>0</v>
      </c>
      <c r="O63" s="1068">
        <f>IF(O6&gt;='Assumptions &amp; Inputs'!$D$50,$C$63*'Assumptions &amp; Inputs'!$E$51/12,0)</f>
        <v>0</v>
      </c>
      <c r="P63" s="1068">
        <f>IF(P6&gt;='Assumptions &amp; Inputs'!$D$50,$C$63*'Assumptions &amp; Inputs'!$E$51/12,0)</f>
        <v>0</v>
      </c>
      <c r="Q63" s="1068">
        <f>IF(Q6&gt;='Assumptions &amp; Inputs'!$D$50,$C$63*'Assumptions &amp; Inputs'!$E$51/12,0)</f>
        <v>0</v>
      </c>
      <c r="R63" s="1068">
        <f>IF(R6&gt;='Assumptions &amp; Inputs'!$D$50,$C$63*'Assumptions &amp; Inputs'!$E$51/12,0)</f>
        <v>0</v>
      </c>
      <c r="S63" s="1068">
        <f>IF(S6&gt;='Assumptions &amp; Inputs'!$D$50,$C$63*'Assumptions &amp; Inputs'!$E$51/12,0)</f>
        <v>0</v>
      </c>
      <c r="T63" s="1068">
        <f>IF(T6&gt;='Assumptions &amp; Inputs'!$D$50,$C$63*'Assumptions &amp; Inputs'!$E$51/12,0)</f>
        <v>0</v>
      </c>
      <c r="U63" s="1068">
        <f>IF(U6&gt;='Assumptions &amp; Inputs'!$D$50,$C$63*'Assumptions &amp; Inputs'!$E$51/12,0)</f>
        <v>0</v>
      </c>
      <c r="V63" s="1068">
        <f>IF(V6&gt;='Assumptions &amp; Inputs'!$D$50,$C$63*'Assumptions &amp; Inputs'!$E$51/12,0)</f>
        <v>0</v>
      </c>
      <c r="W63" s="1068">
        <f>IF(W6&gt;='Assumptions &amp; Inputs'!$D$50,$C$63*'Assumptions &amp; Inputs'!$E$51/12,0)</f>
        <v>0</v>
      </c>
      <c r="X63" s="1068">
        <f>IF(X6&gt;='Assumptions &amp; Inputs'!$D$50,$C$63*'Assumptions &amp; Inputs'!$E$51/12,0)</f>
        <v>0</v>
      </c>
      <c r="Y63" s="1068">
        <f>IF(Y6&gt;='Assumptions &amp; Inputs'!$D$50,$C$63*'Assumptions &amp; Inputs'!$E$51/12,0)</f>
        <v>0</v>
      </c>
      <c r="Z63" s="1068">
        <f>IF(Z6&gt;='Assumptions &amp; Inputs'!$D$50,$C$63*'Assumptions &amp; Inputs'!$E$51/12,0)</f>
        <v>0</v>
      </c>
      <c r="AA63" s="1068">
        <f>IF(AA6&gt;='Assumptions &amp; Inputs'!$D$50,$C$63*'Assumptions &amp; Inputs'!$E$51/12,0)</f>
        <v>0</v>
      </c>
      <c r="AB63" s="1068">
        <f>IF(AB6&gt;='Assumptions &amp; Inputs'!$D$50,$C$63*'Assumptions &amp; Inputs'!$E$51/12,0)</f>
        <v>0</v>
      </c>
      <c r="AC63" s="1068">
        <f>IF(AC6&gt;='Assumptions &amp; Inputs'!$D$50,$C$63*'Assumptions &amp; Inputs'!$E$51/12,0)</f>
        <v>0</v>
      </c>
      <c r="AD63" s="1068">
        <f>IF(AD6&gt;='Assumptions &amp; Inputs'!$D$50,$C$63*'Assumptions &amp; Inputs'!$E$51/12,0)</f>
        <v>0</v>
      </c>
      <c r="AE63" s="1068">
        <f>IF(AE6&gt;='Assumptions &amp; Inputs'!$D$50,$C$63*'Assumptions &amp; Inputs'!$E$51/12,0)</f>
        <v>0</v>
      </c>
      <c r="AF63" s="1068">
        <f>IF(AF6&gt;='Assumptions &amp; Inputs'!$D$50,$C$63*'Assumptions &amp; Inputs'!$E$51/12,0)</f>
        <v>0</v>
      </c>
      <c r="AG63" s="1068">
        <f>IF(AG6&gt;='Assumptions &amp; Inputs'!$D$50,$C$63*'Assumptions &amp; Inputs'!$E$51/12,0)</f>
        <v>0</v>
      </c>
      <c r="AH63" s="1068">
        <f>IF(AH6&gt;='Assumptions &amp; Inputs'!$D$50,$C$63*'Assumptions &amp; Inputs'!$E$51/12,0)</f>
        <v>0</v>
      </c>
      <c r="AI63" s="1068">
        <f>IF(AI6&gt;='Assumptions &amp; Inputs'!$D$50,$C$63*'Assumptions &amp; Inputs'!$E$51/12,0)</f>
        <v>0</v>
      </c>
      <c r="AJ63" s="1068">
        <f>IF(AJ6&gt;='Assumptions &amp; Inputs'!$D$50,$C$63*'Assumptions &amp; Inputs'!$E$51/12,0)</f>
        <v>0</v>
      </c>
      <c r="AK63" s="1068">
        <f>IF(AK6&gt;='Assumptions &amp; Inputs'!$D$50,$C$63*'Assumptions &amp; Inputs'!$E$51/12,0)</f>
        <v>0</v>
      </c>
      <c r="AL63" s="1068">
        <f>IF(AL6&gt;='Assumptions &amp; Inputs'!$D$50,$C$63*'Assumptions &amp; Inputs'!$E$51/12,0)</f>
        <v>0</v>
      </c>
      <c r="AM63" s="1068">
        <f>IF(AM6&gt;='Assumptions &amp; Inputs'!$D$50,$C$63*'Assumptions &amp; Inputs'!$E$51/12,0)</f>
        <v>0</v>
      </c>
      <c r="AN63" s="1068">
        <f>IF(AN6&gt;='Assumptions &amp; Inputs'!$D$50,$C$63*'Assumptions &amp; Inputs'!$E$51/12,0)</f>
        <v>0</v>
      </c>
      <c r="AO63" s="1068">
        <f>IF(AO6&gt;='Assumptions &amp; Inputs'!$D$50,$C$63*'Assumptions &amp; Inputs'!$E$51/12,0)</f>
        <v>0</v>
      </c>
      <c r="AP63" s="1068">
        <f>IF(AP6&gt;='Assumptions &amp; Inputs'!$D$50,$C$63*'Assumptions &amp; Inputs'!$E$51/12,0)</f>
        <v>0</v>
      </c>
      <c r="AQ63" s="1068">
        <f>IF(AQ6&gt;='Assumptions &amp; Inputs'!$D$50,$C$63*'Assumptions &amp; Inputs'!$E$51/12,0)</f>
        <v>5878.916666666667</v>
      </c>
      <c r="AR63" s="1068">
        <f>IF(AR6&gt;='Assumptions &amp; Inputs'!$D$50,$C$63*'Assumptions &amp; Inputs'!$E$51/12,0)</f>
        <v>5878.916666666667</v>
      </c>
      <c r="AS63" s="1068">
        <f>IF(AS6&gt;='Assumptions &amp; Inputs'!$D$50,$C$63*'Assumptions &amp; Inputs'!$E$51/12,0)</f>
        <v>5878.916666666667</v>
      </c>
      <c r="AT63" s="1068">
        <f>IF(AT6&gt;='Assumptions &amp; Inputs'!$D$50,$C$63*'Assumptions &amp; Inputs'!$E$51/12,0)</f>
        <v>5878.916666666667</v>
      </c>
      <c r="AU63" s="1068">
        <f>IF(AU6&gt;='Assumptions &amp; Inputs'!$D$50,$C$63*'Assumptions &amp; Inputs'!$E$51/12,0)</f>
        <v>5878.916666666667</v>
      </c>
      <c r="AV63" s="1068">
        <f>IF(AV6&gt;='Assumptions &amp; Inputs'!$D$50,$C$63*'Assumptions &amp; Inputs'!$E$51/12,0)</f>
        <v>5878.916666666667</v>
      </c>
      <c r="AW63" s="1068">
        <f>IF(AW6&gt;='Assumptions &amp; Inputs'!$D$50,$C$63*'Assumptions &amp; Inputs'!$E$51/12,0)</f>
        <v>5878.916666666667</v>
      </c>
      <c r="AX63" s="1068">
        <f>IF(AX6&gt;='Assumptions &amp; Inputs'!$D$50,$C$63*'Assumptions &amp; Inputs'!$E$51/12,0)</f>
        <v>5878.916666666667</v>
      </c>
      <c r="AY63" s="1068">
        <f>IF(AY6&gt;='Assumptions &amp; Inputs'!$D$50,$C$63*'Assumptions &amp; Inputs'!$E$51/12,0)</f>
        <v>5878.916666666667</v>
      </c>
      <c r="AZ63" s="1068">
        <f>IF(AZ6&gt;='Assumptions &amp; Inputs'!$D$50,$C$63*'Assumptions &amp; Inputs'!$E$51/12,0)</f>
        <v>5878.916666666667</v>
      </c>
      <c r="BA63" s="1068">
        <f>IF(BA6&gt;='Assumptions &amp; Inputs'!$D$50,$C$63*'Assumptions &amp; Inputs'!$E$51/12,0)</f>
        <v>5878.916666666667</v>
      </c>
      <c r="BB63" s="1068">
        <f>IF(BB6&gt;='Assumptions &amp; Inputs'!$D$50,$C$63*'Assumptions &amp; Inputs'!$E$51/12,0)</f>
        <v>5878.916666666667</v>
      </c>
      <c r="BC63" s="1068">
        <f>IF(BC6&gt;='Assumptions &amp; Inputs'!$D$50,$C$63*'Assumptions &amp; Inputs'!$E$51/12,0)</f>
        <v>5878.916666666667</v>
      </c>
      <c r="BD63" s="1068">
        <f>IF(BD6&gt;='Assumptions &amp; Inputs'!$D$50,$C$63*'Assumptions &amp; Inputs'!$E$51/12,0)</f>
        <v>5878.916666666667</v>
      </c>
      <c r="BE63" s="1068">
        <f>IF(BE6&gt;='Assumptions &amp; Inputs'!$D$50,$C$63*'Assumptions &amp; Inputs'!$E$51/12,0)</f>
        <v>5878.916666666667</v>
      </c>
      <c r="BF63" s="1068">
        <f>IF(BF6&gt;='Assumptions &amp; Inputs'!$D$50,$C$63*'Assumptions &amp; Inputs'!$E$51/12,0)</f>
        <v>5878.916666666667</v>
      </c>
      <c r="BG63" s="1068">
        <f>IF(BG6&gt;='Assumptions &amp; Inputs'!$D$50,$C$63*'Assumptions &amp; Inputs'!$E$51/12,0)</f>
        <v>5878.916666666667</v>
      </c>
      <c r="BH63" s="1068">
        <f>IF(BH6&gt;='Assumptions &amp; Inputs'!$D$50,$C$63*'Assumptions &amp; Inputs'!$E$51/12,0)</f>
        <v>5878.916666666667</v>
      </c>
      <c r="BI63" s="1068">
        <f>IF(BI6&gt;='Assumptions &amp; Inputs'!$D$50,$C$63*'Assumptions &amp; Inputs'!$E$51/12,0)</f>
        <v>5878.916666666667</v>
      </c>
      <c r="BJ63" s="1068">
        <f>IF(BJ6&gt;='Assumptions &amp; Inputs'!$D$50,$C$63*'Assumptions &amp; Inputs'!$E$51/12,0)</f>
        <v>5878.916666666667</v>
      </c>
      <c r="BK63" s="1068">
        <f>IF(BK6&gt;='Assumptions &amp; Inputs'!$D$50,$C$63*'Assumptions &amp; Inputs'!$E$51/12,0)</f>
        <v>5878.916666666667</v>
      </c>
      <c r="BL63" s="1068">
        <f>IF(BL6&gt;='Assumptions &amp; Inputs'!$D$50,$C$63*'Assumptions &amp; Inputs'!$E$51/12,0)</f>
        <v>5878.916666666667</v>
      </c>
      <c r="BM63" s="1068">
        <f>IF(BM6&gt;='Assumptions &amp; Inputs'!$D$50,$C$63*'Assumptions &amp; Inputs'!$E$51/12,0)</f>
        <v>5878.916666666667</v>
      </c>
      <c r="BN63" s="1068">
        <f>IF(BN6&gt;='Assumptions &amp; Inputs'!$D$50,$C$63*'Assumptions &amp; Inputs'!$E$51/12,0)</f>
        <v>5878.916666666667</v>
      </c>
      <c r="BO63" s="1068">
        <f>IF(BO6&gt;='Assumptions &amp; Inputs'!$D$50,$C$63*'Assumptions &amp; Inputs'!$E$51/12,0)</f>
        <v>5878.916666666667</v>
      </c>
      <c r="BP63" s="1068">
        <f>IF(BP6&gt;='Assumptions &amp; Inputs'!$D$50,$C$63*'Assumptions &amp; Inputs'!$E$51/12,0)</f>
        <v>5878.916666666667</v>
      </c>
      <c r="BQ63" s="1068">
        <f>IF(BQ6&gt;='Assumptions &amp; Inputs'!$D$50,$C$63*'Assumptions &amp; Inputs'!$E$51/12,0)</f>
        <v>5878.916666666667</v>
      </c>
      <c r="BR63" s="1068">
        <f>IF(BR6&gt;='Assumptions &amp; Inputs'!$D$50,$C$63*'Assumptions &amp; Inputs'!$E$51/12,0)</f>
        <v>5878.916666666667</v>
      </c>
      <c r="BS63" s="1068">
        <f>IF(BS6&gt;='Assumptions &amp; Inputs'!$D$50,$C$63*'Assumptions &amp; Inputs'!$E$51/12,0)</f>
        <v>5878.916666666667</v>
      </c>
      <c r="BT63" s="1068">
        <f>IF(BT6&gt;='Assumptions &amp; Inputs'!$D$50,$C$63*'Assumptions &amp; Inputs'!$E$51/12,0)</f>
        <v>5878.916666666667</v>
      </c>
      <c r="BU63" s="1068">
        <f>IF(BU6&gt;='Assumptions &amp; Inputs'!$D$50,$C$63*'Assumptions &amp; Inputs'!$E$51/12,0)</f>
        <v>5878.916666666667</v>
      </c>
      <c r="BV63" s="1068">
        <f>IF(BV6&gt;='Assumptions &amp; Inputs'!$D$50,$C$63*'Assumptions &amp; Inputs'!$E$51/12,0)</f>
        <v>5878.916666666667</v>
      </c>
      <c r="BW63" s="1068">
        <f>IF(BW6&gt;='Assumptions &amp; Inputs'!$D$50,$C$63*'Assumptions &amp; Inputs'!$E$51/12,0)</f>
        <v>5878.916666666667</v>
      </c>
      <c r="BX63" s="1068">
        <f>IF(BX6&gt;='Assumptions &amp; Inputs'!$D$50,$C$63*'Assumptions &amp; Inputs'!$E$51/12,0)</f>
        <v>5878.916666666667</v>
      </c>
      <c r="BY63" s="1068">
        <f>IF(BY6&gt;='Assumptions &amp; Inputs'!$D$50,$C$63*'Assumptions &amp; Inputs'!$E$51/12,0)</f>
        <v>5878.916666666667</v>
      </c>
      <c r="BZ63" s="1068">
        <f>IF(BZ6&gt;='Assumptions &amp; Inputs'!$D$50,$C$63*'Assumptions &amp; Inputs'!$E$51/12,0)</f>
        <v>5878.916666666667</v>
      </c>
      <c r="CA63" s="1068">
        <f>IF(CA6&gt;='Assumptions &amp; Inputs'!$D$50,$C$63*'Assumptions &amp; Inputs'!$E$51/12,0)</f>
        <v>5878.916666666667</v>
      </c>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row>
    <row r="64" spans="1:316" s="1063" customFormat="1">
      <c r="B64" s="1066" t="s">
        <v>89</v>
      </c>
      <c r="G64" s="1069">
        <f t="shared" ref="G64:AL64" si="119">G63/$C$63*12</f>
        <v>0</v>
      </c>
      <c r="H64" s="1069">
        <f t="shared" si="119"/>
        <v>0</v>
      </c>
      <c r="I64" s="1069">
        <f t="shared" si="119"/>
        <v>0</v>
      </c>
      <c r="J64" s="1069">
        <f t="shared" si="119"/>
        <v>0</v>
      </c>
      <c r="K64" s="1069">
        <f t="shared" si="119"/>
        <v>0</v>
      </c>
      <c r="L64" s="1069">
        <f t="shared" si="119"/>
        <v>0</v>
      </c>
      <c r="M64" s="1069">
        <f t="shared" si="119"/>
        <v>0</v>
      </c>
      <c r="N64" s="1069">
        <f t="shared" si="119"/>
        <v>0</v>
      </c>
      <c r="O64" s="1069">
        <f t="shared" si="119"/>
        <v>0</v>
      </c>
      <c r="P64" s="1069">
        <f t="shared" si="119"/>
        <v>0</v>
      </c>
      <c r="Q64" s="1069">
        <f t="shared" si="119"/>
        <v>0</v>
      </c>
      <c r="R64" s="1069">
        <f t="shared" si="119"/>
        <v>0</v>
      </c>
      <c r="S64" s="1069">
        <f t="shared" si="119"/>
        <v>0</v>
      </c>
      <c r="T64" s="1069">
        <f t="shared" si="119"/>
        <v>0</v>
      </c>
      <c r="U64" s="1069">
        <f t="shared" si="119"/>
        <v>0</v>
      </c>
      <c r="V64" s="1069">
        <f t="shared" si="119"/>
        <v>0</v>
      </c>
      <c r="W64" s="1069">
        <f t="shared" si="119"/>
        <v>0</v>
      </c>
      <c r="X64" s="1069">
        <f t="shared" si="119"/>
        <v>0</v>
      </c>
      <c r="Y64" s="1069">
        <f t="shared" si="119"/>
        <v>0</v>
      </c>
      <c r="Z64" s="1069">
        <f t="shared" si="119"/>
        <v>0</v>
      </c>
      <c r="AA64" s="1069">
        <f t="shared" si="119"/>
        <v>0</v>
      </c>
      <c r="AB64" s="1069">
        <f t="shared" si="119"/>
        <v>0</v>
      </c>
      <c r="AC64" s="1069">
        <f t="shared" si="119"/>
        <v>0</v>
      </c>
      <c r="AD64" s="1069">
        <f t="shared" si="119"/>
        <v>0</v>
      </c>
      <c r="AE64" s="1069">
        <f t="shared" si="119"/>
        <v>0</v>
      </c>
      <c r="AF64" s="1069">
        <f t="shared" si="119"/>
        <v>0</v>
      </c>
      <c r="AG64" s="1069">
        <f t="shared" si="119"/>
        <v>0</v>
      </c>
      <c r="AH64" s="1069">
        <f t="shared" si="119"/>
        <v>0</v>
      </c>
      <c r="AI64" s="1069">
        <f t="shared" si="119"/>
        <v>0</v>
      </c>
      <c r="AJ64" s="1069">
        <f t="shared" si="119"/>
        <v>0</v>
      </c>
      <c r="AK64" s="1069">
        <f t="shared" si="119"/>
        <v>0</v>
      </c>
      <c r="AL64" s="1069">
        <f t="shared" si="119"/>
        <v>0</v>
      </c>
      <c r="AM64" s="1069">
        <f t="shared" ref="AM64:BR64" si="120">AM63/$C$63*12</f>
        <v>0</v>
      </c>
      <c r="AN64" s="1069">
        <f t="shared" si="120"/>
        <v>0</v>
      </c>
      <c r="AO64" s="1069">
        <f t="shared" si="120"/>
        <v>0</v>
      </c>
      <c r="AP64" s="1069">
        <f t="shared" si="120"/>
        <v>0</v>
      </c>
      <c r="AQ64" s="1069">
        <f t="shared" si="120"/>
        <v>20</v>
      </c>
      <c r="AR64" s="1069">
        <f t="shared" si="120"/>
        <v>20</v>
      </c>
      <c r="AS64" s="1069">
        <f t="shared" si="120"/>
        <v>20</v>
      </c>
      <c r="AT64" s="1069">
        <f t="shared" si="120"/>
        <v>20</v>
      </c>
      <c r="AU64" s="1069">
        <f t="shared" si="120"/>
        <v>20</v>
      </c>
      <c r="AV64" s="1069">
        <f t="shared" si="120"/>
        <v>20</v>
      </c>
      <c r="AW64" s="1069">
        <f t="shared" si="120"/>
        <v>20</v>
      </c>
      <c r="AX64" s="1069">
        <f t="shared" si="120"/>
        <v>20</v>
      </c>
      <c r="AY64" s="1069">
        <f t="shared" si="120"/>
        <v>20</v>
      </c>
      <c r="AZ64" s="1069">
        <f t="shared" si="120"/>
        <v>20</v>
      </c>
      <c r="BA64" s="1069">
        <f t="shared" si="120"/>
        <v>20</v>
      </c>
      <c r="BB64" s="1069">
        <f t="shared" si="120"/>
        <v>20</v>
      </c>
      <c r="BC64" s="1069">
        <f t="shared" si="120"/>
        <v>20</v>
      </c>
      <c r="BD64" s="1069">
        <f t="shared" si="120"/>
        <v>20</v>
      </c>
      <c r="BE64" s="1069">
        <f t="shared" si="120"/>
        <v>20</v>
      </c>
      <c r="BF64" s="1069">
        <f t="shared" si="120"/>
        <v>20</v>
      </c>
      <c r="BG64" s="1069">
        <f t="shared" si="120"/>
        <v>20</v>
      </c>
      <c r="BH64" s="1069">
        <f t="shared" si="120"/>
        <v>20</v>
      </c>
      <c r="BI64" s="1069">
        <f t="shared" si="120"/>
        <v>20</v>
      </c>
      <c r="BJ64" s="1069">
        <f t="shared" si="120"/>
        <v>20</v>
      </c>
      <c r="BK64" s="1069">
        <f t="shared" si="120"/>
        <v>20</v>
      </c>
      <c r="BL64" s="1069">
        <f t="shared" si="120"/>
        <v>20</v>
      </c>
      <c r="BM64" s="1069">
        <f t="shared" si="120"/>
        <v>20</v>
      </c>
      <c r="BN64" s="1069">
        <f t="shared" si="120"/>
        <v>20</v>
      </c>
      <c r="BO64" s="1069">
        <f t="shared" si="120"/>
        <v>20</v>
      </c>
      <c r="BP64" s="1069">
        <f t="shared" si="120"/>
        <v>20</v>
      </c>
      <c r="BQ64" s="1069">
        <f t="shared" si="120"/>
        <v>20</v>
      </c>
      <c r="BR64" s="1069">
        <f t="shared" si="120"/>
        <v>20</v>
      </c>
      <c r="BS64" s="1069">
        <f t="shared" ref="BS64:CA64" si="121">BS63/$C$63*12</f>
        <v>20</v>
      </c>
      <c r="BT64" s="1069">
        <f t="shared" si="121"/>
        <v>20</v>
      </c>
      <c r="BU64" s="1069">
        <f t="shared" si="121"/>
        <v>20</v>
      </c>
      <c r="BV64" s="1069">
        <f t="shared" si="121"/>
        <v>20</v>
      </c>
      <c r="BW64" s="1069">
        <f t="shared" si="121"/>
        <v>20</v>
      </c>
      <c r="BX64" s="1069">
        <f t="shared" si="121"/>
        <v>20</v>
      </c>
      <c r="BY64" s="1069">
        <f t="shared" si="121"/>
        <v>20</v>
      </c>
      <c r="BZ64" s="1069">
        <f t="shared" si="121"/>
        <v>20</v>
      </c>
      <c r="CA64" s="1069">
        <f t="shared" si="121"/>
        <v>20</v>
      </c>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row>
    <row r="65" spans="2:316" s="1063" customFormat="1" ht="6" customHeight="1">
      <c r="B65" s="1066"/>
      <c r="G65" s="1070"/>
      <c r="H65" s="1070"/>
      <c r="I65" s="1070"/>
      <c r="J65" s="1070"/>
      <c r="K65" s="1070"/>
      <c r="L65" s="1070"/>
      <c r="M65" s="1070"/>
      <c r="N65" s="1070"/>
      <c r="O65" s="1070"/>
      <c r="P65" s="1070"/>
      <c r="Q65" s="1070"/>
      <c r="R65" s="1070"/>
      <c r="S65" s="1070"/>
      <c r="T65" s="1070"/>
      <c r="U65" s="1070"/>
      <c r="V65" s="1070"/>
      <c r="W65" s="1070"/>
      <c r="X65" s="1070"/>
      <c r="Y65" s="1070"/>
      <c r="Z65" s="1070"/>
      <c r="AA65" s="1070"/>
      <c r="AB65" s="1070"/>
      <c r="AC65" s="1070"/>
      <c r="AD65" s="1070"/>
      <c r="AE65" s="1070"/>
      <c r="AF65" s="1070"/>
      <c r="AG65" s="1070"/>
      <c r="AH65" s="1070"/>
      <c r="AI65" s="1070"/>
      <c r="AJ65" s="1070"/>
      <c r="AK65" s="1070"/>
      <c r="AL65" s="1070"/>
      <c r="AM65" s="1070"/>
      <c r="AN65" s="1070"/>
      <c r="AO65" s="1070"/>
      <c r="AP65" s="1070"/>
      <c r="AQ65" s="1070"/>
      <c r="AR65" s="1070"/>
      <c r="AS65" s="1070"/>
      <c r="AT65" s="1070"/>
      <c r="AU65" s="1070"/>
      <c r="AV65" s="1070"/>
      <c r="AW65" s="1070"/>
      <c r="AX65" s="1070"/>
      <c r="AY65" s="1070"/>
      <c r="AZ65" s="1070"/>
      <c r="BA65" s="1070"/>
      <c r="BB65" s="1070"/>
      <c r="BC65" s="1070"/>
      <c r="BD65" s="1070"/>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row>
    <row r="66" spans="2:316" s="1063" customFormat="1">
      <c r="B66" s="1071" t="s">
        <v>91</v>
      </c>
      <c r="C66" s="1072"/>
      <c r="D66" s="1072"/>
      <c r="E66" s="1072"/>
      <c r="F66" s="1072"/>
      <c r="G66" s="1073">
        <f>G61+G63</f>
        <v>0</v>
      </c>
      <c r="H66" s="1073">
        <f t="shared" ref="H66:BS66" si="122">H61+H63</f>
        <v>0</v>
      </c>
      <c r="I66" s="1073">
        <f t="shared" si="122"/>
        <v>0</v>
      </c>
      <c r="J66" s="1073">
        <f t="shared" si="122"/>
        <v>0</v>
      </c>
      <c r="K66" s="1073">
        <f t="shared" si="122"/>
        <v>0</v>
      </c>
      <c r="L66" s="1073">
        <f t="shared" si="122"/>
        <v>0</v>
      </c>
      <c r="M66" s="1073">
        <f t="shared" si="122"/>
        <v>0</v>
      </c>
      <c r="N66" s="1073">
        <f t="shared" si="122"/>
        <v>0</v>
      </c>
      <c r="O66" s="1073">
        <f t="shared" si="122"/>
        <v>0</v>
      </c>
      <c r="P66" s="1073">
        <f t="shared" si="122"/>
        <v>0</v>
      </c>
      <c r="Q66" s="1073">
        <f t="shared" si="122"/>
        <v>0</v>
      </c>
      <c r="R66" s="1073">
        <f t="shared" si="122"/>
        <v>0</v>
      </c>
      <c r="S66" s="1073">
        <f t="shared" si="122"/>
        <v>0</v>
      </c>
      <c r="T66" s="1073">
        <f t="shared" si="122"/>
        <v>0</v>
      </c>
      <c r="U66" s="1073">
        <f t="shared" si="122"/>
        <v>0</v>
      </c>
      <c r="V66" s="1073">
        <f t="shared" si="122"/>
        <v>0</v>
      </c>
      <c r="W66" s="1073">
        <f t="shared" si="122"/>
        <v>0</v>
      </c>
      <c r="X66" s="1073">
        <f t="shared" si="122"/>
        <v>0</v>
      </c>
      <c r="Y66" s="1073">
        <f t="shared" si="122"/>
        <v>0</v>
      </c>
      <c r="Z66" s="1073">
        <f t="shared" si="122"/>
        <v>0</v>
      </c>
      <c r="AA66" s="1073">
        <f t="shared" si="122"/>
        <v>0</v>
      </c>
      <c r="AB66" s="1073">
        <f t="shared" si="122"/>
        <v>0</v>
      </c>
      <c r="AC66" s="1073">
        <f t="shared" si="122"/>
        <v>0</v>
      </c>
      <c r="AD66" s="1073">
        <f t="shared" si="122"/>
        <v>0</v>
      </c>
      <c r="AE66" s="1073">
        <f t="shared" si="122"/>
        <v>0</v>
      </c>
      <c r="AF66" s="1073">
        <f t="shared" si="122"/>
        <v>0</v>
      </c>
      <c r="AG66" s="1073">
        <f t="shared" si="122"/>
        <v>0</v>
      </c>
      <c r="AH66" s="1073">
        <f t="shared" si="122"/>
        <v>0</v>
      </c>
      <c r="AI66" s="1073">
        <f t="shared" si="122"/>
        <v>0</v>
      </c>
      <c r="AJ66" s="1073">
        <f t="shared" si="122"/>
        <v>0</v>
      </c>
      <c r="AK66" s="1073">
        <f t="shared" si="122"/>
        <v>7253.645833333333</v>
      </c>
      <c r="AL66" s="1073">
        <f t="shared" si="122"/>
        <v>7253.645833333333</v>
      </c>
      <c r="AM66" s="1073">
        <f t="shared" si="122"/>
        <v>7253.645833333333</v>
      </c>
      <c r="AN66" s="1073">
        <f t="shared" si="122"/>
        <v>7253.645833333333</v>
      </c>
      <c r="AO66" s="1073">
        <f t="shared" si="122"/>
        <v>7253.645833333333</v>
      </c>
      <c r="AP66" s="1073">
        <f t="shared" si="122"/>
        <v>7253.645833333333</v>
      </c>
      <c r="AQ66" s="1073">
        <f t="shared" si="122"/>
        <v>13132.5625</v>
      </c>
      <c r="AR66" s="1073">
        <f t="shared" si="122"/>
        <v>13132.5625</v>
      </c>
      <c r="AS66" s="1073">
        <f t="shared" si="122"/>
        <v>13132.5625</v>
      </c>
      <c r="AT66" s="1073">
        <f t="shared" si="122"/>
        <v>13132.5625</v>
      </c>
      <c r="AU66" s="1073">
        <f t="shared" si="122"/>
        <v>13132.5625</v>
      </c>
      <c r="AV66" s="1073">
        <f t="shared" si="122"/>
        <v>13132.5625</v>
      </c>
      <c r="AW66" s="1073">
        <f t="shared" si="122"/>
        <v>13132.5625</v>
      </c>
      <c r="AX66" s="1073">
        <f t="shared" si="122"/>
        <v>13132.5625</v>
      </c>
      <c r="AY66" s="1073">
        <f t="shared" si="122"/>
        <v>13132.5625</v>
      </c>
      <c r="AZ66" s="1073">
        <f t="shared" si="122"/>
        <v>13132.5625</v>
      </c>
      <c r="BA66" s="1073">
        <f t="shared" si="122"/>
        <v>13132.5625</v>
      </c>
      <c r="BB66" s="1073">
        <f t="shared" si="122"/>
        <v>13132.5625</v>
      </c>
      <c r="BC66" s="1073">
        <f t="shared" si="122"/>
        <v>13132.5625</v>
      </c>
      <c r="BD66" s="1073">
        <f t="shared" si="122"/>
        <v>13132.5625</v>
      </c>
      <c r="BE66" s="1073">
        <f t="shared" si="122"/>
        <v>13132.5625</v>
      </c>
      <c r="BF66" s="1073">
        <f t="shared" si="122"/>
        <v>13132.5625</v>
      </c>
      <c r="BG66" s="1073">
        <f t="shared" si="122"/>
        <v>13132.5625</v>
      </c>
      <c r="BH66" s="1073">
        <f t="shared" si="122"/>
        <v>13132.5625</v>
      </c>
      <c r="BI66" s="1073">
        <f t="shared" si="122"/>
        <v>13132.5625</v>
      </c>
      <c r="BJ66" s="1073">
        <f t="shared" si="122"/>
        <v>13132.5625</v>
      </c>
      <c r="BK66" s="1073">
        <f t="shared" si="122"/>
        <v>13132.5625</v>
      </c>
      <c r="BL66" s="1073">
        <f t="shared" si="122"/>
        <v>13132.5625</v>
      </c>
      <c r="BM66" s="1073">
        <f t="shared" si="122"/>
        <v>13132.5625</v>
      </c>
      <c r="BN66" s="1073">
        <f t="shared" si="122"/>
        <v>13132.5625</v>
      </c>
      <c r="BO66" s="1073">
        <f t="shared" si="122"/>
        <v>13132.5625</v>
      </c>
      <c r="BP66" s="1073">
        <f t="shared" si="122"/>
        <v>13132.5625</v>
      </c>
      <c r="BQ66" s="1073">
        <f t="shared" si="122"/>
        <v>13132.5625</v>
      </c>
      <c r="BR66" s="1073">
        <f t="shared" si="122"/>
        <v>13132.5625</v>
      </c>
      <c r="BS66" s="1073">
        <f t="shared" si="122"/>
        <v>13132.5625</v>
      </c>
      <c r="BT66" s="1073">
        <f t="shared" ref="BT66:CA66" si="123">BT61+BT63</f>
        <v>13132.5625</v>
      </c>
      <c r="BU66" s="1073">
        <f t="shared" si="123"/>
        <v>13132.5625</v>
      </c>
      <c r="BV66" s="1073">
        <f t="shared" si="123"/>
        <v>13132.5625</v>
      </c>
      <c r="BW66" s="1073">
        <f t="shared" si="123"/>
        <v>13132.5625</v>
      </c>
      <c r="BX66" s="1073">
        <f t="shared" si="123"/>
        <v>13132.5625</v>
      </c>
      <c r="BY66" s="1073">
        <f t="shared" si="123"/>
        <v>13132.5625</v>
      </c>
      <c r="BZ66" s="1073">
        <f t="shared" si="123"/>
        <v>13132.5625</v>
      </c>
      <c r="CA66" s="1073">
        <f t="shared" si="123"/>
        <v>13132.5625</v>
      </c>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c r="IL66" s="13"/>
      <c r="IM66" s="13"/>
      <c r="IN66" s="13"/>
      <c r="IO66" s="13"/>
      <c r="IP66" s="13"/>
      <c r="IQ66" s="13"/>
      <c r="IR66" s="13"/>
      <c r="IS66" s="13"/>
      <c r="IT66" s="13"/>
      <c r="IU66" s="13"/>
      <c r="IV66" s="13"/>
      <c r="IW66" s="13"/>
      <c r="IX66" s="13"/>
      <c r="IY66" s="13"/>
      <c r="IZ66" s="13"/>
      <c r="JA66" s="13"/>
      <c r="JB66" s="13"/>
      <c r="JC66" s="13"/>
      <c r="JD66" s="13"/>
      <c r="JE66" s="13"/>
      <c r="JF66" s="13"/>
      <c r="JG66" s="13"/>
      <c r="JH66" s="13"/>
      <c r="JI66" s="13"/>
      <c r="JJ66" s="13"/>
      <c r="JK66" s="13"/>
      <c r="JL66" s="13"/>
      <c r="JM66" s="13"/>
      <c r="JN66" s="13"/>
      <c r="JO66" s="13"/>
      <c r="JP66" s="13"/>
      <c r="JQ66" s="13"/>
      <c r="JR66" s="13"/>
      <c r="JS66" s="13"/>
      <c r="JT66" s="13"/>
      <c r="JU66" s="13"/>
      <c r="JV66" s="13"/>
      <c r="JW66" s="13"/>
      <c r="JX66" s="13"/>
      <c r="JY66" s="13"/>
      <c r="JZ66" s="13"/>
      <c r="KA66" s="13"/>
      <c r="KB66" s="13"/>
      <c r="KC66" s="13"/>
      <c r="KD66" s="13"/>
      <c r="KE66" s="13"/>
      <c r="KF66" s="13"/>
      <c r="KG66" s="13"/>
      <c r="KH66" s="13"/>
      <c r="KI66" s="13"/>
      <c r="KJ66" s="13"/>
      <c r="KK66" s="13"/>
      <c r="KL66" s="13"/>
      <c r="KM66" s="13"/>
      <c r="KN66" s="13"/>
      <c r="KO66" s="13"/>
      <c r="KP66" s="13"/>
      <c r="KQ66" s="13"/>
      <c r="KR66" s="13"/>
      <c r="KS66" s="13"/>
      <c r="KT66" s="13"/>
      <c r="KU66" s="13"/>
      <c r="KV66" s="13"/>
      <c r="KW66" s="13"/>
      <c r="KX66" s="13"/>
      <c r="KY66" s="13"/>
      <c r="KZ66" s="13"/>
      <c r="LA66" s="13"/>
      <c r="LB66" s="13"/>
      <c r="LC66" s="13"/>
      <c r="LD66" s="13"/>
    </row>
    <row r="67" spans="2:316" s="1063" customFormat="1" ht="13.5" customHeight="1">
      <c r="B67" s="1066" t="s">
        <v>28</v>
      </c>
      <c r="C67" s="1074">
        <f>C61+C63</f>
        <v>7009.1</v>
      </c>
      <c r="D67" s="1074"/>
      <c r="G67" s="1075">
        <f t="shared" ref="G67:AL67" si="124">(G61+G63)/$C$67</f>
        <v>0</v>
      </c>
      <c r="H67" s="1075">
        <f t="shared" si="124"/>
        <v>0</v>
      </c>
      <c r="I67" s="1075">
        <f t="shared" si="124"/>
        <v>0</v>
      </c>
      <c r="J67" s="1075">
        <f t="shared" si="124"/>
        <v>0</v>
      </c>
      <c r="K67" s="1075">
        <f t="shared" si="124"/>
        <v>0</v>
      </c>
      <c r="L67" s="1075">
        <f t="shared" si="124"/>
        <v>0</v>
      </c>
      <c r="M67" s="1075">
        <f t="shared" si="124"/>
        <v>0</v>
      </c>
      <c r="N67" s="1075">
        <f t="shared" si="124"/>
        <v>0</v>
      </c>
      <c r="O67" s="1075">
        <f t="shared" si="124"/>
        <v>0</v>
      </c>
      <c r="P67" s="1075">
        <f t="shared" si="124"/>
        <v>0</v>
      </c>
      <c r="Q67" s="1075">
        <f t="shared" si="124"/>
        <v>0</v>
      </c>
      <c r="R67" s="1075">
        <f t="shared" si="124"/>
        <v>0</v>
      </c>
      <c r="S67" s="1075">
        <f t="shared" si="124"/>
        <v>0</v>
      </c>
      <c r="T67" s="1075">
        <f t="shared" si="124"/>
        <v>0</v>
      </c>
      <c r="U67" s="1075">
        <f t="shared" si="124"/>
        <v>0</v>
      </c>
      <c r="V67" s="1075">
        <f t="shared" si="124"/>
        <v>0</v>
      </c>
      <c r="W67" s="1075">
        <f t="shared" si="124"/>
        <v>0</v>
      </c>
      <c r="X67" s="1075">
        <f t="shared" si="124"/>
        <v>0</v>
      </c>
      <c r="Y67" s="1075">
        <f t="shared" si="124"/>
        <v>0</v>
      </c>
      <c r="Z67" s="1075">
        <f t="shared" si="124"/>
        <v>0</v>
      </c>
      <c r="AA67" s="1075">
        <f t="shared" si="124"/>
        <v>0</v>
      </c>
      <c r="AB67" s="1075">
        <f t="shared" si="124"/>
        <v>0</v>
      </c>
      <c r="AC67" s="1075">
        <f t="shared" si="124"/>
        <v>0</v>
      </c>
      <c r="AD67" s="1075">
        <f t="shared" si="124"/>
        <v>0</v>
      </c>
      <c r="AE67" s="1075">
        <f t="shared" si="124"/>
        <v>0</v>
      </c>
      <c r="AF67" s="1075">
        <f t="shared" si="124"/>
        <v>0</v>
      </c>
      <c r="AG67" s="1075">
        <f t="shared" si="124"/>
        <v>0</v>
      </c>
      <c r="AH67" s="1075">
        <f t="shared" si="124"/>
        <v>0</v>
      </c>
      <c r="AI67" s="1075">
        <f t="shared" si="124"/>
        <v>0</v>
      </c>
      <c r="AJ67" s="1075">
        <f t="shared" si="124"/>
        <v>0</v>
      </c>
      <c r="AK67" s="1075">
        <f t="shared" si="124"/>
        <v>1.0348897623565554</v>
      </c>
      <c r="AL67" s="1075">
        <f t="shared" si="124"/>
        <v>1.0348897623565554</v>
      </c>
      <c r="AM67" s="1075">
        <f t="shared" ref="AM67:BR67" si="125">(AM61+AM63)/$C$67</f>
        <v>1.0348897623565554</v>
      </c>
      <c r="AN67" s="1075">
        <f t="shared" si="125"/>
        <v>1.0348897623565554</v>
      </c>
      <c r="AO67" s="1075">
        <f t="shared" si="125"/>
        <v>1.0348897623565554</v>
      </c>
      <c r="AP67" s="1075">
        <f t="shared" si="125"/>
        <v>1.0348897623565554</v>
      </c>
      <c r="AQ67" s="1075">
        <f t="shared" si="125"/>
        <v>1.8736446191379776</v>
      </c>
      <c r="AR67" s="1075">
        <f t="shared" si="125"/>
        <v>1.8736446191379776</v>
      </c>
      <c r="AS67" s="1075">
        <f t="shared" si="125"/>
        <v>1.8736446191379776</v>
      </c>
      <c r="AT67" s="1075">
        <f t="shared" si="125"/>
        <v>1.8736446191379776</v>
      </c>
      <c r="AU67" s="1075">
        <f t="shared" si="125"/>
        <v>1.8736446191379776</v>
      </c>
      <c r="AV67" s="1075">
        <f t="shared" si="125"/>
        <v>1.8736446191379776</v>
      </c>
      <c r="AW67" s="1075">
        <f t="shared" si="125"/>
        <v>1.8736446191379776</v>
      </c>
      <c r="AX67" s="1075">
        <f t="shared" si="125"/>
        <v>1.8736446191379776</v>
      </c>
      <c r="AY67" s="1075">
        <f t="shared" si="125"/>
        <v>1.8736446191379776</v>
      </c>
      <c r="AZ67" s="1075">
        <f t="shared" si="125"/>
        <v>1.8736446191379776</v>
      </c>
      <c r="BA67" s="1075">
        <f t="shared" si="125"/>
        <v>1.8736446191379776</v>
      </c>
      <c r="BB67" s="1075">
        <f t="shared" si="125"/>
        <v>1.8736446191379776</v>
      </c>
      <c r="BC67" s="1075">
        <f t="shared" si="125"/>
        <v>1.8736446191379776</v>
      </c>
      <c r="BD67" s="1075">
        <f t="shared" si="125"/>
        <v>1.8736446191379776</v>
      </c>
      <c r="BE67" s="1075">
        <f t="shared" si="125"/>
        <v>1.8736446191379776</v>
      </c>
      <c r="BF67" s="1075">
        <f t="shared" si="125"/>
        <v>1.8736446191379776</v>
      </c>
      <c r="BG67" s="1075">
        <f t="shared" si="125"/>
        <v>1.8736446191379776</v>
      </c>
      <c r="BH67" s="1075">
        <f t="shared" si="125"/>
        <v>1.8736446191379776</v>
      </c>
      <c r="BI67" s="1075">
        <f t="shared" si="125"/>
        <v>1.8736446191379776</v>
      </c>
      <c r="BJ67" s="1075">
        <f t="shared" si="125"/>
        <v>1.8736446191379776</v>
      </c>
      <c r="BK67" s="1075">
        <f t="shared" si="125"/>
        <v>1.8736446191379776</v>
      </c>
      <c r="BL67" s="1075">
        <f t="shared" si="125"/>
        <v>1.8736446191379776</v>
      </c>
      <c r="BM67" s="1075">
        <f t="shared" si="125"/>
        <v>1.8736446191379776</v>
      </c>
      <c r="BN67" s="1075">
        <f t="shared" si="125"/>
        <v>1.8736446191379776</v>
      </c>
      <c r="BO67" s="1075">
        <f t="shared" si="125"/>
        <v>1.8736446191379776</v>
      </c>
      <c r="BP67" s="1075">
        <f t="shared" si="125"/>
        <v>1.8736446191379776</v>
      </c>
      <c r="BQ67" s="1075">
        <f t="shared" si="125"/>
        <v>1.8736446191379776</v>
      </c>
      <c r="BR67" s="1075">
        <f t="shared" si="125"/>
        <v>1.8736446191379776</v>
      </c>
      <c r="BS67" s="1075">
        <f t="shared" ref="BS67:CA67" si="126">(BS61+BS63)/$C$67</f>
        <v>1.8736446191379776</v>
      </c>
      <c r="BT67" s="1075">
        <f t="shared" si="126"/>
        <v>1.8736446191379776</v>
      </c>
      <c r="BU67" s="1075">
        <f t="shared" si="126"/>
        <v>1.8736446191379776</v>
      </c>
      <c r="BV67" s="1075">
        <f t="shared" si="126"/>
        <v>1.8736446191379776</v>
      </c>
      <c r="BW67" s="1075">
        <f t="shared" si="126"/>
        <v>1.8736446191379776</v>
      </c>
      <c r="BX67" s="1075">
        <f t="shared" si="126"/>
        <v>1.8736446191379776</v>
      </c>
      <c r="BY67" s="1075">
        <f t="shared" si="126"/>
        <v>1.8736446191379776</v>
      </c>
      <c r="BZ67" s="1075">
        <f t="shared" si="126"/>
        <v>1.8736446191379776</v>
      </c>
      <c r="CA67" s="1075">
        <f t="shared" si="126"/>
        <v>1.8736446191379776</v>
      </c>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c r="IL67" s="13"/>
      <c r="IM67" s="13"/>
      <c r="IN67" s="13"/>
      <c r="IO67" s="13"/>
      <c r="IP67" s="13"/>
      <c r="IQ67" s="13"/>
      <c r="IR67" s="13"/>
      <c r="IS67" s="13"/>
      <c r="IT67" s="13"/>
      <c r="IU67" s="13"/>
      <c r="IV67" s="13"/>
      <c r="IW67" s="13"/>
      <c r="IX67" s="13"/>
      <c r="IY67" s="13"/>
      <c r="IZ67" s="13"/>
      <c r="JA67" s="13"/>
      <c r="JB67" s="13"/>
      <c r="JC67" s="13"/>
      <c r="JD67" s="13"/>
      <c r="JE67" s="13"/>
      <c r="JF67" s="13"/>
      <c r="JG67" s="13"/>
      <c r="JH67" s="13"/>
      <c r="JI67" s="13"/>
      <c r="JJ67" s="13"/>
      <c r="JK67" s="13"/>
      <c r="JL67" s="13"/>
      <c r="JM67" s="13"/>
      <c r="JN67" s="13"/>
      <c r="JO67" s="13"/>
      <c r="JP67" s="13"/>
      <c r="JQ67" s="13"/>
      <c r="JR67" s="13"/>
      <c r="JS67" s="13"/>
      <c r="JT67" s="13"/>
      <c r="JU67" s="13"/>
      <c r="JV67" s="13"/>
      <c r="JW67" s="13"/>
      <c r="JX67" s="13"/>
      <c r="JY67" s="13"/>
      <c r="JZ67" s="13"/>
      <c r="KA67" s="13"/>
      <c r="KB67" s="13"/>
      <c r="KC67" s="13"/>
      <c r="KD67" s="13"/>
      <c r="KE67" s="13"/>
      <c r="KF67" s="13"/>
      <c r="KG67" s="13"/>
      <c r="KH67" s="13"/>
      <c r="KI67" s="13"/>
      <c r="KJ67" s="13"/>
      <c r="KK67" s="13"/>
      <c r="KL67" s="13"/>
      <c r="KM67" s="13"/>
      <c r="KN67" s="13"/>
      <c r="KO67" s="13"/>
      <c r="KP67" s="13"/>
      <c r="KQ67" s="13"/>
      <c r="KR67" s="13"/>
      <c r="KS67" s="13"/>
      <c r="KT67" s="13"/>
      <c r="KU67" s="13"/>
      <c r="KV67" s="13"/>
      <c r="KW67" s="13"/>
      <c r="KX67" s="13"/>
      <c r="KY67" s="13"/>
      <c r="KZ67" s="13"/>
      <c r="LA67" s="13"/>
      <c r="LB67" s="13"/>
      <c r="LC67" s="13"/>
      <c r="LD67" s="13"/>
    </row>
    <row r="68" spans="2:316" s="1063" customFormat="1" ht="13.5" customHeight="1">
      <c r="B68" s="1066"/>
      <c r="C68" s="1074"/>
      <c r="D68" s="1074"/>
      <c r="G68" s="1075"/>
      <c r="H68" s="1075"/>
      <c r="I68" s="1075"/>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c r="GS68" s="13"/>
      <c r="GT68" s="13"/>
      <c r="GU68" s="13"/>
      <c r="GV68" s="13"/>
      <c r="GW68" s="13"/>
      <c r="GX68" s="13"/>
      <c r="GY68" s="13"/>
      <c r="GZ68" s="13"/>
      <c r="HA68" s="13"/>
      <c r="HB68" s="13"/>
      <c r="HC68" s="13"/>
      <c r="HD68" s="13"/>
      <c r="HE68" s="13"/>
      <c r="HF68" s="13"/>
      <c r="HG68" s="13"/>
      <c r="HH68" s="13"/>
      <c r="HI68" s="13"/>
      <c r="HJ68" s="13"/>
      <c r="HK68" s="13"/>
      <c r="HL68" s="13"/>
      <c r="HM68" s="13"/>
      <c r="HN68" s="13"/>
      <c r="HO68" s="13"/>
      <c r="HP68" s="13"/>
      <c r="HQ68" s="13"/>
      <c r="HR68" s="13"/>
      <c r="HS68" s="13"/>
      <c r="HT68" s="13"/>
      <c r="HU68" s="13"/>
      <c r="HV68" s="13"/>
      <c r="HW68" s="13"/>
      <c r="HX68" s="13"/>
      <c r="HY68" s="13"/>
      <c r="HZ68" s="13"/>
      <c r="IA68" s="13"/>
      <c r="IB68" s="13"/>
      <c r="IC68" s="13"/>
      <c r="ID68" s="13"/>
      <c r="IE68" s="13"/>
      <c r="IF68" s="13"/>
      <c r="IG68" s="13"/>
      <c r="IH68" s="13"/>
      <c r="II68" s="13"/>
      <c r="IJ68" s="13"/>
      <c r="IK68" s="13"/>
      <c r="IL68" s="13"/>
      <c r="IM68" s="13"/>
      <c r="IN68" s="13"/>
      <c r="IO68" s="13"/>
      <c r="IP68" s="13"/>
      <c r="IQ68" s="13"/>
      <c r="IR68" s="13"/>
      <c r="IS68" s="13"/>
      <c r="IT68" s="13"/>
      <c r="IU68" s="13"/>
      <c r="IV68" s="13"/>
      <c r="IW68" s="13"/>
      <c r="IX68" s="13"/>
      <c r="IY68" s="13"/>
      <c r="IZ68" s="13"/>
      <c r="JA68" s="13"/>
      <c r="JB68" s="13"/>
      <c r="JC68" s="13"/>
      <c r="JD68" s="13"/>
      <c r="JE68" s="13"/>
      <c r="JF68" s="13"/>
      <c r="JG68" s="13"/>
      <c r="JH68" s="13"/>
      <c r="JI68" s="13"/>
      <c r="JJ68" s="13"/>
      <c r="JK68" s="13"/>
      <c r="JL68" s="13"/>
      <c r="JM68" s="13"/>
      <c r="JN68" s="13"/>
      <c r="JO68" s="13"/>
      <c r="JP68" s="13"/>
      <c r="JQ68" s="13"/>
      <c r="JR68" s="13"/>
      <c r="JS68" s="13"/>
      <c r="JT68" s="13"/>
      <c r="JU68" s="13"/>
      <c r="JV68" s="13"/>
      <c r="JW68" s="13"/>
      <c r="JX68" s="13"/>
      <c r="JY68" s="13"/>
      <c r="JZ68" s="13"/>
      <c r="KA68" s="13"/>
      <c r="KB68" s="13"/>
      <c r="KC68" s="13"/>
      <c r="KD68" s="13"/>
      <c r="KE68" s="13"/>
      <c r="KF68" s="13"/>
      <c r="KG68" s="13"/>
      <c r="KH68" s="13"/>
      <c r="KI68" s="13"/>
      <c r="KJ68" s="13"/>
      <c r="KK68" s="13"/>
      <c r="KL68" s="13"/>
      <c r="KM68" s="13"/>
      <c r="KN68" s="13"/>
      <c r="KO68" s="13"/>
      <c r="KP68" s="13"/>
      <c r="KQ68" s="13"/>
      <c r="KR68" s="13"/>
      <c r="KS68" s="13"/>
      <c r="KT68" s="13"/>
      <c r="KU68" s="13"/>
      <c r="KV68" s="13"/>
      <c r="KW68" s="13"/>
      <c r="KX68" s="13"/>
      <c r="KY68" s="13"/>
      <c r="KZ68" s="13"/>
      <c r="LA68" s="13"/>
      <c r="LB68" s="13"/>
      <c r="LC68" s="13"/>
      <c r="LD68" s="13"/>
    </row>
    <row r="69" spans="2:316" s="1063" customFormat="1" ht="13.5" customHeight="1">
      <c r="B69" s="1076" t="s">
        <v>930</v>
      </c>
      <c r="C69" s="1074"/>
      <c r="D69" s="1074"/>
      <c r="G69" s="1075"/>
      <c r="H69" s="1075"/>
      <c r="I69" s="1075"/>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c r="GN69" s="13"/>
      <c r="GO69" s="13"/>
      <c r="GP69" s="13"/>
      <c r="GQ69" s="13"/>
      <c r="GR69" s="13"/>
      <c r="GS69" s="13"/>
      <c r="GT69" s="13"/>
      <c r="GU69" s="13"/>
      <c r="GV69" s="13"/>
      <c r="GW69" s="13"/>
      <c r="GX69" s="13"/>
      <c r="GY69" s="13"/>
      <c r="GZ69" s="13"/>
      <c r="HA69" s="13"/>
      <c r="HB69" s="13"/>
      <c r="HC69" s="13"/>
      <c r="HD69" s="13"/>
      <c r="HE69" s="13"/>
      <c r="HF69" s="13"/>
      <c r="HG69" s="13"/>
      <c r="HH69" s="13"/>
      <c r="HI69" s="13"/>
      <c r="HJ69" s="13"/>
      <c r="HK69" s="13"/>
      <c r="HL69" s="13"/>
      <c r="HM69" s="13"/>
      <c r="HN69" s="13"/>
      <c r="HO69" s="13"/>
      <c r="HP69" s="13"/>
      <c r="HQ69" s="13"/>
      <c r="HR69" s="13"/>
      <c r="HS69" s="13"/>
      <c r="HT69" s="13"/>
      <c r="HU69" s="13"/>
      <c r="HV69" s="13"/>
      <c r="HW69" s="13"/>
      <c r="HX69" s="13"/>
      <c r="HY69" s="13"/>
      <c r="HZ69" s="13"/>
      <c r="IA69" s="13"/>
      <c r="IB69" s="13"/>
      <c r="IC69" s="13"/>
      <c r="ID69" s="13"/>
      <c r="IE69" s="13"/>
      <c r="IF69" s="13"/>
      <c r="IG69" s="13"/>
      <c r="IH69" s="13"/>
      <c r="II69" s="13"/>
      <c r="IJ69" s="13"/>
      <c r="IK69" s="13"/>
      <c r="IL69" s="13"/>
      <c r="IM69" s="13"/>
      <c r="IN69" s="13"/>
      <c r="IO69" s="13"/>
      <c r="IP69" s="13"/>
      <c r="IQ69" s="13"/>
      <c r="IR69" s="13"/>
      <c r="IS69" s="13"/>
      <c r="IT69" s="13"/>
      <c r="IU69" s="13"/>
      <c r="IV69" s="13"/>
      <c r="IW69" s="13"/>
      <c r="IX69" s="13"/>
      <c r="IY69" s="13"/>
      <c r="IZ69" s="13"/>
      <c r="JA69" s="13"/>
      <c r="JB69" s="13"/>
      <c r="JC69" s="13"/>
      <c r="JD69" s="13"/>
      <c r="JE69" s="13"/>
      <c r="JF69" s="13"/>
      <c r="JG69" s="13"/>
      <c r="JH69" s="13"/>
      <c r="JI69" s="13"/>
      <c r="JJ69" s="13"/>
      <c r="JK69" s="13"/>
      <c r="JL69" s="13"/>
      <c r="JM69" s="13"/>
      <c r="JN69" s="13"/>
      <c r="JO69" s="13"/>
      <c r="JP69" s="13"/>
      <c r="JQ69" s="13"/>
      <c r="JR69" s="13"/>
      <c r="JS69" s="13"/>
      <c r="JT69" s="13"/>
      <c r="JU69" s="13"/>
      <c r="JV69" s="13"/>
      <c r="JW69" s="13"/>
      <c r="JX69" s="13"/>
      <c r="JY69" s="13"/>
      <c r="JZ69" s="13"/>
      <c r="KA69" s="13"/>
      <c r="KB69" s="13"/>
      <c r="KC69" s="13"/>
      <c r="KD69" s="13"/>
      <c r="KE69" s="13"/>
      <c r="KF69" s="13"/>
      <c r="KG69" s="13"/>
      <c r="KH69" s="13"/>
      <c r="KI69" s="13"/>
      <c r="KJ69" s="13"/>
      <c r="KK69" s="13"/>
      <c r="KL69" s="13"/>
      <c r="KM69" s="13"/>
      <c r="KN69" s="13"/>
      <c r="KO69" s="13"/>
      <c r="KP69" s="13"/>
      <c r="KQ69" s="13"/>
      <c r="KR69" s="13"/>
      <c r="KS69" s="13"/>
      <c r="KT69" s="13"/>
      <c r="KU69" s="13"/>
      <c r="KV69" s="13"/>
      <c r="KW69" s="13"/>
      <c r="KX69" s="13"/>
      <c r="KY69" s="13"/>
      <c r="KZ69" s="13"/>
      <c r="LA69" s="13"/>
      <c r="LB69" s="13"/>
      <c r="LC69" s="13"/>
      <c r="LD69" s="13"/>
    </row>
    <row r="70" spans="2:316" s="1063" customFormat="1">
      <c r="B70" s="1066" t="s">
        <v>98</v>
      </c>
      <c r="C70" s="1077">
        <f>'Assumptions &amp; Inputs'!E47</f>
        <v>5</v>
      </c>
      <c r="D70" s="1077"/>
      <c r="G70" s="1078">
        <v>0</v>
      </c>
      <c r="H70" s="1078">
        <f>IF(H61&gt;0,$C$61*'Assumptions &amp; Inputs'!$E$47/12,0)</f>
        <v>0</v>
      </c>
      <c r="I70" s="1078">
        <f>IF(I61&gt;0,$C$61*'Assumptions &amp; Inputs'!$E$47/12,0)</f>
        <v>0</v>
      </c>
      <c r="J70" s="1078">
        <f>IF(J61&gt;0,$C$61*'Assumptions &amp; Inputs'!$E$47/12,0)</f>
        <v>0</v>
      </c>
      <c r="K70" s="1078">
        <f>IF(K61&gt;0,$C$61*'Assumptions &amp; Inputs'!$E$47/12,0)</f>
        <v>0</v>
      </c>
      <c r="L70" s="1078">
        <f>IF(L61&gt;0,$C$61*'Assumptions &amp; Inputs'!$E$47/12,0)</f>
        <v>0</v>
      </c>
      <c r="M70" s="1078">
        <f>IF(M61&gt;0,$C$61*'Assumptions &amp; Inputs'!$E$47/12,0)</f>
        <v>0</v>
      </c>
      <c r="N70" s="1078">
        <f>IF(N61&gt;0,$C$61*'Assumptions &amp; Inputs'!$E$47/12,0)</f>
        <v>0</v>
      </c>
      <c r="O70" s="1078">
        <f>IF(O61&gt;0,$C$61*'Assumptions &amp; Inputs'!$E$47/12,0)</f>
        <v>0</v>
      </c>
      <c r="P70" s="1078">
        <f>IF(P61&gt;0,$C$61*'Assumptions &amp; Inputs'!$E$47/12,0)</f>
        <v>0</v>
      </c>
      <c r="Q70" s="1078">
        <f>IF(Q61&gt;0,$C$61*'Assumptions &amp; Inputs'!$E$47/12,0)</f>
        <v>0</v>
      </c>
      <c r="R70" s="1078">
        <f>IF(R61&gt;0,$C$61*'Assumptions &amp; Inputs'!$E$47/12,0)</f>
        <v>0</v>
      </c>
      <c r="S70" s="1078">
        <f>IF(S61&gt;0,$C$61*'Assumptions &amp; Inputs'!$E$47/12,0)</f>
        <v>0</v>
      </c>
      <c r="T70" s="1078">
        <f>IF(T61&gt;0,$C$61*'Assumptions &amp; Inputs'!$E$47/12,0)</f>
        <v>0</v>
      </c>
      <c r="U70" s="1078">
        <f>IF(U61&gt;0,$C$61*'Assumptions &amp; Inputs'!$E$47/12,0)</f>
        <v>0</v>
      </c>
      <c r="V70" s="1078">
        <f>IF(V61&gt;0,$C$61*'Assumptions &amp; Inputs'!$E$47/12,0)</f>
        <v>0</v>
      </c>
      <c r="W70" s="1078">
        <f>IF(W61&gt;0,$C$61*'Assumptions &amp; Inputs'!$E$47/12,0)</f>
        <v>0</v>
      </c>
      <c r="X70" s="1078">
        <f>IF(X61&gt;0,$C$61*'Assumptions &amp; Inputs'!$E$47/12,0)</f>
        <v>0</v>
      </c>
      <c r="Y70" s="1078">
        <f>IF(Y61&gt;0,$C$61*'Assumptions &amp; Inputs'!$E$47/12,0)</f>
        <v>0</v>
      </c>
      <c r="Z70" s="1078">
        <f>IF(Z61&gt;0,$C$61*'Assumptions &amp; Inputs'!$E$47/12,0)</f>
        <v>0</v>
      </c>
      <c r="AA70" s="1078">
        <f>IF(AA61&gt;0,$C$61*'Assumptions &amp; Inputs'!$E$47/12,0)</f>
        <v>0</v>
      </c>
      <c r="AB70" s="1078">
        <f>IF(AB61&gt;0,$C$61*'Assumptions &amp; Inputs'!$E$47/12,0)</f>
        <v>0</v>
      </c>
      <c r="AC70" s="1078">
        <f>IF(AC61&gt;0,$C$61*'Assumptions &amp; Inputs'!$E$47/12,0)</f>
        <v>0</v>
      </c>
      <c r="AD70" s="1078">
        <f>IF(AD61&gt;0,$C$61*'Assumptions &amp; Inputs'!$E$47/12,0)</f>
        <v>0</v>
      </c>
      <c r="AE70" s="1078">
        <f>IF(AE61&gt;0,$C$61*'Assumptions &amp; Inputs'!$E$47/12,0)</f>
        <v>0</v>
      </c>
      <c r="AF70" s="1078">
        <f>IF(AF61&gt;0,$C$61*'Assumptions &amp; Inputs'!$E$47/12,0)</f>
        <v>0</v>
      </c>
      <c r="AG70" s="1078">
        <f>IF(AG61&gt;0,$C$61*'Assumptions &amp; Inputs'!$E$47/12,0)</f>
        <v>0</v>
      </c>
      <c r="AH70" s="1078">
        <f>IF(AH61&gt;0,$C$61*'Assumptions &amp; Inputs'!$E$47/12,0)</f>
        <v>0</v>
      </c>
      <c r="AI70" s="1078">
        <f>IF(AI61&gt;0,$C$61*'Assumptions &amp; Inputs'!$E$47/12,0)</f>
        <v>0</v>
      </c>
      <c r="AJ70" s="1078">
        <f>IF(AJ61&gt;0,$C$61*'Assumptions &amp; Inputs'!$E$47/12,0)</f>
        <v>0</v>
      </c>
      <c r="AK70" s="1078">
        <f>IF(AK61&gt;0,$C$61*'Assumptions &amp; Inputs'!$E$47/12,0)</f>
        <v>1450.7291666666667</v>
      </c>
      <c r="AL70" s="1078">
        <f>IF(AL61&gt;0,$C$61*'Assumptions &amp; Inputs'!$E$47/12,0)</f>
        <v>1450.7291666666667</v>
      </c>
      <c r="AM70" s="1078">
        <f>IF(AM61&gt;0,$C$61*'Assumptions &amp; Inputs'!$E$47/12,0)</f>
        <v>1450.7291666666667</v>
      </c>
      <c r="AN70" s="1078">
        <f>IF(AN61&gt;0,$C$61*'Assumptions &amp; Inputs'!$E$47/12,0)</f>
        <v>1450.7291666666667</v>
      </c>
      <c r="AO70" s="1078">
        <f>IF(AO61&gt;0,$C$61*'Assumptions &amp; Inputs'!$E$47/12,0)</f>
        <v>1450.7291666666667</v>
      </c>
      <c r="AP70" s="1078">
        <f>IF(AP61&gt;0,$C$61*'Assumptions &amp; Inputs'!$E$47/12,0)</f>
        <v>1450.7291666666667</v>
      </c>
      <c r="AQ70" s="1078">
        <f>IF(AQ61&gt;0,$C$61*$C$70/12,0)</f>
        <v>1450.7291666666667</v>
      </c>
      <c r="AR70" s="1078">
        <f>IF(AR61&gt;0,$C$61*'Assumptions &amp; Inputs'!$E$47/12,0)</f>
        <v>1450.7291666666667</v>
      </c>
      <c r="AS70" s="1078">
        <f>IF(AS61&gt;0,$C$61*'Assumptions &amp; Inputs'!$E$47/12,0)</f>
        <v>1450.7291666666667</v>
      </c>
      <c r="AT70" s="1078">
        <f>IF(AT61&gt;0,$C$61*'Assumptions &amp; Inputs'!$E$47/12,0)</f>
        <v>1450.7291666666667</v>
      </c>
      <c r="AU70" s="1078">
        <f>IF(AU61&gt;0,$C$61*'Assumptions &amp; Inputs'!$E$47/12,0)</f>
        <v>1450.7291666666667</v>
      </c>
      <c r="AV70" s="1078">
        <f>IF(AV61&gt;0,$C$61*'Assumptions &amp; Inputs'!$E$47/12,0)</f>
        <v>1450.7291666666667</v>
      </c>
      <c r="AW70" s="1078">
        <f>IF(AW61&gt;0,$C$61*'Assumptions &amp; Inputs'!$E$47/12,0)</f>
        <v>1450.7291666666667</v>
      </c>
      <c r="AX70" s="1078">
        <f>IF(AX61&gt;0,$C$61*'Assumptions &amp; Inputs'!$E$47/12,0)</f>
        <v>1450.7291666666667</v>
      </c>
      <c r="AY70" s="1078">
        <f>IF(AY61&gt;0,$C$61*'Assumptions &amp; Inputs'!$E$47/12,0)</f>
        <v>1450.7291666666667</v>
      </c>
      <c r="AZ70" s="1078">
        <f>IF(AZ61&gt;0,$C$61*'Assumptions &amp; Inputs'!$E$47/12,0)</f>
        <v>1450.7291666666667</v>
      </c>
      <c r="BA70" s="1078">
        <f>IF(BA61&gt;0,$C$61*'Assumptions &amp; Inputs'!$E$47/12,0)</f>
        <v>1450.7291666666667</v>
      </c>
      <c r="BB70" s="1078">
        <f>IF(BB61&gt;0,$C$61*'Assumptions &amp; Inputs'!$E$47/12,0)</f>
        <v>1450.7291666666667</v>
      </c>
      <c r="BC70" s="1078">
        <f>IF(BC61&gt;0,$C$61*'Assumptions &amp; Inputs'!$E$47/12,0)</f>
        <v>1450.7291666666667</v>
      </c>
      <c r="BD70" s="1078">
        <f>IF(BD61&gt;0,$C$61*'Assumptions &amp; Inputs'!$E$47/12,0)</f>
        <v>1450.7291666666667</v>
      </c>
      <c r="BE70" s="1078">
        <f>IF(BE61&gt;0,$C$61*'Assumptions &amp; Inputs'!$E$47/12,0)</f>
        <v>1450.7291666666667</v>
      </c>
      <c r="BF70" s="1078">
        <f>IF(BF61&gt;0,$C$61*'Assumptions &amp; Inputs'!$E$47/12,0)</f>
        <v>1450.7291666666667</v>
      </c>
      <c r="BG70" s="1078">
        <f>IF(BG61&gt;0,$C$61*'Assumptions &amp; Inputs'!$E$47/12,0)</f>
        <v>1450.7291666666667</v>
      </c>
      <c r="BH70" s="1078">
        <f>IF(BH61&gt;0,$C$61*'Assumptions &amp; Inputs'!$E$47/12,0)</f>
        <v>1450.7291666666667</v>
      </c>
      <c r="BI70" s="1078">
        <f>IF(BI61&gt;0,$C$61*'Assumptions &amp; Inputs'!$E$47/12,0)</f>
        <v>1450.7291666666667</v>
      </c>
      <c r="BJ70" s="1078">
        <f>IF(BJ61&gt;0,$C$61*'Assumptions &amp; Inputs'!$E$47/12,0)</f>
        <v>1450.7291666666667</v>
      </c>
      <c r="BK70" s="1078">
        <f>IF(BK61&gt;0,$C$61*'Assumptions &amp; Inputs'!$E$47/12,0)</f>
        <v>1450.7291666666667</v>
      </c>
      <c r="BL70" s="1078">
        <f>IF(BL61&gt;0,$C$61*'Assumptions &amp; Inputs'!$E$47/12,0)</f>
        <v>1450.7291666666667</v>
      </c>
      <c r="BM70" s="1078">
        <f>IF(BM61&gt;0,$C$61*'Assumptions &amp; Inputs'!$E$47/12,0)</f>
        <v>1450.7291666666667</v>
      </c>
      <c r="BN70" s="1078">
        <f>IF(BN61&gt;0,$C$61*'Assumptions &amp; Inputs'!$E$47/12,0)</f>
        <v>1450.7291666666667</v>
      </c>
      <c r="BO70" s="1078">
        <f>IF(BO61&gt;0,$C$61*'Assumptions &amp; Inputs'!$E$47/12,0)</f>
        <v>1450.7291666666667</v>
      </c>
      <c r="BP70" s="1078">
        <f>IF(BP61&gt;0,$C$61*'Assumptions &amp; Inputs'!$E$47/12,0)</f>
        <v>1450.7291666666667</v>
      </c>
      <c r="BQ70" s="1078">
        <f>IF(BQ61&gt;0,$C$61*'Assumptions &amp; Inputs'!$E$47/12,0)</f>
        <v>1450.7291666666667</v>
      </c>
      <c r="BR70" s="1078">
        <f>IF(BR61&gt;0,$C$61*'Assumptions &amp; Inputs'!$E$47/12,0)</f>
        <v>1450.7291666666667</v>
      </c>
      <c r="BS70" s="1078">
        <f>IF(BS61&gt;0,$C$61*'Assumptions &amp; Inputs'!$E$47/12,0)</f>
        <v>1450.7291666666667</v>
      </c>
      <c r="BT70" s="1078">
        <f>IF(BT61&gt;0,$C$61*'Assumptions &amp; Inputs'!$E$47/12,0)</f>
        <v>1450.7291666666667</v>
      </c>
      <c r="BU70" s="1078">
        <f>IF(BU61&gt;0,$C$61*'Assumptions &amp; Inputs'!$E$47/12,0)</f>
        <v>1450.7291666666667</v>
      </c>
      <c r="BV70" s="1078">
        <f>IF(BV61&gt;0,$C$61*'Assumptions &amp; Inputs'!$E$47/12,0)</f>
        <v>1450.7291666666667</v>
      </c>
      <c r="BW70" s="1078">
        <f>IF(BW61&gt;0,$C$61*'Assumptions &amp; Inputs'!$E$47/12,0)</f>
        <v>1450.7291666666667</v>
      </c>
      <c r="BX70" s="1078">
        <f>IF(BX61&gt;0,$C$61*'Assumptions &amp; Inputs'!$E$47/12,0)</f>
        <v>1450.7291666666667</v>
      </c>
      <c r="BY70" s="1078">
        <f>IF(BY61&gt;0,$C$61*'Assumptions &amp; Inputs'!$E$47/12,0)</f>
        <v>1450.7291666666667</v>
      </c>
      <c r="BZ70" s="1078">
        <f>IF(BZ61&gt;0,$C$61*'Assumptions &amp; Inputs'!$E$47/12,0)</f>
        <v>1450.7291666666667</v>
      </c>
      <c r="CA70" s="1078">
        <f>IF(CA61&gt;0,$C$61*'Assumptions &amp; Inputs'!$E$47/12,0)</f>
        <v>1450.7291666666667</v>
      </c>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c r="IL70" s="13"/>
      <c r="IM70" s="13"/>
      <c r="IN70" s="13"/>
      <c r="IO70" s="13"/>
      <c r="IP70" s="13"/>
      <c r="IQ70" s="13"/>
      <c r="IR70" s="13"/>
      <c r="IS70" s="13"/>
      <c r="IT70" s="13"/>
      <c r="IU70" s="13"/>
      <c r="IV70" s="13"/>
      <c r="IW70" s="13"/>
      <c r="IX70" s="13"/>
      <c r="IY70" s="13"/>
      <c r="IZ70" s="13"/>
      <c r="JA70" s="13"/>
      <c r="JB70" s="13"/>
      <c r="JC70" s="13"/>
      <c r="JD70" s="13"/>
      <c r="JE70" s="13"/>
      <c r="JF70" s="13"/>
      <c r="JG70" s="13"/>
      <c r="JH70" s="13"/>
      <c r="JI70" s="13"/>
      <c r="JJ70" s="13"/>
      <c r="JK70" s="13"/>
      <c r="JL70" s="13"/>
      <c r="JM70" s="13"/>
      <c r="JN70" s="13"/>
      <c r="JO70" s="13"/>
      <c r="JP70" s="13"/>
      <c r="JQ70" s="13"/>
      <c r="JR70" s="13"/>
      <c r="JS70" s="13"/>
      <c r="JT70" s="13"/>
      <c r="JU70" s="13"/>
      <c r="JV70" s="13"/>
      <c r="JW70" s="13"/>
      <c r="JX70" s="13"/>
      <c r="JY70" s="13"/>
      <c r="JZ70" s="13"/>
      <c r="KA70" s="13"/>
      <c r="KB70" s="13"/>
      <c r="KC70" s="13"/>
      <c r="KD70" s="13"/>
      <c r="KE70" s="13"/>
      <c r="KF70" s="13"/>
      <c r="KG70" s="13"/>
      <c r="KH70" s="13"/>
      <c r="KI70" s="13"/>
      <c r="KJ70" s="13"/>
      <c r="KK70" s="13"/>
      <c r="KL70" s="13"/>
      <c r="KM70" s="13"/>
      <c r="KN70" s="13"/>
      <c r="KO70" s="13"/>
      <c r="KP70" s="13"/>
      <c r="KQ70" s="13"/>
      <c r="KR70" s="13"/>
      <c r="KS70" s="13"/>
      <c r="KT70" s="13"/>
      <c r="KU70" s="13"/>
      <c r="KV70" s="13"/>
      <c r="KW70" s="13"/>
      <c r="KX70" s="13"/>
      <c r="KY70" s="13"/>
      <c r="KZ70" s="13"/>
      <c r="LA70" s="13"/>
      <c r="LB70" s="13"/>
      <c r="LC70" s="13"/>
      <c r="LD70" s="13"/>
    </row>
    <row r="71" spans="2:316" s="1063" customFormat="1">
      <c r="B71" s="1066" t="s">
        <v>99</v>
      </c>
      <c r="C71" s="1077">
        <f>'Assumptions &amp; Inputs'!E52</f>
        <v>5</v>
      </c>
      <c r="D71" s="1077"/>
      <c r="G71" s="1078">
        <v>0</v>
      </c>
      <c r="H71" s="1078">
        <f>IF(H63&gt;0,$C$63*'Assumptions &amp; Inputs'!$E$52/12,0)</f>
        <v>0</v>
      </c>
      <c r="I71" s="1078">
        <f>IF(I63&gt;0,$C$63*'Assumptions &amp; Inputs'!$E$52/12,0)</f>
        <v>0</v>
      </c>
      <c r="J71" s="1078">
        <f>IF(J63&gt;0,$C$63*'Assumptions &amp; Inputs'!$E$52/12,0)</f>
        <v>0</v>
      </c>
      <c r="K71" s="1078">
        <f>IF(K63&gt;0,$C$63*'Assumptions &amp; Inputs'!$E$52/12,0)</f>
        <v>0</v>
      </c>
      <c r="L71" s="1078">
        <f>IF(L63&gt;0,$C$63*'Assumptions &amp; Inputs'!$E$52/12,0)</f>
        <v>0</v>
      </c>
      <c r="M71" s="1078">
        <f>IF(M63&gt;0,$C$63*'Assumptions &amp; Inputs'!$E$52/12,0)</f>
        <v>0</v>
      </c>
      <c r="N71" s="1078">
        <f>IF(N63&gt;0,$C$63*'Assumptions &amp; Inputs'!$E$52/12,0)</f>
        <v>0</v>
      </c>
      <c r="O71" s="1078">
        <f>IF(O63&gt;0,$C$63*'Assumptions &amp; Inputs'!$E$52/12,0)</f>
        <v>0</v>
      </c>
      <c r="P71" s="1078">
        <f>IF(P63&gt;0,$C$63*'Assumptions &amp; Inputs'!$E$52/12,0)</f>
        <v>0</v>
      </c>
      <c r="Q71" s="1078">
        <f>IF(Q63&gt;0,$C$63*'Assumptions &amp; Inputs'!$E$52/12,0)</f>
        <v>0</v>
      </c>
      <c r="R71" s="1078">
        <f>IF(R63&gt;0,$C$63*'Assumptions &amp; Inputs'!$E$52/12,0)</f>
        <v>0</v>
      </c>
      <c r="S71" s="1078">
        <f>IF(S63&gt;0,$C$63*'Assumptions &amp; Inputs'!$E$52/12,0)</f>
        <v>0</v>
      </c>
      <c r="T71" s="1078">
        <f>IF(T63&gt;0,$C$63*'Assumptions &amp; Inputs'!$E$52/12,0)</f>
        <v>0</v>
      </c>
      <c r="U71" s="1078">
        <f>IF(U63&gt;0,$C$63*'Assumptions &amp; Inputs'!$E$52/12,0)</f>
        <v>0</v>
      </c>
      <c r="V71" s="1078">
        <f>IF(V63&gt;0,$C$63*'Assumptions &amp; Inputs'!$E$52/12,0)</f>
        <v>0</v>
      </c>
      <c r="W71" s="1078">
        <f>IF(W63&gt;0,$C$63*'Assumptions &amp; Inputs'!$E$52/12,0)</f>
        <v>0</v>
      </c>
      <c r="X71" s="1078">
        <f>IF(X63&gt;0,$C$63*'Assumptions &amp; Inputs'!$E$52/12,0)</f>
        <v>0</v>
      </c>
      <c r="Y71" s="1078">
        <f>IF(Y63&gt;0,$C$63*'Assumptions &amp; Inputs'!$E$52/12,0)</f>
        <v>0</v>
      </c>
      <c r="Z71" s="1078">
        <f>IF(Z63&gt;0,$C$63*'Assumptions &amp; Inputs'!$E$52/12,0)</f>
        <v>0</v>
      </c>
      <c r="AA71" s="1078">
        <f>IF(AA63&gt;0,$C$63*'Assumptions &amp; Inputs'!$E$52/12,0)</f>
        <v>0</v>
      </c>
      <c r="AB71" s="1078">
        <f>IF(AB63&gt;0,$C$63*'Assumptions &amp; Inputs'!$E$52/12,0)</f>
        <v>0</v>
      </c>
      <c r="AC71" s="1078">
        <f>IF(AC63&gt;0,$C$63*'Assumptions &amp; Inputs'!$E$52/12,0)</f>
        <v>0</v>
      </c>
      <c r="AD71" s="1078">
        <f>IF(AD63&gt;0,$C$63*'Assumptions &amp; Inputs'!$E$52/12,0)</f>
        <v>0</v>
      </c>
      <c r="AE71" s="1078">
        <f>IF(AE63&gt;0,$C$63*'Assumptions &amp; Inputs'!$E$52/12,0)</f>
        <v>0</v>
      </c>
      <c r="AF71" s="1078">
        <f>IF(AF63&gt;0,$C$63*'Assumptions &amp; Inputs'!$E$52/12,0)</f>
        <v>0</v>
      </c>
      <c r="AG71" s="1078">
        <f>IF(AG63&gt;0,$C$63*'Assumptions &amp; Inputs'!$E$52/12,0)</f>
        <v>0</v>
      </c>
      <c r="AH71" s="1078">
        <f>IF(AH63&gt;0,$C$63*'Assumptions &amp; Inputs'!$E$52/12,0)</f>
        <v>0</v>
      </c>
      <c r="AI71" s="1078">
        <f>IF(AI63&gt;0,$C$63*'Assumptions &amp; Inputs'!$E$52/12,0)</f>
        <v>0</v>
      </c>
      <c r="AJ71" s="1078">
        <f>IF(AJ63&gt;0,$C$63*'Assumptions &amp; Inputs'!$E$52/12,0)</f>
        <v>0</v>
      </c>
      <c r="AK71" s="1078">
        <f>IF(AK63&gt;0,$C$63*'Assumptions &amp; Inputs'!$E$52/12,0)</f>
        <v>0</v>
      </c>
      <c r="AL71" s="1078">
        <f>IF(AL63&gt;0,$C$63*'Assumptions &amp; Inputs'!$E$52/12,0)</f>
        <v>0</v>
      </c>
      <c r="AM71" s="1078">
        <f>IF(AM63&gt;0,$C$63*'Assumptions &amp; Inputs'!$E$52/12,0)</f>
        <v>0</v>
      </c>
      <c r="AN71" s="1078">
        <f>IF(AN63&gt;0,$C$63*'Assumptions &amp; Inputs'!$E$52/12,0)</f>
        <v>0</v>
      </c>
      <c r="AO71" s="1078">
        <f>IF(AO63&gt;0,$C$63*'Assumptions &amp; Inputs'!$E$52/12,0)</f>
        <v>0</v>
      </c>
      <c r="AP71" s="1078">
        <f>IF(AP63&gt;0,$C$63*'Assumptions &amp; Inputs'!$E$52/12,0)</f>
        <v>0</v>
      </c>
      <c r="AQ71" s="1078">
        <f>IF(AQ62&gt;0,$C$63*$C$71/12,0)</f>
        <v>1469.7291666666667</v>
      </c>
      <c r="AR71" s="1078">
        <f>IF(AR63&gt;0,$C$63*'Assumptions &amp; Inputs'!$E$52/12,0)</f>
        <v>1469.7291666666667</v>
      </c>
      <c r="AS71" s="1078">
        <f>IF(AS63&gt;0,$C$63*'Assumptions &amp; Inputs'!$E$52/12,0)</f>
        <v>1469.7291666666667</v>
      </c>
      <c r="AT71" s="1078">
        <f>IF(AT63&gt;0,$C$63*'Assumptions &amp; Inputs'!$E$52/12,0)</f>
        <v>1469.7291666666667</v>
      </c>
      <c r="AU71" s="1078">
        <f>IF(AU63&gt;0,$C$63*'Assumptions &amp; Inputs'!$E$52/12,0)</f>
        <v>1469.7291666666667</v>
      </c>
      <c r="AV71" s="1078">
        <f>IF(AV63&gt;0,$C$63*'Assumptions &amp; Inputs'!$E$52/12,0)</f>
        <v>1469.7291666666667</v>
      </c>
      <c r="AW71" s="1078">
        <f>IF(AW63&gt;0,$C$63*'Assumptions &amp; Inputs'!$E$52/12,0)</f>
        <v>1469.7291666666667</v>
      </c>
      <c r="AX71" s="1078">
        <f>IF(AX63&gt;0,$C$63*'Assumptions &amp; Inputs'!$E$52/12,0)</f>
        <v>1469.7291666666667</v>
      </c>
      <c r="AY71" s="1078">
        <f>IF(AY63&gt;0,$C$63*'Assumptions &amp; Inputs'!$E$52/12,0)</f>
        <v>1469.7291666666667</v>
      </c>
      <c r="AZ71" s="1078">
        <f>IF(AZ63&gt;0,$C$63*'Assumptions &amp; Inputs'!$E$52/12,0)</f>
        <v>1469.7291666666667</v>
      </c>
      <c r="BA71" s="1078">
        <f>IF(BA63&gt;0,$C$63*'Assumptions &amp; Inputs'!$E$52/12,0)</f>
        <v>1469.7291666666667</v>
      </c>
      <c r="BB71" s="1078">
        <f>IF(BB63&gt;0,$C$63*'Assumptions &amp; Inputs'!$E$52/12,0)</f>
        <v>1469.7291666666667</v>
      </c>
      <c r="BC71" s="1078">
        <f>IF(BC63&gt;0,$C$63*'Assumptions &amp; Inputs'!$E$52/12,0)</f>
        <v>1469.7291666666667</v>
      </c>
      <c r="BD71" s="1078">
        <f>IF(BD63&gt;0,$C$63*'Assumptions &amp; Inputs'!$E$52/12,0)</f>
        <v>1469.7291666666667</v>
      </c>
      <c r="BE71" s="1078">
        <f>IF(BE63&gt;0,$C$63*'Assumptions &amp; Inputs'!$E$52/12,0)</f>
        <v>1469.7291666666667</v>
      </c>
      <c r="BF71" s="1078">
        <f>IF(BF63&gt;0,$C$63*'Assumptions &amp; Inputs'!$E$52/12,0)</f>
        <v>1469.7291666666667</v>
      </c>
      <c r="BG71" s="1078">
        <f>IF(BG63&gt;0,$C$63*'Assumptions &amp; Inputs'!$E$52/12,0)</f>
        <v>1469.7291666666667</v>
      </c>
      <c r="BH71" s="1078">
        <f>IF(BH63&gt;0,$C$63*'Assumptions &amp; Inputs'!$E$52/12,0)</f>
        <v>1469.7291666666667</v>
      </c>
      <c r="BI71" s="1078">
        <f>IF(BI63&gt;0,$C$63*'Assumptions &amp; Inputs'!$E$52/12,0)</f>
        <v>1469.7291666666667</v>
      </c>
      <c r="BJ71" s="1078">
        <f>IF(BJ63&gt;0,$C$63*'Assumptions &amp; Inputs'!$E$52/12,0)</f>
        <v>1469.7291666666667</v>
      </c>
      <c r="BK71" s="1078">
        <f>IF(BK63&gt;0,$C$63*'Assumptions &amp; Inputs'!$E$52/12,0)</f>
        <v>1469.7291666666667</v>
      </c>
      <c r="BL71" s="1078">
        <f>IF(BL63&gt;0,$C$63*'Assumptions &amp; Inputs'!$E$52/12,0)</f>
        <v>1469.7291666666667</v>
      </c>
      <c r="BM71" s="1078">
        <f>IF(BM63&gt;0,$C$63*'Assumptions &amp; Inputs'!$E$52/12,0)</f>
        <v>1469.7291666666667</v>
      </c>
      <c r="BN71" s="1078">
        <f>IF(BN63&gt;0,$C$63*'Assumptions &amp; Inputs'!$E$52/12,0)</f>
        <v>1469.7291666666667</v>
      </c>
      <c r="BO71" s="1078">
        <f>IF(BO63&gt;0,$C$63*'Assumptions &amp; Inputs'!$E$52/12,0)</f>
        <v>1469.7291666666667</v>
      </c>
      <c r="BP71" s="1078">
        <f>IF(BP63&gt;0,$C$63*'Assumptions &amp; Inputs'!$E$52/12,0)</f>
        <v>1469.7291666666667</v>
      </c>
      <c r="BQ71" s="1078">
        <f>IF(BQ63&gt;0,$C$63*'Assumptions &amp; Inputs'!$E$52/12,0)</f>
        <v>1469.7291666666667</v>
      </c>
      <c r="BR71" s="1078">
        <f>IF(BR63&gt;0,$C$63*'Assumptions &amp; Inputs'!$E$52/12,0)</f>
        <v>1469.7291666666667</v>
      </c>
      <c r="BS71" s="1078">
        <f>IF(BS63&gt;0,$C$63*'Assumptions &amp; Inputs'!$E$52/12,0)</f>
        <v>1469.7291666666667</v>
      </c>
      <c r="BT71" s="1078">
        <f>IF(BT63&gt;0,$C$63*'Assumptions &amp; Inputs'!$E$52/12,0)</f>
        <v>1469.7291666666667</v>
      </c>
      <c r="BU71" s="1078">
        <f>IF(BU63&gt;0,$C$63*'Assumptions &amp; Inputs'!$E$52/12,0)</f>
        <v>1469.7291666666667</v>
      </c>
      <c r="BV71" s="1078">
        <f>IF(BV63&gt;0,$C$63*'Assumptions &amp; Inputs'!$E$52/12,0)</f>
        <v>1469.7291666666667</v>
      </c>
      <c r="BW71" s="1078">
        <f>IF(BW63&gt;0,$C$63*'Assumptions &amp; Inputs'!$E$52/12,0)</f>
        <v>1469.7291666666667</v>
      </c>
      <c r="BX71" s="1078">
        <f>IF(BX63&gt;0,$C$63*'Assumptions &amp; Inputs'!$E$52/12,0)</f>
        <v>1469.7291666666667</v>
      </c>
      <c r="BY71" s="1078">
        <f>IF(BY63&gt;0,$C$63*'Assumptions &amp; Inputs'!$E$52/12,0)</f>
        <v>1469.7291666666667</v>
      </c>
      <c r="BZ71" s="1078">
        <f>IF(BZ63&gt;0,$C$63*'Assumptions &amp; Inputs'!$E$52/12,0)</f>
        <v>1469.7291666666667</v>
      </c>
      <c r="CA71" s="1078">
        <f>IF(CA63&gt;0,$C$63*'Assumptions &amp; Inputs'!$E$52/12,0)</f>
        <v>1469.7291666666667</v>
      </c>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row>
    <row r="72" spans="2:316" s="1063" customFormat="1" ht="13.5" customHeight="1">
      <c r="B72" s="1066" t="s">
        <v>931</v>
      </c>
      <c r="C72" s="1074"/>
      <c r="D72" s="1074"/>
      <c r="G72" s="1079">
        <f>SUM(G70:G71)</f>
        <v>0</v>
      </c>
      <c r="H72" s="1079">
        <f t="shared" ref="H72:BS72" si="127">SUM(H70:H71)</f>
        <v>0</v>
      </c>
      <c r="I72" s="1079">
        <f t="shared" si="127"/>
        <v>0</v>
      </c>
      <c r="J72" s="1079">
        <f t="shared" si="127"/>
        <v>0</v>
      </c>
      <c r="K72" s="1079">
        <f t="shared" si="127"/>
        <v>0</v>
      </c>
      <c r="L72" s="1079">
        <f t="shared" si="127"/>
        <v>0</v>
      </c>
      <c r="M72" s="1079">
        <f t="shared" si="127"/>
        <v>0</v>
      </c>
      <c r="N72" s="1079">
        <f t="shared" si="127"/>
        <v>0</v>
      </c>
      <c r="O72" s="1079">
        <f t="shared" si="127"/>
        <v>0</v>
      </c>
      <c r="P72" s="1079">
        <f t="shared" si="127"/>
        <v>0</v>
      </c>
      <c r="Q72" s="1079">
        <f t="shared" si="127"/>
        <v>0</v>
      </c>
      <c r="R72" s="1079">
        <f t="shared" si="127"/>
        <v>0</v>
      </c>
      <c r="S72" s="1079">
        <f t="shared" si="127"/>
        <v>0</v>
      </c>
      <c r="T72" s="1079">
        <f t="shared" si="127"/>
        <v>0</v>
      </c>
      <c r="U72" s="1079">
        <f t="shared" si="127"/>
        <v>0</v>
      </c>
      <c r="V72" s="1079">
        <f t="shared" si="127"/>
        <v>0</v>
      </c>
      <c r="W72" s="1079">
        <f t="shared" si="127"/>
        <v>0</v>
      </c>
      <c r="X72" s="1079">
        <f t="shared" si="127"/>
        <v>0</v>
      </c>
      <c r="Y72" s="1079">
        <f t="shared" si="127"/>
        <v>0</v>
      </c>
      <c r="Z72" s="1079">
        <f t="shared" si="127"/>
        <v>0</v>
      </c>
      <c r="AA72" s="1079">
        <f t="shared" si="127"/>
        <v>0</v>
      </c>
      <c r="AB72" s="1079">
        <f t="shared" si="127"/>
        <v>0</v>
      </c>
      <c r="AC72" s="1079">
        <f t="shared" si="127"/>
        <v>0</v>
      </c>
      <c r="AD72" s="1079">
        <f t="shared" si="127"/>
        <v>0</v>
      </c>
      <c r="AE72" s="1079">
        <f t="shared" si="127"/>
        <v>0</v>
      </c>
      <c r="AF72" s="1079">
        <f t="shared" si="127"/>
        <v>0</v>
      </c>
      <c r="AG72" s="1079">
        <f t="shared" si="127"/>
        <v>0</v>
      </c>
      <c r="AH72" s="1079">
        <f t="shared" si="127"/>
        <v>0</v>
      </c>
      <c r="AI72" s="1079">
        <f t="shared" si="127"/>
        <v>0</v>
      </c>
      <c r="AJ72" s="1079">
        <f t="shared" si="127"/>
        <v>0</v>
      </c>
      <c r="AK72" s="1079">
        <f t="shared" si="127"/>
        <v>1450.7291666666667</v>
      </c>
      <c r="AL72" s="1079">
        <f t="shared" si="127"/>
        <v>1450.7291666666667</v>
      </c>
      <c r="AM72" s="1079">
        <f t="shared" si="127"/>
        <v>1450.7291666666667</v>
      </c>
      <c r="AN72" s="1079">
        <f t="shared" si="127"/>
        <v>1450.7291666666667</v>
      </c>
      <c r="AO72" s="1079">
        <f t="shared" si="127"/>
        <v>1450.7291666666667</v>
      </c>
      <c r="AP72" s="1079">
        <f t="shared" si="127"/>
        <v>1450.7291666666667</v>
      </c>
      <c r="AQ72" s="1079">
        <f t="shared" si="127"/>
        <v>2920.4583333333335</v>
      </c>
      <c r="AR72" s="1079">
        <f t="shared" si="127"/>
        <v>2920.4583333333335</v>
      </c>
      <c r="AS72" s="1079">
        <f t="shared" si="127"/>
        <v>2920.4583333333335</v>
      </c>
      <c r="AT72" s="1079">
        <f t="shared" si="127"/>
        <v>2920.4583333333335</v>
      </c>
      <c r="AU72" s="1079">
        <f t="shared" si="127"/>
        <v>2920.4583333333335</v>
      </c>
      <c r="AV72" s="1079">
        <f t="shared" si="127"/>
        <v>2920.4583333333335</v>
      </c>
      <c r="AW72" s="1079">
        <f t="shared" si="127"/>
        <v>2920.4583333333335</v>
      </c>
      <c r="AX72" s="1079">
        <f t="shared" si="127"/>
        <v>2920.4583333333335</v>
      </c>
      <c r="AY72" s="1079">
        <f t="shared" si="127"/>
        <v>2920.4583333333335</v>
      </c>
      <c r="AZ72" s="1079">
        <f t="shared" si="127"/>
        <v>2920.4583333333335</v>
      </c>
      <c r="BA72" s="1079">
        <f t="shared" si="127"/>
        <v>2920.4583333333335</v>
      </c>
      <c r="BB72" s="1079">
        <f t="shared" si="127"/>
        <v>2920.4583333333335</v>
      </c>
      <c r="BC72" s="1079">
        <f t="shared" si="127"/>
        <v>2920.4583333333335</v>
      </c>
      <c r="BD72" s="1079">
        <f t="shared" si="127"/>
        <v>2920.4583333333335</v>
      </c>
      <c r="BE72" s="1079">
        <f t="shared" si="127"/>
        <v>2920.4583333333335</v>
      </c>
      <c r="BF72" s="1079">
        <f t="shared" si="127"/>
        <v>2920.4583333333335</v>
      </c>
      <c r="BG72" s="1079">
        <f t="shared" si="127"/>
        <v>2920.4583333333335</v>
      </c>
      <c r="BH72" s="1079">
        <f t="shared" si="127"/>
        <v>2920.4583333333335</v>
      </c>
      <c r="BI72" s="1079">
        <f t="shared" si="127"/>
        <v>2920.4583333333335</v>
      </c>
      <c r="BJ72" s="1079">
        <f t="shared" si="127"/>
        <v>2920.4583333333335</v>
      </c>
      <c r="BK72" s="1079">
        <f t="shared" si="127"/>
        <v>2920.4583333333335</v>
      </c>
      <c r="BL72" s="1079">
        <f t="shared" si="127"/>
        <v>2920.4583333333335</v>
      </c>
      <c r="BM72" s="1079">
        <f t="shared" si="127"/>
        <v>2920.4583333333335</v>
      </c>
      <c r="BN72" s="1079">
        <f t="shared" si="127"/>
        <v>2920.4583333333335</v>
      </c>
      <c r="BO72" s="1079">
        <f t="shared" si="127"/>
        <v>2920.4583333333335</v>
      </c>
      <c r="BP72" s="1079">
        <f t="shared" si="127"/>
        <v>2920.4583333333335</v>
      </c>
      <c r="BQ72" s="1079">
        <f t="shared" si="127"/>
        <v>2920.4583333333335</v>
      </c>
      <c r="BR72" s="1079">
        <f t="shared" si="127"/>
        <v>2920.4583333333335</v>
      </c>
      <c r="BS72" s="1079">
        <f t="shared" si="127"/>
        <v>2920.4583333333335</v>
      </c>
      <c r="BT72" s="1079">
        <f t="shared" ref="BT72:CA72" si="128">SUM(BT70:BT71)</f>
        <v>2920.4583333333335</v>
      </c>
      <c r="BU72" s="1079">
        <f t="shared" si="128"/>
        <v>2920.4583333333335</v>
      </c>
      <c r="BV72" s="1079">
        <f t="shared" si="128"/>
        <v>2920.4583333333335</v>
      </c>
      <c r="BW72" s="1079">
        <f t="shared" si="128"/>
        <v>2920.4583333333335</v>
      </c>
      <c r="BX72" s="1079">
        <f t="shared" si="128"/>
        <v>2920.4583333333335</v>
      </c>
      <c r="BY72" s="1079">
        <f t="shared" si="128"/>
        <v>2920.4583333333335</v>
      </c>
      <c r="BZ72" s="1079">
        <f t="shared" si="128"/>
        <v>2920.4583333333335</v>
      </c>
      <c r="CA72" s="1079">
        <f t="shared" si="128"/>
        <v>2920.4583333333335</v>
      </c>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row>
    <row r="73" spans="2:316" s="1063" customFormat="1" ht="13.5" customHeight="1">
      <c r="B73" s="1066"/>
      <c r="C73" s="1074"/>
      <c r="D73" s="1074"/>
      <c r="G73" s="1080"/>
      <c r="H73" s="1080"/>
      <c r="I73" s="1080"/>
      <c r="J73" s="1080"/>
      <c r="K73" s="1080"/>
      <c r="L73" s="1080"/>
      <c r="M73" s="1080"/>
      <c r="N73" s="1080"/>
      <c r="O73" s="1080"/>
      <c r="P73" s="1080"/>
      <c r="Q73" s="1080"/>
      <c r="R73" s="1080"/>
      <c r="S73" s="1080"/>
      <c r="T73" s="1080"/>
      <c r="U73" s="1080"/>
      <c r="V73" s="1080"/>
      <c r="W73" s="1080"/>
      <c r="X73" s="1080"/>
      <c r="Y73" s="1080"/>
      <c r="Z73" s="1080"/>
      <c r="AA73" s="1080"/>
      <c r="AB73" s="1080"/>
      <c r="AC73" s="1080"/>
      <c r="AD73" s="1080"/>
      <c r="AE73" s="1080"/>
      <c r="AF73" s="1080"/>
      <c r="AG73" s="1080"/>
      <c r="AH73" s="1080"/>
      <c r="AI73" s="1080"/>
      <c r="AJ73" s="1080"/>
      <c r="AK73" s="1080"/>
      <c r="AL73" s="1080"/>
      <c r="AM73" s="1080"/>
      <c r="AN73" s="1080"/>
      <c r="AO73" s="1080"/>
      <c r="AP73" s="1080"/>
      <c r="AQ73" s="1080"/>
      <c r="AR73" s="1080"/>
      <c r="AS73" s="1080"/>
      <c r="AT73" s="1080"/>
      <c r="AU73" s="1080"/>
      <c r="AV73" s="1080"/>
      <c r="AW73" s="1080"/>
      <c r="AX73" s="1080"/>
      <c r="AY73" s="1080"/>
      <c r="AZ73" s="1080"/>
      <c r="BA73" s="1080"/>
      <c r="BB73" s="1080"/>
      <c r="BC73" s="1080"/>
      <c r="BD73" s="1080"/>
      <c r="BE73" s="1080"/>
      <c r="BF73" s="1080"/>
      <c r="BG73" s="1080"/>
      <c r="BH73" s="1080"/>
      <c r="BI73" s="1080"/>
      <c r="BJ73" s="1080"/>
      <c r="BK73" s="1080"/>
      <c r="BL73" s="1080"/>
      <c r="BM73" s="1080"/>
      <c r="BN73" s="1080"/>
      <c r="BO73" s="1080"/>
      <c r="BP73" s="1080"/>
      <c r="BQ73" s="1080"/>
      <c r="BR73" s="1080"/>
      <c r="BS73" s="1080"/>
      <c r="BT73" s="1080"/>
      <c r="BU73" s="1080"/>
      <c r="BV73" s="1080"/>
      <c r="BW73" s="1080"/>
      <c r="BX73" s="1080"/>
      <c r="BY73" s="1080"/>
      <c r="BZ73" s="1080"/>
      <c r="CA73" s="1080"/>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row>
    <row r="74" spans="2:316" s="1063" customFormat="1" ht="13.5" customHeight="1">
      <c r="B74" s="1066" t="s">
        <v>932</v>
      </c>
      <c r="C74" s="1074"/>
      <c r="D74" s="1074"/>
      <c r="G74" s="1080">
        <f>G66+G72</f>
        <v>0</v>
      </c>
      <c r="H74" s="1080">
        <f t="shared" ref="H74:BS74" si="129">H66+H72</f>
        <v>0</v>
      </c>
      <c r="I74" s="1080">
        <f t="shared" si="129"/>
        <v>0</v>
      </c>
      <c r="J74" s="1080">
        <f t="shared" si="129"/>
        <v>0</v>
      </c>
      <c r="K74" s="1080">
        <f t="shared" si="129"/>
        <v>0</v>
      </c>
      <c r="L74" s="1080">
        <f t="shared" si="129"/>
        <v>0</v>
      </c>
      <c r="M74" s="1080">
        <f t="shared" si="129"/>
        <v>0</v>
      </c>
      <c r="N74" s="1080">
        <f t="shared" si="129"/>
        <v>0</v>
      </c>
      <c r="O74" s="1080">
        <f t="shared" si="129"/>
        <v>0</v>
      </c>
      <c r="P74" s="1080">
        <f t="shared" si="129"/>
        <v>0</v>
      </c>
      <c r="Q74" s="1080">
        <f t="shared" si="129"/>
        <v>0</v>
      </c>
      <c r="R74" s="1080">
        <f t="shared" si="129"/>
        <v>0</v>
      </c>
      <c r="S74" s="1080">
        <f t="shared" si="129"/>
        <v>0</v>
      </c>
      <c r="T74" s="1080">
        <f t="shared" si="129"/>
        <v>0</v>
      </c>
      <c r="U74" s="1080">
        <f t="shared" si="129"/>
        <v>0</v>
      </c>
      <c r="V74" s="1080">
        <f t="shared" si="129"/>
        <v>0</v>
      </c>
      <c r="W74" s="1080">
        <f t="shared" si="129"/>
        <v>0</v>
      </c>
      <c r="X74" s="1080">
        <f t="shared" si="129"/>
        <v>0</v>
      </c>
      <c r="Y74" s="1080">
        <f t="shared" si="129"/>
        <v>0</v>
      </c>
      <c r="Z74" s="1080">
        <f t="shared" si="129"/>
        <v>0</v>
      </c>
      <c r="AA74" s="1080">
        <f t="shared" si="129"/>
        <v>0</v>
      </c>
      <c r="AB74" s="1080">
        <f t="shared" si="129"/>
        <v>0</v>
      </c>
      <c r="AC74" s="1080">
        <f t="shared" si="129"/>
        <v>0</v>
      </c>
      <c r="AD74" s="1080">
        <f t="shared" si="129"/>
        <v>0</v>
      </c>
      <c r="AE74" s="1080">
        <f t="shared" si="129"/>
        <v>0</v>
      </c>
      <c r="AF74" s="1080">
        <f t="shared" si="129"/>
        <v>0</v>
      </c>
      <c r="AG74" s="1080">
        <f t="shared" si="129"/>
        <v>0</v>
      </c>
      <c r="AH74" s="1080">
        <f t="shared" si="129"/>
        <v>0</v>
      </c>
      <c r="AI74" s="1080">
        <f t="shared" si="129"/>
        <v>0</v>
      </c>
      <c r="AJ74" s="1080">
        <f t="shared" si="129"/>
        <v>0</v>
      </c>
      <c r="AK74" s="1080">
        <f t="shared" si="129"/>
        <v>8704.375</v>
      </c>
      <c r="AL74" s="1080">
        <f t="shared" si="129"/>
        <v>8704.375</v>
      </c>
      <c r="AM74" s="1080">
        <f t="shared" si="129"/>
        <v>8704.375</v>
      </c>
      <c r="AN74" s="1080">
        <f t="shared" si="129"/>
        <v>8704.375</v>
      </c>
      <c r="AO74" s="1080">
        <f t="shared" si="129"/>
        <v>8704.375</v>
      </c>
      <c r="AP74" s="1080">
        <f t="shared" si="129"/>
        <v>8704.375</v>
      </c>
      <c r="AQ74" s="1080">
        <f t="shared" si="129"/>
        <v>16053.020833333334</v>
      </c>
      <c r="AR74" s="1080">
        <f t="shared" si="129"/>
        <v>16053.020833333334</v>
      </c>
      <c r="AS74" s="1080">
        <f t="shared" si="129"/>
        <v>16053.020833333334</v>
      </c>
      <c r="AT74" s="1080">
        <f t="shared" si="129"/>
        <v>16053.020833333334</v>
      </c>
      <c r="AU74" s="1080">
        <f t="shared" si="129"/>
        <v>16053.020833333334</v>
      </c>
      <c r="AV74" s="1080">
        <f t="shared" si="129"/>
        <v>16053.020833333334</v>
      </c>
      <c r="AW74" s="1080">
        <f t="shared" si="129"/>
        <v>16053.020833333334</v>
      </c>
      <c r="AX74" s="1080">
        <f t="shared" si="129"/>
        <v>16053.020833333334</v>
      </c>
      <c r="AY74" s="1080">
        <f t="shared" si="129"/>
        <v>16053.020833333334</v>
      </c>
      <c r="AZ74" s="1080">
        <f t="shared" si="129"/>
        <v>16053.020833333334</v>
      </c>
      <c r="BA74" s="1080">
        <f t="shared" si="129"/>
        <v>16053.020833333334</v>
      </c>
      <c r="BB74" s="1080">
        <f t="shared" si="129"/>
        <v>16053.020833333334</v>
      </c>
      <c r="BC74" s="1080">
        <f t="shared" si="129"/>
        <v>16053.020833333334</v>
      </c>
      <c r="BD74" s="1080">
        <f t="shared" si="129"/>
        <v>16053.020833333334</v>
      </c>
      <c r="BE74" s="1080">
        <f t="shared" si="129"/>
        <v>16053.020833333334</v>
      </c>
      <c r="BF74" s="1080">
        <f t="shared" si="129"/>
        <v>16053.020833333334</v>
      </c>
      <c r="BG74" s="1080">
        <f t="shared" si="129"/>
        <v>16053.020833333334</v>
      </c>
      <c r="BH74" s="1080">
        <f t="shared" si="129"/>
        <v>16053.020833333334</v>
      </c>
      <c r="BI74" s="1080">
        <f t="shared" si="129"/>
        <v>16053.020833333334</v>
      </c>
      <c r="BJ74" s="1080">
        <f t="shared" si="129"/>
        <v>16053.020833333334</v>
      </c>
      <c r="BK74" s="1080">
        <f t="shared" si="129"/>
        <v>16053.020833333334</v>
      </c>
      <c r="BL74" s="1080">
        <f t="shared" si="129"/>
        <v>16053.020833333334</v>
      </c>
      <c r="BM74" s="1080">
        <f t="shared" si="129"/>
        <v>16053.020833333334</v>
      </c>
      <c r="BN74" s="1080">
        <f t="shared" si="129"/>
        <v>16053.020833333334</v>
      </c>
      <c r="BO74" s="1080">
        <f t="shared" si="129"/>
        <v>16053.020833333334</v>
      </c>
      <c r="BP74" s="1080">
        <f t="shared" si="129"/>
        <v>16053.020833333334</v>
      </c>
      <c r="BQ74" s="1080">
        <f t="shared" si="129"/>
        <v>16053.020833333334</v>
      </c>
      <c r="BR74" s="1080">
        <f t="shared" si="129"/>
        <v>16053.020833333334</v>
      </c>
      <c r="BS74" s="1080">
        <f t="shared" si="129"/>
        <v>16053.020833333334</v>
      </c>
      <c r="BT74" s="1080">
        <f t="shared" ref="BT74:CA74" si="130">BT66+BT72</f>
        <v>16053.020833333334</v>
      </c>
      <c r="BU74" s="1080">
        <f t="shared" si="130"/>
        <v>16053.020833333334</v>
      </c>
      <c r="BV74" s="1080">
        <f t="shared" si="130"/>
        <v>16053.020833333334</v>
      </c>
      <c r="BW74" s="1080">
        <f t="shared" si="130"/>
        <v>16053.020833333334</v>
      </c>
      <c r="BX74" s="1080">
        <f t="shared" si="130"/>
        <v>16053.020833333334</v>
      </c>
      <c r="BY74" s="1080">
        <f t="shared" si="130"/>
        <v>16053.020833333334</v>
      </c>
      <c r="BZ74" s="1080">
        <f t="shared" si="130"/>
        <v>16053.020833333334</v>
      </c>
      <c r="CA74" s="1080">
        <f t="shared" si="130"/>
        <v>16053.020833333334</v>
      </c>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row>
    <row r="75" spans="2:316" s="1063" customFormat="1" ht="13.5" customHeight="1">
      <c r="B75" s="1066" t="s">
        <v>92</v>
      </c>
      <c r="C75" s="1081">
        <f>'Assumptions &amp; Inputs'!E14</f>
        <v>0.05</v>
      </c>
      <c r="D75" s="1081"/>
      <c r="G75" s="1082">
        <f>IF(SUM(G61,G63)&gt;0,-$C$75*G74,0)</f>
        <v>0</v>
      </c>
      <c r="H75" s="1082">
        <f t="shared" ref="H75:BS75" si="131">IF(SUM(H61,H63)&gt;0,-$C$75*H74,0)</f>
        <v>0</v>
      </c>
      <c r="I75" s="1082">
        <f t="shared" si="131"/>
        <v>0</v>
      </c>
      <c r="J75" s="1082">
        <f t="shared" si="131"/>
        <v>0</v>
      </c>
      <c r="K75" s="1082">
        <f t="shared" si="131"/>
        <v>0</v>
      </c>
      <c r="L75" s="1082">
        <f t="shared" si="131"/>
        <v>0</v>
      </c>
      <c r="M75" s="1082">
        <f t="shared" si="131"/>
        <v>0</v>
      </c>
      <c r="N75" s="1082">
        <f t="shared" si="131"/>
        <v>0</v>
      </c>
      <c r="O75" s="1082">
        <f t="shared" si="131"/>
        <v>0</v>
      </c>
      <c r="P75" s="1082">
        <f t="shared" si="131"/>
        <v>0</v>
      </c>
      <c r="Q75" s="1082">
        <f t="shared" si="131"/>
        <v>0</v>
      </c>
      <c r="R75" s="1082">
        <f t="shared" si="131"/>
        <v>0</v>
      </c>
      <c r="S75" s="1082">
        <f t="shared" si="131"/>
        <v>0</v>
      </c>
      <c r="T75" s="1082">
        <f t="shared" si="131"/>
        <v>0</v>
      </c>
      <c r="U75" s="1082">
        <f t="shared" si="131"/>
        <v>0</v>
      </c>
      <c r="V75" s="1082">
        <f t="shared" si="131"/>
        <v>0</v>
      </c>
      <c r="W75" s="1082">
        <f t="shared" si="131"/>
        <v>0</v>
      </c>
      <c r="X75" s="1082">
        <f t="shared" si="131"/>
        <v>0</v>
      </c>
      <c r="Y75" s="1082">
        <f t="shared" si="131"/>
        <v>0</v>
      </c>
      <c r="Z75" s="1082">
        <f t="shared" si="131"/>
        <v>0</v>
      </c>
      <c r="AA75" s="1082">
        <f t="shared" si="131"/>
        <v>0</v>
      </c>
      <c r="AB75" s="1082">
        <f t="shared" si="131"/>
        <v>0</v>
      </c>
      <c r="AC75" s="1082">
        <f t="shared" si="131"/>
        <v>0</v>
      </c>
      <c r="AD75" s="1082">
        <f t="shared" si="131"/>
        <v>0</v>
      </c>
      <c r="AE75" s="1082">
        <f t="shared" si="131"/>
        <v>0</v>
      </c>
      <c r="AF75" s="1082">
        <f t="shared" si="131"/>
        <v>0</v>
      </c>
      <c r="AG75" s="1082">
        <f t="shared" si="131"/>
        <v>0</v>
      </c>
      <c r="AH75" s="1082">
        <f t="shared" si="131"/>
        <v>0</v>
      </c>
      <c r="AI75" s="1082">
        <f t="shared" si="131"/>
        <v>0</v>
      </c>
      <c r="AJ75" s="1082">
        <f t="shared" si="131"/>
        <v>0</v>
      </c>
      <c r="AK75" s="1082">
        <f t="shared" si="131"/>
        <v>-435.21875</v>
      </c>
      <c r="AL75" s="1082">
        <f t="shared" si="131"/>
        <v>-435.21875</v>
      </c>
      <c r="AM75" s="1082">
        <f t="shared" si="131"/>
        <v>-435.21875</v>
      </c>
      <c r="AN75" s="1082">
        <f t="shared" si="131"/>
        <v>-435.21875</v>
      </c>
      <c r="AO75" s="1082">
        <f t="shared" si="131"/>
        <v>-435.21875</v>
      </c>
      <c r="AP75" s="1082">
        <f t="shared" si="131"/>
        <v>-435.21875</v>
      </c>
      <c r="AQ75" s="1082">
        <f t="shared" si="131"/>
        <v>-802.65104166666674</v>
      </c>
      <c r="AR75" s="1082">
        <f t="shared" si="131"/>
        <v>-802.65104166666674</v>
      </c>
      <c r="AS75" s="1082">
        <f t="shared" si="131"/>
        <v>-802.65104166666674</v>
      </c>
      <c r="AT75" s="1082">
        <f t="shared" si="131"/>
        <v>-802.65104166666674</v>
      </c>
      <c r="AU75" s="1082">
        <f t="shared" si="131"/>
        <v>-802.65104166666674</v>
      </c>
      <c r="AV75" s="1082">
        <f t="shared" si="131"/>
        <v>-802.65104166666674</v>
      </c>
      <c r="AW75" s="1082">
        <f t="shared" si="131"/>
        <v>-802.65104166666674</v>
      </c>
      <c r="AX75" s="1082">
        <f t="shared" si="131"/>
        <v>-802.65104166666674</v>
      </c>
      <c r="AY75" s="1082">
        <f t="shared" si="131"/>
        <v>-802.65104166666674</v>
      </c>
      <c r="AZ75" s="1082">
        <f t="shared" si="131"/>
        <v>-802.65104166666674</v>
      </c>
      <c r="BA75" s="1082">
        <f t="shared" si="131"/>
        <v>-802.65104166666674</v>
      </c>
      <c r="BB75" s="1082">
        <f t="shared" si="131"/>
        <v>-802.65104166666674</v>
      </c>
      <c r="BC75" s="1082">
        <f t="shared" si="131"/>
        <v>-802.65104166666674</v>
      </c>
      <c r="BD75" s="1082">
        <f t="shared" si="131"/>
        <v>-802.65104166666674</v>
      </c>
      <c r="BE75" s="1082">
        <f t="shared" si="131"/>
        <v>-802.65104166666674</v>
      </c>
      <c r="BF75" s="1082">
        <f t="shared" si="131"/>
        <v>-802.65104166666674</v>
      </c>
      <c r="BG75" s="1082">
        <f t="shared" si="131"/>
        <v>-802.65104166666674</v>
      </c>
      <c r="BH75" s="1082">
        <f t="shared" si="131"/>
        <v>-802.65104166666674</v>
      </c>
      <c r="BI75" s="1082">
        <f t="shared" si="131"/>
        <v>-802.65104166666674</v>
      </c>
      <c r="BJ75" s="1082">
        <f t="shared" si="131"/>
        <v>-802.65104166666674</v>
      </c>
      <c r="BK75" s="1082">
        <f t="shared" si="131"/>
        <v>-802.65104166666674</v>
      </c>
      <c r="BL75" s="1082">
        <f t="shared" si="131"/>
        <v>-802.65104166666674</v>
      </c>
      <c r="BM75" s="1082">
        <f t="shared" si="131"/>
        <v>-802.65104166666674</v>
      </c>
      <c r="BN75" s="1082">
        <f t="shared" si="131"/>
        <v>-802.65104166666674</v>
      </c>
      <c r="BO75" s="1082">
        <f t="shared" si="131"/>
        <v>-802.65104166666674</v>
      </c>
      <c r="BP75" s="1082">
        <f t="shared" si="131"/>
        <v>-802.65104166666674</v>
      </c>
      <c r="BQ75" s="1082">
        <f t="shared" si="131"/>
        <v>-802.65104166666674</v>
      </c>
      <c r="BR75" s="1082">
        <f t="shared" si="131"/>
        <v>-802.65104166666674</v>
      </c>
      <c r="BS75" s="1082">
        <f t="shared" si="131"/>
        <v>-802.65104166666674</v>
      </c>
      <c r="BT75" s="1082">
        <f t="shared" ref="BT75:CA75" si="132">IF(SUM(BT61,BT63)&gt;0,-$C$75*BT74,0)</f>
        <v>-802.65104166666674</v>
      </c>
      <c r="BU75" s="1082">
        <f t="shared" si="132"/>
        <v>-802.65104166666674</v>
      </c>
      <c r="BV75" s="1082">
        <f t="shared" si="132"/>
        <v>-802.65104166666674</v>
      </c>
      <c r="BW75" s="1082">
        <f t="shared" si="132"/>
        <v>-802.65104166666674</v>
      </c>
      <c r="BX75" s="1082">
        <f t="shared" si="132"/>
        <v>-802.65104166666674</v>
      </c>
      <c r="BY75" s="1082">
        <f t="shared" si="132"/>
        <v>-802.65104166666674</v>
      </c>
      <c r="BZ75" s="1082">
        <f t="shared" si="132"/>
        <v>-802.65104166666674</v>
      </c>
      <c r="CA75" s="1082">
        <f t="shared" si="132"/>
        <v>-802.65104166666674</v>
      </c>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row>
    <row r="76" spans="2:316" s="1063" customFormat="1" ht="13.5" customHeight="1">
      <c r="G76" s="1078"/>
      <c r="H76" s="1078"/>
      <c r="I76" s="1078"/>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c r="IS76" s="13"/>
      <c r="IT76" s="13"/>
      <c r="IU76" s="13"/>
      <c r="IV76" s="13"/>
      <c r="IW76" s="13"/>
      <c r="IX76" s="13"/>
      <c r="IY76" s="13"/>
      <c r="IZ76" s="13"/>
      <c r="JA76" s="13"/>
      <c r="JB76" s="13"/>
      <c r="JC76" s="13"/>
      <c r="JD76" s="13"/>
      <c r="JE76" s="13"/>
      <c r="JF76" s="13"/>
      <c r="JG76" s="13"/>
      <c r="JH76" s="13"/>
      <c r="JI76" s="13"/>
      <c r="JJ76" s="13"/>
      <c r="JK76" s="13"/>
      <c r="JL76" s="13"/>
      <c r="JM76" s="13"/>
      <c r="JN76" s="13"/>
      <c r="JO76" s="13"/>
      <c r="JP76" s="13"/>
      <c r="JQ76" s="13"/>
      <c r="JR76" s="13"/>
      <c r="JS76" s="13"/>
      <c r="JT76" s="13"/>
      <c r="JU76" s="13"/>
      <c r="JV76" s="13"/>
      <c r="JW76" s="13"/>
      <c r="JX76" s="13"/>
      <c r="JY76" s="13"/>
      <c r="JZ76" s="13"/>
      <c r="KA76" s="13"/>
      <c r="KB76" s="13"/>
      <c r="KC76" s="13"/>
      <c r="KD76" s="13"/>
      <c r="KE76" s="13"/>
      <c r="KF76" s="13"/>
      <c r="KG76" s="13"/>
      <c r="KH76" s="13"/>
      <c r="KI76" s="13"/>
      <c r="KJ76" s="13"/>
      <c r="KK76" s="13"/>
      <c r="KL76" s="13"/>
      <c r="KM76" s="13"/>
      <c r="KN76" s="13"/>
      <c r="KO76" s="13"/>
      <c r="KP76" s="13"/>
      <c r="KQ76" s="13"/>
      <c r="KR76" s="13"/>
      <c r="KS76" s="13"/>
      <c r="KT76" s="13"/>
      <c r="KU76" s="13"/>
      <c r="KV76" s="13"/>
      <c r="KW76" s="13"/>
      <c r="KX76" s="13"/>
      <c r="KY76" s="13"/>
      <c r="KZ76" s="13"/>
      <c r="LA76" s="13"/>
      <c r="LB76" s="13"/>
      <c r="LC76" s="13"/>
      <c r="LD76" s="13"/>
    </row>
    <row r="77" spans="2:316" s="1063" customFormat="1">
      <c r="B77" s="1083" t="s">
        <v>29</v>
      </c>
      <c r="C77" s="1072"/>
      <c r="D77" s="1072"/>
      <c r="E77" s="1072"/>
      <c r="F77" s="1072"/>
      <c r="G77" s="1084">
        <f>G74+G75</f>
        <v>0</v>
      </c>
      <c r="H77" s="1084">
        <f t="shared" ref="H77:BS77" si="133">H74+H75</f>
        <v>0</v>
      </c>
      <c r="I77" s="1084">
        <f t="shared" si="133"/>
        <v>0</v>
      </c>
      <c r="J77" s="1084">
        <f t="shared" si="133"/>
        <v>0</v>
      </c>
      <c r="K77" s="1084">
        <f t="shared" si="133"/>
        <v>0</v>
      </c>
      <c r="L77" s="1084">
        <f t="shared" si="133"/>
        <v>0</v>
      </c>
      <c r="M77" s="1084">
        <f t="shared" si="133"/>
        <v>0</v>
      </c>
      <c r="N77" s="1084">
        <f t="shared" si="133"/>
        <v>0</v>
      </c>
      <c r="O77" s="1084">
        <f t="shared" si="133"/>
        <v>0</v>
      </c>
      <c r="P77" s="1084">
        <f t="shared" si="133"/>
        <v>0</v>
      </c>
      <c r="Q77" s="1084">
        <f t="shared" si="133"/>
        <v>0</v>
      </c>
      <c r="R77" s="1084">
        <f t="shared" si="133"/>
        <v>0</v>
      </c>
      <c r="S77" s="1084">
        <f t="shared" si="133"/>
        <v>0</v>
      </c>
      <c r="T77" s="1084">
        <f t="shared" si="133"/>
        <v>0</v>
      </c>
      <c r="U77" s="1084">
        <f t="shared" si="133"/>
        <v>0</v>
      </c>
      <c r="V77" s="1084">
        <f t="shared" si="133"/>
        <v>0</v>
      </c>
      <c r="W77" s="1084">
        <f t="shared" si="133"/>
        <v>0</v>
      </c>
      <c r="X77" s="1084">
        <f t="shared" si="133"/>
        <v>0</v>
      </c>
      <c r="Y77" s="1084">
        <f t="shared" si="133"/>
        <v>0</v>
      </c>
      <c r="Z77" s="1084">
        <f t="shared" si="133"/>
        <v>0</v>
      </c>
      <c r="AA77" s="1084">
        <f t="shared" si="133"/>
        <v>0</v>
      </c>
      <c r="AB77" s="1084">
        <f t="shared" si="133"/>
        <v>0</v>
      </c>
      <c r="AC77" s="1084">
        <f t="shared" si="133"/>
        <v>0</v>
      </c>
      <c r="AD77" s="1084">
        <f t="shared" si="133"/>
        <v>0</v>
      </c>
      <c r="AE77" s="1084">
        <f t="shared" si="133"/>
        <v>0</v>
      </c>
      <c r="AF77" s="1084">
        <f t="shared" si="133"/>
        <v>0</v>
      </c>
      <c r="AG77" s="1084">
        <f t="shared" si="133"/>
        <v>0</v>
      </c>
      <c r="AH77" s="1084">
        <f t="shared" si="133"/>
        <v>0</v>
      </c>
      <c r="AI77" s="1084">
        <f t="shared" si="133"/>
        <v>0</v>
      </c>
      <c r="AJ77" s="1084">
        <f t="shared" si="133"/>
        <v>0</v>
      </c>
      <c r="AK77" s="1084">
        <f t="shared" si="133"/>
        <v>8269.15625</v>
      </c>
      <c r="AL77" s="1084">
        <f t="shared" si="133"/>
        <v>8269.15625</v>
      </c>
      <c r="AM77" s="1084">
        <f t="shared" si="133"/>
        <v>8269.15625</v>
      </c>
      <c r="AN77" s="1084">
        <f t="shared" si="133"/>
        <v>8269.15625</v>
      </c>
      <c r="AO77" s="1084">
        <f t="shared" si="133"/>
        <v>8269.15625</v>
      </c>
      <c r="AP77" s="1084">
        <f t="shared" si="133"/>
        <v>8269.15625</v>
      </c>
      <c r="AQ77" s="1084">
        <f t="shared" si="133"/>
        <v>15250.369791666668</v>
      </c>
      <c r="AR77" s="1084">
        <f t="shared" si="133"/>
        <v>15250.369791666668</v>
      </c>
      <c r="AS77" s="1084">
        <f t="shared" si="133"/>
        <v>15250.369791666668</v>
      </c>
      <c r="AT77" s="1084">
        <f t="shared" si="133"/>
        <v>15250.369791666668</v>
      </c>
      <c r="AU77" s="1084">
        <f t="shared" si="133"/>
        <v>15250.369791666668</v>
      </c>
      <c r="AV77" s="1084">
        <f t="shared" si="133"/>
        <v>15250.369791666668</v>
      </c>
      <c r="AW77" s="1084">
        <f t="shared" si="133"/>
        <v>15250.369791666668</v>
      </c>
      <c r="AX77" s="1084">
        <f t="shared" si="133"/>
        <v>15250.369791666668</v>
      </c>
      <c r="AY77" s="1084">
        <f t="shared" si="133"/>
        <v>15250.369791666668</v>
      </c>
      <c r="AZ77" s="1084">
        <f t="shared" si="133"/>
        <v>15250.369791666668</v>
      </c>
      <c r="BA77" s="1084">
        <f t="shared" si="133"/>
        <v>15250.369791666668</v>
      </c>
      <c r="BB77" s="1084">
        <f t="shared" si="133"/>
        <v>15250.369791666668</v>
      </c>
      <c r="BC77" s="1084">
        <f t="shared" si="133"/>
        <v>15250.369791666668</v>
      </c>
      <c r="BD77" s="1084">
        <f t="shared" si="133"/>
        <v>15250.369791666668</v>
      </c>
      <c r="BE77" s="1084">
        <f t="shared" si="133"/>
        <v>15250.369791666668</v>
      </c>
      <c r="BF77" s="1084">
        <f t="shared" si="133"/>
        <v>15250.369791666668</v>
      </c>
      <c r="BG77" s="1084">
        <f t="shared" si="133"/>
        <v>15250.369791666668</v>
      </c>
      <c r="BH77" s="1084">
        <f t="shared" si="133"/>
        <v>15250.369791666668</v>
      </c>
      <c r="BI77" s="1084">
        <f t="shared" si="133"/>
        <v>15250.369791666668</v>
      </c>
      <c r="BJ77" s="1084">
        <f t="shared" si="133"/>
        <v>15250.369791666668</v>
      </c>
      <c r="BK77" s="1084">
        <f t="shared" si="133"/>
        <v>15250.369791666668</v>
      </c>
      <c r="BL77" s="1084">
        <f t="shared" si="133"/>
        <v>15250.369791666668</v>
      </c>
      <c r="BM77" s="1084">
        <f t="shared" si="133"/>
        <v>15250.369791666668</v>
      </c>
      <c r="BN77" s="1084">
        <f t="shared" si="133"/>
        <v>15250.369791666668</v>
      </c>
      <c r="BO77" s="1084">
        <f t="shared" si="133"/>
        <v>15250.369791666668</v>
      </c>
      <c r="BP77" s="1084">
        <f t="shared" si="133"/>
        <v>15250.369791666668</v>
      </c>
      <c r="BQ77" s="1084">
        <f t="shared" si="133"/>
        <v>15250.369791666668</v>
      </c>
      <c r="BR77" s="1084">
        <f t="shared" si="133"/>
        <v>15250.369791666668</v>
      </c>
      <c r="BS77" s="1084">
        <f t="shared" si="133"/>
        <v>15250.369791666668</v>
      </c>
      <c r="BT77" s="1084">
        <f t="shared" ref="BT77:CA77" si="134">BT74+BT75</f>
        <v>15250.369791666668</v>
      </c>
      <c r="BU77" s="1084">
        <f t="shared" si="134"/>
        <v>15250.369791666668</v>
      </c>
      <c r="BV77" s="1084">
        <f t="shared" si="134"/>
        <v>15250.369791666668</v>
      </c>
      <c r="BW77" s="1084">
        <f t="shared" si="134"/>
        <v>15250.369791666668</v>
      </c>
      <c r="BX77" s="1084">
        <f t="shared" si="134"/>
        <v>15250.369791666668</v>
      </c>
      <c r="BY77" s="1084">
        <f t="shared" si="134"/>
        <v>15250.369791666668</v>
      </c>
      <c r="BZ77" s="1084">
        <f t="shared" si="134"/>
        <v>15250.369791666668</v>
      </c>
      <c r="CA77" s="1084">
        <f t="shared" si="134"/>
        <v>15250.369791666668</v>
      </c>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row>
    <row r="78" spans="2:316" s="1063" customFormat="1" ht="13.5" customHeight="1">
      <c r="B78" s="1066"/>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c r="IS78" s="13"/>
      <c r="IT78" s="13"/>
      <c r="IU78" s="13"/>
      <c r="IV78" s="13"/>
      <c r="IW78" s="13"/>
      <c r="IX78" s="13"/>
      <c r="IY78" s="13"/>
      <c r="IZ78" s="13"/>
      <c r="JA78" s="13"/>
      <c r="JB78" s="13"/>
      <c r="JC78" s="13"/>
      <c r="JD78" s="13"/>
      <c r="JE78" s="13"/>
      <c r="JF78" s="13"/>
      <c r="JG78" s="13"/>
      <c r="JH78" s="13"/>
      <c r="JI78" s="13"/>
      <c r="JJ78" s="13"/>
      <c r="JK78" s="13"/>
      <c r="JL78" s="13"/>
      <c r="JM78" s="13"/>
      <c r="JN78" s="13"/>
      <c r="JO78" s="13"/>
      <c r="JP78" s="13"/>
      <c r="JQ78" s="13"/>
      <c r="JR78" s="13"/>
      <c r="JS78" s="13"/>
      <c r="JT78" s="13"/>
      <c r="JU78" s="13"/>
      <c r="JV78" s="13"/>
      <c r="JW78" s="13"/>
      <c r="JX78" s="13"/>
      <c r="JY78" s="13"/>
      <c r="JZ78" s="13"/>
      <c r="KA78" s="13"/>
      <c r="KB78" s="13"/>
      <c r="KC78" s="13"/>
      <c r="KD78" s="13"/>
      <c r="KE78" s="13"/>
      <c r="KF78" s="13"/>
      <c r="KG78" s="13"/>
      <c r="KH78" s="13"/>
      <c r="KI78" s="13"/>
      <c r="KJ78" s="13"/>
      <c r="KK78" s="13"/>
      <c r="KL78" s="13"/>
      <c r="KM78" s="13"/>
      <c r="KN78" s="13"/>
      <c r="KO78" s="13"/>
      <c r="KP78" s="13"/>
      <c r="KQ78" s="13"/>
      <c r="KR78" s="13"/>
      <c r="KS78" s="13"/>
      <c r="KT78" s="13"/>
      <c r="KU78" s="13"/>
      <c r="KV78" s="13"/>
      <c r="KW78" s="13"/>
      <c r="KX78" s="13"/>
      <c r="KY78" s="13"/>
      <c r="KZ78" s="13"/>
      <c r="LA78" s="13"/>
      <c r="LB78" s="13"/>
      <c r="LC78" s="13"/>
      <c r="LD78" s="13"/>
    </row>
    <row r="79" spans="2:316" s="1063" customFormat="1">
      <c r="B79" s="1066" t="s">
        <v>934</v>
      </c>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13"/>
      <c r="HA79" s="13"/>
      <c r="HB79" s="13"/>
      <c r="HC79" s="13"/>
      <c r="HD79" s="13"/>
      <c r="HE79" s="13"/>
      <c r="HF79" s="13"/>
      <c r="HG79" s="13"/>
      <c r="HH79" s="13"/>
      <c r="HI79" s="13"/>
      <c r="HJ79" s="13"/>
      <c r="HK79" s="13"/>
      <c r="HL79" s="13"/>
      <c r="HM79" s="13"/>
      <c r="HN79" s="13"/>
      <c r="HO79" s="13"/>
      <c r="HP79" s="13"/>
      <c r="HQ79" s="13"/>
      <c r="HR79" s="13"/>
      <c r="HS79" s="13"/>
      <c r="HT79" s="13"/>
      <c r="HU79" s="13"/>
      <c r="HV79" s="13"/>
      <c r="HW79" s="13"/>
      <c r="HX79" s="13"/>
      <c r="HY79" s="13"/>
      <c r="HZ79" s="13"/>
      <c r="IA79" s="13"/>
      <c r="IB79" s="13"/>
      <c r="IC79" s="13"/>
      <c r="ID79" s="13"/>
      <c r="IE79" s="13"/>
      <c r="IF79" s="13"/>
      <c r="IG79" s="13"/>
      <c r="IH79" s="13"/>
      <c r="II79" s="13"/>
      <c r="IJ79" s="13"/>
      <c r="IK79" s="13"/>
      <c r="IL79" s="13"/>
      <c r="IM79" s="13"/>
      <c r="IN79" s="13"/>
      <c r="IO79" s="13"/>
      <c r="IP79" s="13"/>
      <c r="IQ79" s="13"/>
      <c r="IR79" s="13"/>
      <c r="IS79" s="13"/>
      <c r="IT79" s="13"/>
      <c r="IU79" s="13"/>
      <c r="IV79" s="13"/>
      <c r="IW79" s="13"/>
      <c r="IX79" s="13"/>
      <c r="IY79" s="13"/>
      <c r="IZ79" s="13"/>
      <c r="JA79" s="13"/>
      <c r="JB79" s="13"/>
      <c r="JC79" s="13"/>
      <c r="JD79" s="13"/>
      <c r="JE79" s="13"/>
      <c r="JF79" s="13"/>
      <c r="JG79" s="13"/>
      <c r="JH79" s="13"/>
      <c r="JI79" s="13"/>
      <c r="JJ79" s="13"/>
      <c r="JK79" s="13"/>
      <c r="JL79" s="13"/>
      <c r="JM79" s="13"/>
      <c r="JN79" s="13"/>
      <c r="JO79" s="13"/>
      <c r="JP79" s="13"/>
      <c r="JQ79" s="13"/>
      <c r="JR79" s="13"/>
      <c r="JS79" s="13"/>
      <c r="JT79" s="13"/>
      <c r="JU79" s="13"/>
      <c r="JV79" s="13"/>
      <c r="JW79" s="13"/>
      <c r="JX79" s="13"/>
      <c r="JY79" s="13"/>
      <c r="JZ79" s="13"/>
      <c r="KA79" s="13"/>
      <c r="KB79" s="13"/>
      <c r="KC79" s="13"/>
      <c r="KD79" s="13"/>
      <c r="KE79" s="13"/>
      <c r="KF79" s="13"/>
      <c r="KG79" s="13"/>
      <c r="KH79" s="13"/>
      <c r="KI79" s="13"/>
      <c r="KJ79" s="13"/>
      <c r="KK79" s="13"/>
      <c r="KL79" s="13"/>
      <c r="KM79" s="13"/>
      <c r="KN79" s="13"/>
      <c r="KO79" s="13"/>
      <c r="KP79" s="13"/>
      <c r="KQ79" s="13"/>
      <c r="KR79" s="13"/>
      <c r="KS79" s="13"/>
      <c r="KT79" s="13"/>
      <c r="KU79" s="13"/>
      <c r="KV79" s="13"/>
      <c r="KW79" s="13"/>
      <c r="KX79" s="13"/>
      <c r="KY79" s="13"/>
      <c r="KZ79" s="13"/>
      <c r="LA79" s="13"/>
      <c r="LB79" s="13"/>
      <c r="LC79" s="13"/>
      <c r="LD79" s="13"/>
    </row>
    <row r="80" spans="2:316" s="1063" customFormat="1">
      <c r="B80" s="1066" t="s">
        <v>440</v>
      </c>
      <c r="C80" s="1077">
        <f>'Assumptions &amp; Inputs'!E47</f>
        <v>5</v>
      </c>
      <c r="D80" s="1077"/>
      <c r="G80" s="1078">
        <f t="shared" ref="G80:AL80" si="135">IF(G12&gt;0,$C$80/12*$C$61,0)</f>
        <v>0</v>
      </c>
      <c r="H80" s="1078">
        <f t="shared" si="135"/>
        <v>0</v>
      </c>
      <c r="I80" s="1078">
        <f t="shared" si="135"/>
        <v>0</v>
      </c>
      <c r="J80" s="1078">
        <f t="shared" si="135"/>
        <v>0</v>
      </c>
      <c r="K80" s="1078">
        <f t="shared" si="135"/>
        <v>0</v>
      </c>
      <c r="L80" s="1078">
        <f t="shared" si="135"/>
        <v>0</v>
      </c>
      <c r="M80" s="1078">
        <f t="shared" si="135"/>
        <v>0</v>
      </c>
      <c r="N80" s="1078">
        <f t="shared" si="135"/>
        <v>0</v>
      </c>
      <c r="O80" s="1078">
        <f t="shared" si="135"/>
        <v>0</v>
      </c>
      <c r="P80" s="1078">
        <f t="shared" si="135"/>
        <v>0</v>
      </c>
      <c r="Q80" s="1078">
        <f t="shared" si="135"/>
        <v>0</v>
      </c>
      <c r="R80" s="1078">
        <f t="shared" si="135"/>
        <v>0</v>
      </c>
      <c r="S80" s="1078">
        <f t="shared" si="135"/>
        <v>0</v>
      </c>
      <c r="T80" s="1078">
        <f t="shared" si="135"/>
        <v>0</v>
      </c>
      <c r="U80" s="1078">
        <f t="shared" si="135"/>
        <v>1450.7291666666667</v>
      </c>
      <c r="V80" s="1078">
        <f t="shared" si="135"/>
        <v>1450.7291666666667</v>
      </c>
      <c r="W80" s="1078">
        <f t="shared" si="135"/>
        <v>1450.7291666666667</v>
      </c>
      <c r="X80" s="1078">
        <f t="shared" si="135"/>
        <v>1450.7291666666667</v>
      </c>
      <c r="Y80" s="1078">
        <f t="shared" si="135"/>
        <v>1450.7291666666667</v>
      </c>
      <c r="Z80" s="1078">
        <f t="shared" si="135"/>
        <v>1450.7291666666667</v>
      </c>
      <c r="AA80" s="1078">
        <f t="shared" si="135"/>
        <v>1450.7291666666667</v>
      </c>
      <c r="AB80" s="1078">
        <f t="shared" si="135"/>
        <v>1450.7291666666667</v>
      </c>
      <c r="AC80" s="1078">
        <f t="shared" si="135"/>
        <v>1450.7291666666667</v>
      </c>
      <c r="AD80" s="1078">
        <f t="shared" si="135"/>
        <v>1450.7291666666667</v>
      </c>
      <c r="AE80" s="1078">
        <f t="shared" si="135"/>
        <v>1450.7291666666667</v>
      </c>
      <c r="AF80" s="1078">
        <f t="shared" si="135"/>
        <v>1450.7291666666667</v>
      </c>
      <c r="AG80" s="1078">
        <f t="shared" si="135"/>
        <v>1450.7291666666667</v>
      </c>
      <c r="AH80" s="1078">
        <f t="shared" si="135"/>
        <v>1450.7291666666667</v>
      </c>
      <c r="AI80" s="1078">
        <f t="shared" si="135"/>
        <v>1450.7291666666667</v>
      </c>
      <c r="AJ80" s="1078">
        <f t="shared" si="135"/>
        <v>1450.7291666666667</v>
      </c>
      <c r="AK80" s="1078">
        <f t="shared" si="135"/>
        <v>1450.7291666666667</v>
      </c>
      <c r="AL80" s="1078">
        <f t="shared" si="135"/>
        <v>1450.7291666666667</v>
      </c>
      <c r="AM80" s="1078">
        <f t="shared" ref="AM80:BR80" si="136">IF(AM12&gt;0,$C$80/12*$C$61,0)</f>
        <v>1450.7291666666667</v>
      </c>
      <c r="AN80" s="1078">
        <f t="shared" si="136"/>
        <v>1450.7291666666667</v>
      </c>
      <c r="AO80" s="1078">
        <f t="shared" si="136"/>
        <v>1450.7291666666667</v>
      </c>
      <c r="AP80" s="1078">
        <f t="shared" si="136"/>
        <v>1450.7291666666667</v>
      </c>
      <c r="AQ80" s="1078">
        <f t="shared" si="136"/>
        <v>1450.7291666666667</v>
      </c>
      <c r="AR80" s="1078">
        <f t="shared" si="136"/>
        <v>1450.7291666666667</v>
      </c>
      <c r="AS80" s="1078">
        <f t="shared" si="136"/>
        <v>1450.7291666666667</v>
      </c>
      <c r="AT80" s="1078">
        <f t="shared" si="136"/>
        <v>1450.7291666666667</v>
      </c>
      <c r="AU80" s="1078">
        <f t="shared" si="136"/>
        <v>1450.7291666666667</v>
      </c>
      <c r="AV80" s="1078">
        <f t="shared" si="136"/>
        <v>1450.7291666666667</v>
      </c>
      <c r="AW80" s="1078">
        <f t="shared" si="136"/>
        <v>1450.7291666666667</v>
      </c>
      <c r="AX80" s="1078">
        <f t="shared" si="136"/>
        <v>1450.7291666666667</v>
      </c>
      <c r="AY80" s="1078">
        <f t="shared" si="136"/>
        <v>1450.7291666666667</v>
      </c>
      <c r="AZ80" s="1078">
        <f t="shared" si="136"/>
        <v>1450.7291666666667</v>
      </c>
      <c r="BA80" s="1078">
        <f t="shared" si="136"/>
        <v>1450.7291666666667</v>
      </c>
      <c r="BB80" s="1078">
        <f t="shared" si="136"/>
        <v>1450.7291666666667</v>
      </c>
      <c r="BC80" s="1078">
        <f t="shared" si="136"/>
        <v>1450.7291666666667</v>
      </c>
      <c r="BD80" s="1078">
        <f t="shared" si="136"/>
        <v>1450.7291666666667</v>
      </c>
      <c r="BE80" s="1078">
        <f t="shared" si="136"/>
        <v>1450.7291666666667</v>
      </c>
      <c r="BF80" s="1078">
        <f t="shared" si="136"/>
        <v>1450.7291666666667</v>
      </c>
      <c r="BG80" s="1078">
        <f t="shared" si="136"/>
        <v>1450.7291666666667</v>
      </c>
      <c r="BH80" s="1078">
        <f t="shared" si="136"/>
        <v>1450.7291666666667</v>
      </c>
      <c r="BI80" s="1078">
        <f t="shared" si="136"/>
        <v>1450.7291666666667</v>
      </c>
      <c r="BJ80" s="1078">
        <f t="shared" si="136"/>
        <v>1450.7291666666667</v>
      </c>
      <c r="BK80" s="1078">
        <f t="shared" si="136"/>
        <v>1450.7291666666667</v>
      </c>
      <c r="BL80" s="1078">
        <f t="shared" si="136"/>
        <v>1450.7291666666667</v>
      </c>
      <c r="BM80" s="1078">
        <f t="shared" si="136"/>
        <v>1450.7291666666667</v>
      </c>
      <c r="BN80" s="1078">
        <f t="shared" si="136"/>
        <v>1450.7291666666667</v>
      </c>
      <c r="BO80" s="1078">
        <f t="shared" si="136"/>
        <v>1450.7291666666667</v>
      </c>
      <c r="BP80" s="1078">
        <f t="shared" si="136"/>
        <v>1450.7291666666667</v>
      </c>
      <c r="BQ80" s="1078">
        <f t="shared" si="136"/>
        <v>1450.7291666666667</v>
      </c>
      <c r="BR80" s="1078">
        <f t="shared" si="136"/>
        <v>1450.7291666666667</v>
      </c>
      <c r="BS80" s="1078">
        <f t="shared" ref="BS80:CA80" si="137">IF(BS12&gt;0,$C$80/12*$C$61,0)</f>
        <v>1450.7291666666667</v>
      </c>
      <c r="BT80" s="1078">
        <f t="shared" si="137"/>
        <v>1450.7291666666667</v>
      </c>
      <c r="BU80" s="1078">
        <f t="shared" si="137"/>
        <v>1450.7291666666667</v>
      </c>
      <c r="BV80" s="1078">
        <f t="shared" si="137"/>
        <v>1450.7291666666667</v>
      </c>
      <c r="BW80" s="1078">
        <f t="shared" si="137"/>
        <v>1450.7291666666667</v>
      </c>
      <c r="BX80" s="1078">
        <f t="shared" si="137"/>
        <v>1450.7291666666667</v>
      </c>
      <c r="BY80" s="1078">
        <f t="shared" si="137"/>
        <v>1450.7291666666667</v>
      </c>
      <c r="BZ80" s="1078">
        <f t="shared" si="137"/>
        <v>1450.7291666666667</v>
      </c>
      <c r="CA80" s="1078">
        <f t="shared" si="137"/>
        <v>1450.7291666666667</v>
      </c>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c r="IL80" s="13"/>
      <c r="IM80" s="13"/>
      <c r="IN80" s="13"/>
      <c r="IO80" s="13"/>
      <c r="IP80" s="13"/>
      <c r="IQ80" s="13"/>
      <c r="IR80" s="13"/>
      <c r="IS80" s="13"/>
      <c r="IT80" s="13"/>
      <c r="IU80" s="13"/>
      <c r="IV80" s="13"/>
      <c r="IW80" s="13"/>
      <c r="IX80" s="13"/>
      <c r="IY80" s="13"/>
      <c r="IZ80" s="13"/>
      <c r="JA80" s="13"/>
      <c r="JB80" s="13"/>
      <c r="JC80" s="13"/>
      <c r="JD80" s="13"/>
      <c r="JE80" s="13"/>
      <c r="JF80" s="13"/>
      <c r="JG80" s="13"/>
      <c r="JH80" s="13"/>
      <c r="JI80" s="13"/>
      <c r="JJ80" s="13"/>
      <c r="JK80" s="13"/>
      <c r="JL80" s="13"/>
      <c r="JM80" s="13"/>
      <c r="JN80" s="13"/>
      <c r="JO80" s="13"/>
      <c r="JP80" s="13"/>
      <c r="JQ80" s="13"/>
      <c r="JR80" s="13"/>
      <c r="JS80" s="13"/>
      <c r="JT80" s="13"/>
      <c r="JU80" s="13"/>
      <c r="JV80" s="13"/>
      <c r="JW80" s="13"/>
      <c r="JX80" s="13"/>
      <c r="JY80" s="13"/>
      <c r="JZ80" s="13"/>
      <c r="KA80" s="13"/>
      <c r="KB80" s="13"/>
      <c r="KC80" s="13"/>
      <c r="KD80" s="13"/>
      <c r="KE80" s="13"/>
      <c r="KF80" s="13"/>
      <c r="KG80" s="13"/>
      <c r="KH80" s="13"/>
      <c r="KI80" s="13"/>
      <c r="KJ80" s="13"/>
      <c r="KK80" s="13"/>
      <c r="KL80" s="13"/>
      <c r="KM80" s="13"/>
      <c r="KN80" s="13"/>
      <c r="KO80" s="13"/>
      <c r="KP80" s="13"/>
      <c r="KQ80" s="13"/>
      <c r="KR80" s="13"/>
      <c r="KS80" s="13"/>
      <c r="KT80" s="13"/>
      <c r="KU80" s="13"/>
      <c r="KV80" s="13"/>
      <c r="KW80" s="13"/>
      <c r="KX80" s="13"/>
      <c r="KY80" s="13"/>
      <c r="KZ80" s="13"/>
      <c r="LA80" s="13"/>
      <c r="LB80" s="13"/>
      <c r="LC80" s="13"/>
      <c r="LD80" s="13"/>
    </row>
    <row r="81" spans="1:316" s="1063" customFormat="1">
      <c r="B81" s="1066" t="s">
        <v>441</v>
      </c>
      <c r="C81" s="1077">
        <f>'Assumptions &amp; Inputs'!E52</f>
        <v>5</v>
      </c>
      <c r="D81" s="1077"/>
      <c r="G81" s="1078">
        <f t="shared" ref="G81:AL81" si="138">IF(G12&gt;0,$C$81/12*$C$63,0)</f>
        <v>0</v>
      </c>
      <c r="H81" s="1078">
        <f t="shared" si="138"/>
        <v>0</v>
      </c>
      <c r="I81" s="1078">
        <f t="shared" si="138"/>
        <v>0</v>
      </c>
      <c r="J81" s="1078">
        <f t="shared" si="138"/>
        <v>0</v>
      </c>
      <c r="K81" s="1078">
        <f t="shared" si="138"/>
        <v>0</v>
      </c>
      <c r="L81" s="1078">
        <f t="shared" si="138"/>
        <v>0</v>
      </c>
      <c r="M81" s="1078">
        <f t="shared" si="138"/>
        <v>0</v>
      </c>
      <c r="N81" s="1078">
        <f t="shared" si="138"/>
        <v>0</v>
      </c>
      <c r="O81" s="1078">
        <f t="shared" si="138"/>
        <v>0</v>
      </c>
      <c r="P81" s="1078">
        <f t="shared" si="138"/>
        <v>0</v>
      </c>
      <c r="Q81" s="1078">
        <f t="shared" si="138"/>
        <v>0</v>
      </c>
      <c r="R81" s="1078">
        <f t="shared" si="138"/>
        <v>0</v>
      </c>
      <c r="S81" s="1078">
        <f t="shared" si="138"/>
        <v>0</v>
      </c>
      <c r="T81" s="1078">
        <f t="shared" si="138"/>
        <v>0</v>
      </c>
      <c r="U81" s="1078">
        <f t="shared" si="138"/>
        <v>1469.7291666666667</v>
      </c>
      <c r="V81" s="1078">
        <f t="shared" si="138"/>
        <v>1469.7291666666667</v>
      </c>
      <c r="W81" s="1078">
        <f t="shared" si="138"/>
        <v>1469.7291666666667</v>
      </c>
      <c r="X81" s="1078">
        <f t="shared" si="138"/>
        <v>1469.7291666666667</v>
      </c>
      <c r="Y81" s="1078">
        <f t="shared" si="138"/>
        <v>1469.7291666666667</v>
      </c>
      <c r="Z81" s="1078">
        <f t="shared" si="138"/>
        <v>1469.7291666666667</v>
      </c>
      <c r="AA81" s="1078">
        <f t="shared" si="138"/>
        <v>1469.7291666666667</v>
      </c>
      <c r="AB81" s="1078">
        <f t="shared" si="138"/>
        <v>1469.7291666666667</v>
      </c>
      <c r="AC81" s="1078">
        <f t="shared" si="138"/>
        <v>1469.7291666666667</v>
      </c>
      <c r="AD81" s="1078">
        <f t="shared" si="138"/>
        <v>1469.7291666666667</v>
      </c>
      <c r="AE81" s="1078">
        <f t="shared" si="138"/>
        <v>1469.7291666666667</v>
      </c>
      <c r="AF81" s="1078">
        <f t="shared" si="138"/>
        <v>1469.7291666666667</v>
      </c>
      <c r="AG81" s="1078">
        <f t="shared" si="138"/>
        <v>1469.7291666666667</v>
      </c>
      <c r="AH81" s="1078">
        <f t="shared" si="138"/>
        <v>1469.7291666666667</v>
      </c>
      <c r="AI81" s="1078">
        <f t="shared" si="138"/>
        <v>1469.7291666666667</v>
      </c>
      <c r="AJ81" s="1078">
        <f t="shared" si="138"/>
        <v>1469.7291666666667</v>
      </c>
      <c r="AK81" s="1078">
        <f t="shared" si="138"/>
        <v>1469.7291666666667</v>
      </c>
      <c r="AL81" s="1078">
        <f t="shared" si="138"/>
        <v>1469.7291666666667</v>
      </c>
      <c r="AM81" s="1078">
        <f t="shared" ref="AM81:BR81" si="139">IF(AM12&gt;0,$C$81/12*$C$63,0)</f>
        <v>1469.7291666666667</v>
      </c>
      <c r="AN81" s="1078">
        <f t="shared" si="139"/>
        <v>1469.7291666666667</v>
      </c>
      <c r="AO81" s="1078">
        <f t="shared" si="139"/>
        <v>1469.7291666666667</v>
      </c>
      <c r="AP81" s="1078">
        <f t="shared" si="139"/>
        <v>1469.7291666666667</v>
      </c>
      <c r="AQ81" s="1078">
        <f t="shared" si="139"/>
        <v>1469.7291666666667</v>
      </c>
      <c r="AR81" s="1078">
        <f t="shared" si="139"/>
        <v>1469.7291666666667</v>
      </c>
      <c r="AS81" s="1078">
        <f t="shared" si="139"/>
        <v>1469.7291666666667</v>
      </c>
      <c r="AT81" s="1078">
        <f t="shared" si="139"/>
        <v>1469.7291666666667</v>
      </c>
      <c r="AU81" s="1078">
        <f t="shared" si="139"/>
        <v>1469.7291666666667</v>
      </c>
      <c r="AV81" s="1078">
        <f t="shared" si="139"/>
        <v>1469.7291666666667</v>
      </c>
      <c r="AW81" s="1078">
        <f t="shared" si="139"/>
        <v>1469.7291666666667</v>
      </c>
      <c r="AX81" s="1078">
        <f t="shared" si="139"/>
        <v>1469.7291666666667</v>
      </c>
      <c r="AY81" s="1078">
        <f t="shared" si="139"/>
        <v>1469.7291666666667</v>
      </c>
      <c r="AZ81" s="1078">
        <f t="shared" si="139"/>
        <v>1469.7291666666667</v>
      </c>
      <c r="BA81" s="1078">
        <f t="shared" si="139"/>
        <v>1469.7291666666667</v>
      </c>
      <c r="BB81" s="1078">
        <f t="shared" si="139"/>
        <v>1469.7291666666667</v>
      </c>
      <c r="BC81" s="1078">
        <f t="shared" si="139"/>
        <v>1469.7291666666667</v>
      </c>
      <c r="BD81" s="1078">
        <f t="shared" si="139"/>
        <v>1469.7291666666667</v>
      </c>
      <c r="BE81" s="1078">
        <f t="shared" si="139"/>
        <v>1469.7291666666667</v>
      </c>
      <c r="BF81" s="1078">
        <f t="shared" si="139"/>
        <v>1469.7291666666667</v>
      </c>
      <c r="BG81" s="1078">
        <f t="shared" si="139"/>
        <v>1469.7291666666667</v>
      </c>
      <c r="BH81" s="1078">
        <f t="shared" si="139"/>
        <v>1469.7291666666667</v>
      </c>
      <c r="BI81" s="1078">
        <f t="shared" si="139"/>
        <v>1469.7291666666667</v>
      </c>
      <c r="BJ81" s="1078">
        <f t="shared" si="139"/>
        <v>1469.7291666666667</v>
      </c>
      <c r="BK81" s="1078">
        <f t="shared" si="139"/>
        <v>1469.7291666666667</v>
      </c>
      <c r="BL81" s="1078">
        <f t="shared" si="139"/>
        <v>1469.7291666666667</v>
      </c>
      <c r="BM81" s="1078">
        <f t="shared" si="139"/>
        <v>1469.7291666666667</v>
      </c>
      <c r="BN81" s="1078">
        <f t="shared" si="139"/>
        <v>1469.7291666666667</v>
      </c>
      <c r="BO81" s="1078">
        <f t="shared" si="139"/>
        <v>1469.7291666666667</v>
      </c>
      <c r="BP81" s="1078">
        <f t="shared" si="139"/>
        <v>1469.7291666666667</v>
      </c>
      <c r="BQ81" s="1078">
        <f t="shared" si="139"/>
        <v>1469.7291666666667</v>
      </c>
      <c r="BR81" s="1078">
        <f t="shared" si="139"/>
        <v>1469.7291666666667</v>
      </c>
      <c r="BS81" s="1078">
        <f t="shared" ref="BS81:CA81" si="140">IF(BS12&gt;0,$C$81/12*$C$63,0)</f>
        <v>1469.7291666666667</v>
      </c>
      <c r="BT81" s="1078">
        <f t="shared" si="140"/>
        <v>1469.7291666666667</v>
      </c>
      <c r="BU81" s="1078">
        <f t="shared" si="140"/>
        <v>1469.7291666666667</v>
      </c>
      <c r="BV81" s="1078">
        <f t="shared" si="140"/>
        <v>1469.7291666666667</v>
      </c>
      <c r="BW81" s="1078">
        <f t="shared" si="140"/>
        <v>1469.7291666666667</v>
      </c>
      <c r="BX81" s="1078">
        <f t="shared" si="140"/>
        <v>1469.7291666666667</v>
      </c>
      <c r="BY81" s="1078">
        <f t="shared" si="140"/>
        <v>1469.7291666666667</v>
      </c>
      <c r="BZ81" s="1078">
        <f t="shared" si="140"/>
        <v>1469.7291666666667</v>
      </c>
      <c r="CA81" s="1078">
        <f t="shared" si="140"/>
        <v>1469.7291666666667</v>
      </c>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row>
    <row r="82" spans="1:316" s="1085" customFormat="1" ht="13.5" customHeight="1">
      <c r="B82" s="1076" t="s">
        <v>935</v>
      </c>
      <c r="G82" s="1086">
        <f>SUM(G80:G81)</f>
        <v>0</v>
      </c>
      <c r="H82" s="1086">
        <f t="shared" ref="H82:BS82" si="141">SUM(H80:H81)</f>
        <v>0</v>
      </c>
      <c r="I82" s="1086">
        <f t="shared" si="141"/>
        <v>0</v>
      </c>
      <c r="J82" s="1086">
        <f t="shared" si="141"/>
        <v>0</v>
      </c>
      <c r="K82" s="1086">
        <f t="shared" si="141"/>
        <v>0</v>
      </c>
      <c r="L82" s="1086">
        <f t="shared" si="141"/>
        <v>0</v>
      </c>
      <c r="M82" s="1086">
        <f t="shared" si="141"/>
        <v>0</v>
      </c>
      <c r="N82" s="1086">
        <f t="shared" si="141"/>
        <v>0</v>
      </c>
      <c r="O82" s="1086">
        <f t="shared" si="141"/>
        <v>0</v>
      </c>
      <c r="P82" s="1086">
        <f t="shared" si="141"/>
        <v>0</v>
      </c>
      <c r="Q82" s="1086">
        <f t="shared" si="141"/>
        <v>0</v>
      </c>
      <c r="R82" s="1086">
        <f t="shared" si="141"/>
        <v>0</v>
      </c>
      <c r="S82" s="1086">
        <f t="shared" si="141"/>
        <v>0</v>
      </c>
      <c r="T82" s="1086">
        <f t="shared" si="141"/>
        <v>0</v>
      </c>
      <c r="U82" s="1086">
        <f t="shared" si="141"/>
        <v>2920.4583333333335</v>
      </c>
      <c r="V82" s="1086">
        <f t="shared" si="141"/>
        <v>2920.4583333333335</v>
      </c>
      <c r="W82" s="1086">
        <f t="shared" si="141"/>
        <v>2920.4583333333335</v>
      </c>
      <c r="X82" s="1086">
        <f t="shared" si="141"/>
        <v>2920.4583333333335</v>
      </c>
      <c r="Y82" s="1086">
        <f t="shared" si="141"/>
        <v>2920.4583333333335</v>
      </c>
      <c r="Z82" s="1086">
        <f t="shared" si="141"/>
        <v>2920.4583333333335</v>
      </c>
      <c r="AA82" s="1086">
        <f t="shared" si="141"/>
        <v>2920.4583333333335</v>
      </c>
      <c r="AB82" s="1086">
        <f t="shared" si="141"/>
        <v>2920.4583333333335</v>
      </c>
      <c r="AC82" s="1086">
        <f t="shared" si="141"/>
        <v>2920.4583333333335</v>
      </c>
      <c r="AD82" s="1086">
        <f t="shared" si="141"/>
        <v>2920.4583333333335</v>
      </c>
      <c r="AE82" s="1086">
        <f t="shared" si="141"/>
        <v>2920.4583333333335</v>
      </c>
      <c r="AF82" s="1086">
        <f t="shared" si="141"/>
        <v>2920.4583333333335</v>
      </c>
      <c r="AG82" s="1086">
        <f t="shared" si="141"/>
        <v>2920.4583333333335</v>
      </c>
      <c r="AH82" s="1086">
        <f t="shared" si="141"/>
        <v>2920.4583333333335</v>
      </c>
      <c r="AI82" s="1086">
        <f t="shared" si="141"/>
        <v>2920.4583333333335</v>
      </c>
      <c r="AJ82" s="1086">
        <f t="shared" si="141"/>
        <v>2920.4583333333335</v>
      </c>
      <c r="AK82" s="1086">
        <f t="shared" si="141"/>
        <v>2920.4583333333335</v>
      </c>
      <c r="AL82" s="1086">
        <f t="shared" si="141"/>
        <v>2920.4583333333335</v>
      </c>
      <c r="AM82" s="1086">
        <f t="shared" si="141"/>
        <v>2920.4583333333335</v>
      </c>
      <c r="AN82" s="1086">
        <f t="shared" si="141"/>
        <v>2920.4583333333335</v>
      </c>
      <c r="AO82" s="1086">
        <f t="shared" si="141"/>
        <v>2920.4583333333335</v>
      </c>
      <c r="AP82" s="1086">
        <f t="shared" si="141"/>
        <v>2920.4583333333335</v>
      </c>
      <c r="AQ82" s="1086">
        <f t="shared" si="141"/>
        <v>2920.4583333333335</v>
      </c>
      <c r="AR82" s="1086">
        <f t="shared" si="141"/>
        <v>2920.4583333333335</v>
      </c>
      <c r="AS82" s="1086">
        <f t="shared" si="141"/>
        <v>2920.4583333333335</v>
      </c>
      <c r="AT82" s="1086">
        <f t="shared" si="141"/>
        <v>2920.4583333333335</v>
      </c>
      <c r="AU82" s="1086">
        <f t="shared" si="141"/>
        <v>2920.4583333333335</v>
      </c>
      <c r="AV82" s="1086">
        <f t="shared" si="141"/>
        <v>2920.4583333333335</v>
      </c>
      <c r="AW82" s="1086">
        <f t="shared" si="141"/>
        <v>2920.4583333333335</v>
      </c>
      <c r="AX82" s="1086">
        <f t="shared" si="141"/>
        <v>2920.4583333333335</v>
      </c>
      <c r="AY82" s="1086">
        <f t="shared" si="141"/>
        <v>2920.4583333333335</v>
      </c>
      <c r="AZ82" s="1086">
        <f t="shared" si="141"/>
        <v>2920.4583333333335</v>
      </c>
      <c r="BA82" s="1086">
        <f t="shared" si="141"/>
        <v>2920.4583333333335</v>
      </c>
      <c r="BB82" s="1086">
        <f t="shared" si="141"/>
        <v>2920.4583333333335</v>
      </c>
      <c r="BC82" s="1086">
        <f t="shared" si="141"/>
        <v>2920.4583333333335</v>
      </c>
      <c r="BD82" s="1086">
        <f t="shared" si="141"/>
        <v>2920.4583333333335</v>
      </c>
      <c r="BE82" s="1086">
        <f t="shared" si="141"/>
        <v>2920.4583333333335</v>
      </c>
      <c r="BF82" s="1086">
        <f t="shared" si="141"/>
        <v>2920.4583333333335</v>
      </c>
      <c r="BG82" s="1086">
        <f t="shared" si="141"/>
        <v>2920.4583333333335</v>
      </c>
      <c r="BH82" s="1086">
        <f t="shared" si="141"/>
        <v>2920.4583333333335</v>
      </c>
      <c r="BI82" s="1086">
        <f t="shared" si="141"/>
        <v>2920.4583333333335</v>
      </c>
      <c r="BJ82" s="1086">
        <f t="shared" si="141"/>
        <v>2920.4583333333335</v>
      </c>
      <c r="BK82" s="1086">
        <f t="shared" si="141"/>
        <v>2920.4583333333335</v>
      </c>
      <c r="BL82" s="1086">
        <f t="shared" si="141"/>
        <v>2920.4583333333335</v>
      </c>
      <c r="BM82" s="1086">
        <f t="shared" si="141"/>
        <v>2920.4583333333335</v>
      </c>
      <c r="BN82" s="1086">
        <f t="shared" si="141"/>
        <v>2920.4583333333335</v>
      </c>
      <c r="BO82" s="1086">
        <f t="shared" si="141"/>
        <v>2920.4583333333335</v>
      </c>
      <c r="BP82" s="1086">
        <f t="shared" si="141"/>
        <v>2920.4583333333335</v>
      </c>
      <c r="BQ82" s="1086">
        <f t="shared" si="141"/>
        <v>2920.4583333333335</v>
      </c>
      <c r="BR82" s="1086">
        <f t="shared" si="141"/>
        <v>2920.4583333333335</v>
      </c>
      <c r="BS82" s="1086">
        <f t="shared" si="141"/>
        <v>2920.4583333333335</v>
      </c>
      <c r="BT82" s="1086">
        <f t="shared" ref="BT82:CA82" si="142">SUM(BT80:BT81)</f>
        <v>2920.4583333333335</v>
      </c>
      <c r="BU82" s="1086">
        <f t="shared" si="142"/>
        <v>2920.4583333333335</v>
      </c>
      <c r="BV82" s="1086">
        <f t="shared" si="142"/>
        <v>2920.4583333333335</v>
      </c>
      <c r="BW82" s="1086">
        <f t="shared" si="142"/>
        <v>2920.4583333333335</v>
      </c>
      <c r="BX82" s="1086">
        <f t="shared" si="142"/>
        <v>2920.4583333333335</v>
      </c>
      <c r="BY82" s="1086">
        <f t="shared" si="142"/>
        <v>2920.4583333333335</v>
      </c>
      <c r="BZ82" s="1086">
        <f t="shared" si="142"/>
        <v>2920.4583333333335</v>
      </c>
      <c r="CA82" s="1086">
        <f t="shared" si="142"/>
        <v>2920.4583333333335</v>
      </c>
      <c r="CB82" s="13"/>
      <c r="CC82" s="13"/>
      <c r="CD82" s="13"/>
      <c r="CE82" s="13"/>
      <c r="CF82" s="13"/>
      <c r="CG82" s="13"/>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c r="GS82" s="15"/>
      <c r="GT82" s="15"/>
      <c r="GU82" s="15"/>
      <c r="GV82" s="15"/>
      <c r="GW82" s="15"/>
      <c r="GX82" s="15"/>
      <c r="GY82" s="15"/>
      <c r="GZ82" s="15"/>
      <c r="HA82" s="15"/>
      <c r="HB82" s="15"/>
      <c r="HC82" s="15"/>
      <c r="HD82" s="15"/>
      <c r="HE82" s="15"/>
      <c r="HF82" s="15"/>
      <c r="HG82" s="15"/>
      <c r="HH82" s="15"/>
      <c r="HI82" s="15"/>
      <c r="HJ82" s="15"/>
      <c r="HK82" s="15"/>
      <c r="HL82" s="15"/>
      <c r="HM82" s="15"/>
      <c r="HN82" s="15"/>
      <c r="HO82" s="15"/>
      <c r="HP82" s="15"/>
      <c r="HQ82" s="15"/>
      <c r="HR82" s="15"/>
      <c r="HS82" s="15"/>
      <c r="HT82" s="15"/>
      <c r="HU82" s="15"/>
      <c r="HV82" s="15"/>
      <c r="HW82" s="15"/>
      <c r="HX82" s="15"/>
      <c r="HY82" s="15"/>
      <c r="HZ82" s="15"/>
      <c r="IA82" s="15"/>
      <c r="IB82" s="15"/>
      <c r="IC82" s="15"/>
      <c r="ID82" s="15"/>
      <c r="IE82" s="15"/>
      <c r="IF82" s="15"/>
      <c r="IG82" s="15"/>
      <c r="IH82" s="15"/>
      <c r="II82" s="15"/>
      <c r="IJ82" s="15"/>
      <c r="IK82" s="15"/>
      <c r="IL82" s="15"/>
      <c r="IM82" s="15"/>
      <c r="IN82" s="15"/>
      <c r="IO82" s="15"/>
      <c r="IP82" s="15"/>
      <c r="IQ82" s="15"/>
      <c r="IR82" s="15"/>
      <c r="IS82" s="15"/>
      <c r="IT82" s="15"/>
      <c r="IU82" s="15"/>
      <c r="IV82" s="15"/>
      <c r="IW82" s="15"/>
      <c r="IX82" s="15"/>
      <c r="IY82" s="15"/>
      <c r="IZ82" s="15"/>
      <c r="JA82" s="15"/>
      <c r="JB82" s="15"/>
      <c r="JC82" s="15"/>
      <c r="JD82" s="15"/>
      <c r="JE82" s="15"/>
      <c r="JF82" s="15"/>
      <c r="JG82" s="15"/>
      <c r="JH82" s="15"/>
      <c r="JI82" s="15"/>
      <c r="JJ82" s="15"/>
      <c r="JK82" s="15"/>
      <c r="JL82" s="15"/>
      <c r="JM82" s="15"/>
      <c r="JN82" s="15"/>
      <c r="JO82" s="15"/>
      <c r="JP82" s="15"/>
      <c r="JQ82" s="15"/>
      <c r="JR82" s="15"/>
      <c r="JS82" s="15"/>
      <c r="JT82" s="15"/>
      <c r="JU82" s="15"/>
      <c r="JV82" s="15"/>
      <c r="JW82" s="15"/>
      <c r="JX82" s="15"/>
      <c r="JY82" s="15"/>
      <c r="JZ82" s="15"/>
      <c r="KA82" s="15"/>
      <c r="KB82" s="15"/>
      <c r="KC82" s="15"/>
      <c r="KD82" s="15"/>
      <c r="KE82" s="15"/>
      <c r="KF82" s="15"/>
      <c r="KG82" s="15"/>
      <c r="KH82" s="15"/>
      <c r="KI82" s="15"/>
      <c r="KJ82" s="15"/>
      <c r="KK82" s="15"/>
      <c r="KL82" s="15"/>
      <c r="KM82" s="15"/>
      <c r="KN82" s="15"/>
      <c r="KO82" s="15"/>
      <c r="KP82" s="15"/>
      <c r="KQ82" s="15"/>
      <c r="KR82" s="15"/>
      <c r="KS82" s="15"/>
      <c r="KT82" s="15"/>
      <c r="KU82" s="15"/>
      <c r="KV82" s="15"/>
      <c r="KW82" s="15"/>
      <c r="KX82" s="15"/>
      <c r="KY82" s="15"/>
      <c r="KZ82" s="15"/>
      <c r="LA82" s="15"/>
      <c r="LB82" s="15"/>
      <c r="LC82" s="15"/>
      <c r="LD82" s="15"/>
    </row>
    <row r="83" spans="1:316" s="1063" customFormat="1" ht="13.5" customHeight="1">
      <c r="B83" s="1066"/>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c r="GS83" s="13"/>
      <c r="GT83" s="13"/>
      <c r="GU83" s="13"/>
      <c r="GV83" s="13"/>
      <c r="GW83" s="13"/>
      <c r="GX83" s="13"/>
      <c r="GY83" s="13"/>
      <c r="GZ83" s="13"/>
      <c r="HA83" s="13"/>
      <c r="HB83" s="13"/>
      <c r="HC83" s="13"/>
      <c r="HD83" s="13"/>
      <c r="HE83" s="13"/>
      <c r="HF83" s="13"/>
      <c r="HG83" s="13"/>
      <c r="HH83" s="13"/>
      <c r="HI83" s="13"/>
      <c r="HJ83" s="13"/>
      <c r="HK83" s="13"/>
      <c r="HL83" s="13"/>
      <c r="HM83" s="13"/>
      <c r="HN83" s="13"/>
      <c r="HO83" s="13"/>
      <c r="HP83" s="13"/>
      <c r="HQ83" s="13"/>
      <c r="HR83" s="13"/>
      <c r="HS83" s="13"/>
      <c r="HT83" s="13"/>
      <c r="HU83" s="13"/>
      <c r="HV83" s="13"/>
      <c r="HW83" s="13"/>
      <c r="HX83" s="13"/>
      <c r="HY83" s="13"/>
      <c r="HZ83" s="13"/>
      <c r="IA83" s="13"/>
      <c r="IB83" s="13"/>
      <c r="IC83" s="13"/>
      <c r="ID83" s="13"/>
      <c r="IE83" s="13"/>
      <c r="IF83" s="13"/>
      <c r="IG83" s="13"/>
      <c r="IH83" s="13"/>
      <c r="II83" s="13"/>
      <c r="IJ83" s="13"/>
      <c r="IK83" s="13"/>
      <c r="IL83" s="13"/>
      <c r="IM83" s="13"/>
      <c r="IN83" s="13"/>
      <c r="IO83" s="13"/>
      <c r="IP83" s="13"/>
      <c r="IQ83" s="13"/>
      <c r="IR83" s="13"/>
      <c r="IS83" s="13"/>
      <c r="IT83" s="13"/>
      <c r="IU83" s="13"/>
      <c r="IV83" s="13"/>
      <c r="IW83" s="13"/>
      <c r="IX83" s="13"/>
      <c r="IY83" s="13"/>
      <c r="IZ83" s="13"/>
      <c r="JA83" s="13"/>
      <c r="JB83" s="13"/>
      <c r="JC83" s="13"/>
      <c r="JD83" s="13"/>
      <c r="JE83" s="13"/>
      <c r="JF83" s="13"/>
      <c r="JG83" s="13"/>
      <c r="JH83" s="13"/>
      <c r="JI83" s="13"/>
      <c r="JJ83" s="13"/>
      <c r="JK83" s="13"/>
      <c r="JL83" s="13"/>
      <c r="JM83" s="13"/>
      <c r="JN83" s="13"/>
      <c r="JO83" s="13"/>
      <c r="JP83" s="13"/>
      <c r="JQ83" s="13"/>
      <c r="JR83" s="13"/>
      <c r="JS83" s="13"/>
      <c r="JT83" s="13"/>
      <c r="JU83" s="13"/>
      <c r="JV83" s="13"/>
      <c r="JW83" s="13"/>
      <c r="JX83" s="13"/>
      <c r="JY83" s="13"/>
      <c r="JZ83" s="13"/>
      <c r="KA83" s="13"/>
      <c r="KB83" s="13"/>
      <c r="KC83" s="13"/>
      <c r="KD83" s="13"/>
      <c r="KE83" s="13"/>
      <c r="KF83" s="13"/>
      <c r="KG83" s="13"/>
      <c r="KH83" s="13"/>
      <c r="KI83" s="13"/>
      <c r="KJ83" s="13"/>
      <c r="KK83" s="13"/>
      <c r="KL83" s="13"/>
      <c r="KM83" s="13"/>
      <c r="KN83" s="13"/>
      <c r="KO83" s="13"/>
      <c r="KP83" s="13"/>
      <c r="KQ83" s="13"/>
      <c r="KR83" s="13"/>
      <c r="KS83" s="13"/>
      <c r="KT83" s="13"/>
      <c r="KU83" s="13"/>
      <c r="KV83" s="13"/>
      <c r="KW83" s="13"/>
      <c r="KX83" s="13"/>
      <c r="KY83" s="13"/>
      <c r="KZ83" s="13"/>
      <c r="LA83" s="13"/>
      <c r="LB83" s="13"/>
      <c r="LC83" s="13"/>
      <c r="LD83" s="13"/>
    </row>
    <row r="84" spans="1:316" s="1063" customFormat="1" ht="13.5" customHeight="1" thickBot="1">
      <c r="B84" s="1087" t="s">
        <v>937</v>
      </c>
      <c r="C84" s="1087"/>
      <c r="D84" s="1087"/>
      <c r="E84" s="1087"/>
      <c r="F84" s="1087"/>
      <c r="G84" s="1088">
        <f>G77-G82</f>
        <v>0</v>
      </c>
      <c r="H84" s="1088">
        <f t="shared" ref="H84:BS84" si="143">H77-H82</f>
        <v>0</v>
      </c>
      <c r="I84" s="1088">
        <f t="shared" si="143"/>
        <v>0</v>
      </c>
      <c r="J84" s="1088">
        <f t="shared" si="143"/>
        <v>0</v>
      </c>
      <c r="K84" s="1088">
        <f t="shared" si="143"/>
        <v>0</v>
      </c>
      <c r="L84" s="1088">
        <f t="shared" si="143"/>
        <v>0</v>
      </c>
      <c r="M84" s="1088">
        <f t="shared" si="143"/>
        <v>0</v>
      </c>
      <c r="N84" s="1088">
        <f t="shared" si="143"/>
        <v>0</v>
      </c>
      <c r="O84" s="1088">
        <f t="shared" si="143"/>
        <v>0</v>
      </c>
      <c r="P84" s="1088">
        <f t="shared" si="143"/>
        <v>0</v>
      </c>
      <c r="Q84" s="1088">
        <f t="shared" si="143"/>
        <v>0</v>
      </c>
      <c r="R84" s="1088">
        <f t="shared" si="143"/>
        <v>0</v>
      </c>
      <c r="S84" s="1088">
        <f t="shared" si="143"/>
        <v>0</v>
      </c>
      <c r="T84" s="1088">
        <f t="shared" si="143"/>
        <v>0</v>
      </c>
      <c r="U84" s="1088">
        <f t="shared" si="143"/>
        <v>-2920.4583333333335</v>
      </c>
      <c r="V84" s="1088">
        <f t="shared" si="143"/>
        <v>-2920.4583333333335</v>
      </c>
      <c r="W84" s="1088">
        <f t="shared" si="143"/>
        <v>-2920.4583333333335</v>
      </c>
      <c r="X84" s="1088">
        <f t="shared" si="143"/>
        <v>-2920.4583333333335</v>
      </c>
      <c r="Y84" s="1088">
        <f t="shared" si="143"/>
        <v>-2920.4583333333335</v>
      </c>
      <c r="Z84" s="1088">
        <f t="shared" si="143"/>
        <v>-2920.4583333333335</v>
      </c>
      <c r="AA84" s="1088">
        <f t="shared" si="143"/>
        <v>-2920.4583333333335</v>
      </c>
      <c r="AB84" s="1088">
        <f t="shared" si="143"/>
        <v>-2920.4583333333335</v>
      </c>
      <c r="AC84" s="1088">
        <f t="shared" si="143"/>
        <v>-2920.4583333333335</v>
      </c>
      <c r="AD84" s="1088">
        <f t="shared" si="143"/>
        <v>-2920.4583333333335</v>
      </c>
      <c r="AE84" s="1088">
        <f t="shared" si="143"/>
        <v>-2920.4583333333335</v>
      </c>
      <c r="AF84" s="1088">
        <f t="shared" si="143"/>
        <v>-2920.4583333333335</v>
      </c>
      <c r="AG84" s="1088">
        <f t="shared" si="143"/>
        <v>-2920.4583333333335</v>
      </c>
      <c r="AH84" s="1088">
        <f t="shared" si="143"/>
        <v>-2920.4583333333335</v>
      </c>
      <c r="AI84" s="1088">
        <f t="shared" si="143"/>
        <v>-2920.4583333333335</v>
      </c>
      <c r="AJ84" s="1088">
        <f t="shared" si="143"/>
        <v>-2920.4583333333335</v>
      </c>
      <c r="AK84" s="1088">
        <f t="shared" si="143"/>
        <v>5348.6979166666661</v>
      </c>
      <c r="AL84" s="1088">
        <f t="shared" si="143"/>
        <v>5348.6979166666661</v>
      </c>
      <c r="AM84" s="1088">
        <f t="shared" si="143"/>
        <v>5348.6979166666661</v>
      </c>
      <c r="AN84" s="1088">
        <f t="shared" si="143"/>
        <v>5348.6979166666661</v>
      </c>
      <c r="AO84" s="1088">
        <f t="shared" si="143"/>
        <v>5348.6979166666661</v>
      </c>
      <c r="AP84" s="1088">
        <f t="shared" si="143"/>
        <v>5348.6979166666661</v>
      </c>
      <c r="AQ84" s="1088">
        <f t="shared" si="143"/>
        <v>12329.911458333334</v>
      </c>
      <c r="AR84" s="1088">
        <f t="shared" si="143"/>
        <v>12329.911458333334</v>
      </c>
      <c r="AS84" s="1088">
        <f t="shared" si="143"/>
        <v>12329.911458333334</v>
      </c>
      <c r="AT84" s="1088">
        <f t="shared" si="143"/>
        <v>12329.911458333334</v>
      </c>
      <c r="AU84" s="1088">
        <f t="shared" si="143"/>
        <v>12329.911458333334</v>
      </c>
      <c r="AV84" s="1088">
        <f t="shared" si="143"/>
        <v>12329.911458333334</v>
      </c>
      <c r="AW84" s="1088">
        <f t="shared" si="143"/>
        <v>12329.911458333334</v>
      </c>
      <c r="AX84" s="1088">
        <f t="shared" si="143"/>
        <v>12329.911458333334</v>
      </c>
      <c r="AY84" s="1088">
        <f t="shared" si="143"/>
        <v>12329.911458333334</v>
      </c>
      <c r="AZ84" s="1088">
        <f t="shared" si="143"/>
        <v>12329.911458333334</v>
      </c>
      <c r="BA84" s="1088">
        <f t="shared" si="143"/>
        <v>12329.911458333334</v>
      </c>
      <c r="BB84" s="1088">
        <f t="shared" si="143"/>
        <v>12329.911458333334</v>
      </c>
      <c r="BC84" s="1088">
        <f t="shared" si="143"/>
        <v>12329.911458333334</v>
      </c>
      <c r="BD84" s="1088">
        <f t="shared" si="143"/>
        <v>12329.911458333334</v>
      </c>
      <c r="BE84" s="1088">
        <f t="shared" si="143"/>
        <v>12329.911458333334</v>
      </c>
      <c r="BF84" s="1088">
        <f t="shared" si="143"/>
        <v>12329.911458333334</v>
      </c>
      <c r="BG84" s="1088">
        <f t="shared" si="143"/>
        <v>12329.911458333334</v>
      </c>
      <c r="BH84" s="1088">
        <f t="shared" si="143"/>
        <v>12329.911458333334</v>
      </c>
      <c r="BI84" s="1088">
        <f t="shared" si="143"/>
        <v>12329.911458333334</v>
      </c>
      <c r="BJ84" s="1088">
        <f t="shared" si="143"/>
        <v>12329.911458333334</v>
      </c>
      <c r="BK84" s="1088">
        <f t="shared" si="143"/>
        <v>12329.911458333334</v>
      </c>
      <c r="BL84" s="1088">
        <f t="shared" si="143"/>
        <v>12329.911458333334</v>
      </c>
      <c r="BM84" s="1088">
        <f t="shared" si="143"/>
        <v>12329.911458333334</v>
      </c>
      <c r="BN84" s="1088">
        <f t="shared" si="143"/>
        <v>12329.911458333334</v>
      </c>
      <c r="BO84" s="1088">
        <f t="shared" si="143"/>
        <v>12329.911458333334</v>
      </c>
      <c r="BP84" s="1088">
        <f t="shared" si="143"/>
        <v>12329.911458333334</v>
      </c>
      <c r="BQ84" s="1088">
        <f t="shared" si="143"/>
        <v>12329.911458333334</v>
      </c>
      <c r="BR84" s="1088">
        <f t="shared" si="143"/>
        <v>12329.911458333334</v>
      </c>
      <c r="BS84" s="1088">
        <f t="shared" si="143"/>
        <v>12329.911458333334</v>
      </c>
      <c r="BT84" s="1088">
        <f t="shared" ref="BT84:CA84" si="144">BT77-BT82</f>
        <v>12329.911458333334</v>
      </c>
      <c r="BU84" s="1088">
        <f t="shared" si="144"/>
        <v>12329.911458333334</v>
      </c>
      <c r="BV84" s="1088">
        <f t="shared" si="144"/>
        <v>12329.911458333334</v>
      </c>
      <c r="BW84" s="1088">
        <f t="shared" si="144"/>
        <v>12329.911458333334</v>
      </c>
      <c r="BX84" s="1088">
        <f t="shared" si="144"/>
        <v>12329.911458333334</v>
      </c>
      <c r="BY84" s="1088">
        <f t="shared" si="144"/>
        <v>12329.911458333334</v>
      </c>
      <c r="BZ84" s="1088">
        <f t="shared" si="144"/>
        <v>12329.911458333334</v>
      </c>
      <c r="CA84" s="1088">
        <f t="shared" si="144"/>
        <v>12329.911458333334</v>
      </c>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13"/>
      <c r="GX84" s="13"/>
      <c r="GY84" s="13"/>
      <c r="GZ84" s="13"/>
      <c r="HA84" s="13"/>
      <c r="HB84" s="13"/>
      <c r="HC84" s="13"/>
      <c r="HD84" s="13"/>
      <c r="HE84" s="13"/>
      <c r="HF84" s="13"/>
      <c r="HG84" s="13"/>
      <c r="HH84" s="13"/>
      <c r="HI84" s="13"/>
      <c r="HJ84" s="13"/>
      <c r="HK84" s="13"/>
      <c r="HL84" s="13"/>
      <c r="HM84" s="13"/>
      <c r="HN84" s="13"/>
      <c r="HO84" s="13"/>
      <c r="HP84" s="13"/>
      <c r="HQ84" s="13"/>
      <c r="HR84" s="13"/>
      <c r="HS84" s="13"/>
      <c r="HT84" s="13"/>
      <c r="HU84" s="13"/>
      <c r="HV84" s="13"/>
      <c r="HW84" s="13"/>
      <c r="HX84" s="13"/>
      <c r="HY84" s="13"/>
      <c r="HZ84" s="13"/>
      <c r="IA84" s="13"/>
      <c r="IB84" s="13"/>
      <c r="IC84" s="13"/>
      <c r="ID84" s="13"/>
      <c r="IE84" s="13"/>
      <c r="IF84" s="13"/>
      <c r="IG84" s="13"/>
      <c r="IH84" s="13"/>
      <c r="II84" s="13"/>
      <c r="IJ84" s="13"/>
      <c r="IK84" s="13"/>
      <c r="IL84" s="13"/>
      <c r="IM84" s="13"/>
      <c r="IN84" s="13"/>
      <c r="IO84" s="13"/>
      <c r="IP84" s="13"/>
      <c r="IQ84" s="13"/>
      <c r="IR84" s="13"/>
      <c r="IS84" s="13"/>
      <c r="IT84" s="13"/>
      <c r="IU84" s="13"/>
      <c r="IV84" s="13"/>
      <c r="IW84" s="13"/>
      <c r="IX84" s="13"/>
      <c r="IY84" s="13"/>
      <c r="IZ84" s="13"/>
      <c r="JA84" s="13"/>
      <c r="JB84" s="13"/>
      <c r="JC84" s="13"/>
      <c r="JD84" s="13"/>
      <c r="JE84" s="13"/>
      <c r="JF84" s="13"/>
      <c r="JG84" s="13"/>
      <c r="JH84" s="13"/>
      <c r="JI84" s="13"/>
      <c r="JJ84" s="13"/>
      <c r="JK84" s="13"/>
      <c r="JL84" s="13"/>
      <c r="JM84" s="13"/>
      <c r="JN84" s="13"/>
      <c r="JO84" s="13"/>
      <c r="JP84" s="13"/>
      <c r="JQ84" s="13"/>
      <c r="JR84" s="13"/>
      <c r="JS84" s="13"/>
      <c r="JT84" s="13"/>
      <c r="JU84" s="13"/>
      <c r="JV84" s="13"/>
      <c r="JW84" s="13"/>
      <c r="JX84" s="13"/>
      <c r="JY84" s="13"/>
      <c r="JZ84" s="13"/>
      <c r="KA84" s="13"/>
      <c r="KB84" s="13"/>
      <c r="KC84" s="13"/>
      <c r="KD84" s="13"/>
      <c r="KE84" s="13"/>
      <c r="KF84" s="13"/>
      <c r="KG84" s="13"/>
      <c r="KH84" s="13"/>
      <c r="KI84" s="13"/>
      <c r="KJ84" s="13"/>
      <c r="KK84" s="13"/>
      <c r="KL84" s="13"/>
      <c r="KM84" s="13"/>
      <c r="KN84" s="13"/>
      <c r="KO84" s="13"/>
      <c r="KP84" s="13"/>
      <c r="KQ84" s="13"/>
      <c r="KR84" s="13"/>
      <c r="KS84" s="13"/>
      <c r="KT84" s="13"/>
      <c r="KU84" s="13"/>
      <c r="KV84" s="13"/>
      <c r="KW84" s="13"/>
      <c r="KX84" s="13"/>
      <c r="KY84" s="13"/>
      <c r="KZ84" s="13"/>
      <c r="LA84" s="13"/>
      <c r="LB84" s="13"/>
      <c r="LC84" s="13"/>
      <c r="LD84" s="13"/>
    </row>
    <row r="85" spans="1:316" ht="13.5" customHeight="1" thickTop="1">
      <c r="B85" s="9"/>
    </row>
    <row r="86" spans="1:316" ht="13.5" customHeight="1" thickBot="1">
      <c r="A86" s="845" t="s">
        <v>971</v>
      </c>
      <c r="B86" s="845"/>
      <c r="C86" s="845"/>
      <c r="D86" s="845"/>
      <c r="E86" s="845"/>
      <c r="F86" s="845"/>
      <c r="G86" s="1007">
        <f>G57+G84</f>
        <v>-11830.518608414241</v>
      </c>
      <c r="H86" s="1007">
        <f t="shared" ref="H86:BS86" si="145">H57+H84</f>
        <v>-11830.518608414241</v>
      </c>
      <c r="I86" s="1007">
        <f t="shared" si="145"/>
        <v>-11830.518608414241</v>
      </c>
      <c r="J86" s="1007">
        <f t="shared" si="145"/>
        <v>-11830.518608414241</v>
      </c>
      <c r="K86" s="1007">
        <f t="shared" si="145"/>
        <v>-11830.518608414241</v>
      </c>
      <c r="L86" s="1007">
        <f t="shared" si="145"/>
        <v>-11830.518608414241</v>
      </c>
      <c r="M86" s="1007">
        <f t="shared" si="145"/>
        <v>-11830.518608414241</v>
      </c>
      <c r="N86" s="1007">
        <f t="shared" si="145"/>
        <v>-11830.518608414241</v>
      </c>
      <c r="O86" s="1007">
        <f t="shared" si="145"/>
        <v>-11830.518608414241</v>
      </c>
      <c r="P86" s="1007">
        <f t="shared" si="145"/>
        <v>-27009.555327329974</v>
      </c>
      <c r="Q86" s="1007">
        <f t="shared" si="145"/>
        <v>-21217.072034933328</v>
      </c>
      <c r="R86" s="1007">
        <f>R57+R84</f>
        <v>-14369.200765424699</v>
      </c>
      <c r="S86" s="1007">
        <f t="shared" si="145"/>
        <v>-8241.462169802322</v>
      </c>
      <c r="T86" s="1007">
        <f t="shared" si="145"/>
        <v>-1975.2285958622451</v>
      </c>
      <c r="U86" s="1007">
        <f t="shared" si="145"/>
        <v>1828.267071114135</v>
      </c>
      <c r="V86" s="1007">
        <f t="shared" si="145"/>
        <v>9756.5244442410785</v>
      </c>
      <c r="W86" s="1007">
        <f t="shared" si="145"/>
        <v>18245.962598465794</v>
      </c>
      <c r="X86" s="1007">
        <f t="shared" si="145"/>
        <v>27194.919698953028</v>
      </c>
      <c r="Y86" s="1007">
        <f t="shared" si="145"/>
        <v>37477.163561994988</v>
      </c>
      <c r="Z86" s="1007">
        <f t="shared" si="145"/>
        <v>48130.744771911282</v>
      </c>
      <c r="AA86" s="1007">
        <f t="shared" si="145"/>
        <v>60742.470320873967</v>
      </c>
      <c r="AB86" s="1007">
        <f t="shared" si="145"/>
        <v>70361.076038481726</v>
      </c>
      <c r="AC86" s="1007">
        <f t="shared" si="145"/>
        <v>77970.150053241989</v>
      </c>
      <c r="AD86" s="1007">
        <f t="shared" si="145"/>
        <v>85872.181784472341</v>
      </c>
      <c r="AE86" s="1007">
        <f t="shared" si="145"/>
        <v>93365.803439835829</v>
      </c>
      <c r="AF86" s="1007">
        <f t="shared" si="145"/>
        <v>100098.92566306784</v>
      </c>
      <c r="AG86" s="1007">
        <f t="shared" si="145"/>
        <v>107633.48177085903</v>
      </c>
      <c r="AH86" s="1007">
        <f t="shared" si="145"/>
        <v>113948.86378631568</v>
      </c>
      <c r="AI86" s="1007">
        <f t="shared" si="145"/>
        <v>121617.30438835952</v>
      </c>
      <c r="AJ86" s="1007">
        <f t="shared" si="145"/>
        <v>128997.88333805521</v>
      </c>
      <c r="AK86" s="1007">
        <f t="shared" si="145"/>
        <v>146952.42484575705</v>
      </c>
      <c r="AL86" s="1007">
        <f t="shared" si="145"/>
        <v>155835.97698617438</v>
      </c>
      <c r="AM86" s="1007">
        <f t="shared" si="145"/>
        <v>161793.39680309469</v>
      </c>
      <c r="AN86" s="1007">
        <f t="shared" si="145"/>
        <v>142989.97649892003</v>
      </c>
      <c r="AO86" s="1007">
        <f t="shared" si="145"/>
        <v>143565.9789295207</v>
      </c>
      <c r="AP86" s="1007">
        <f t="shared" si="145"/>
        <v>143338.72887504156</v>
      </c>
      <c r="AQ86" s="1007">
        <f t="shared" si="145"/>
        <v>151152.6324751715</v>
      </c>
      <c r="AR86" s="1007">
        <f t="shared" si="145"/>
        <v>153576.27807267001</v>
      </c>
      <c r="AS86" s="1007">
        <f t="shared" si="145"/>
        <v>156076.78888378144</v>
      </c>
      <c r="AT86" s="1007">
        <f t="shared" si="145"/>
        <v>158781.12294572234</v>
      </c>
      <c r="AU86" s="1007">
        <f t="shared" si="145"/>
        <v>161796.34412118531</v>
      </c>
      <c r="AV86" s="1007">
        <f t="shared" si="145"/>
        <v>165465.90713916704</v>
      </c>
      <c r="AW86" s="1007">
        <f t="shared" si="145"/>
        <v>167795.22392388168</v>
      </c>
      <c r="AX86" s="1007">
        <f t="shared" si="145"/>
        <v>169503.68684554307</v>
      </c>
      <c r="AY86" s="1007">
        <f t="shared" si="145"/>
        <v>171065.15029936683</v>
      </c>
      <c r="AZ86" s="1007">
        <f t="shared" si="145"/>
        <v>170365.35951633842</v>
      </c>
      <c r="BA86" s="1007">
        <f t="shared" si="145"/>
        <v>170119.69231631653</v>
      </c>
      <c r="BB86" s="1007">
        <f t="shared" si="145"/>
        <v>169161.06616274148</v>
      </c>
      <c r="BC86" s="1007">
        <f t="shared" si="145"/>
        <v>169265.05659456676</v>
      </c>
      <c r="BD86" s="1007">
        <f t="shared" si="145"/>
        <v>170969.69808860801</v>
      </c>
      <c r="BE86" s="1007">
        <f t="shared" si="145"/>
        <v>173397.39702892469</v>
      </c>
      <c r="BF86" s="1007">
        <f t="shared" si="145"/>
        <v>176112.59789400254</v>
      </c>
      <c r="BG86" s="1007">
        <f t="shared" si="145"/>
        <v>179113.3552822925</v>
      </c>
      <c r="BH86" s="1007">
        <f t="shared" si="145"/>
        <v>182020.2689176173</v>
      </c>
      <c r="BI86" s="1007">
        <f t="shared" si="145"/>
        <v>183856.86698783844</v>
      </c>
      <c r="BJ86" s="1007">
        <f t="shared" si="145"/>
        <v>185254.88821185855</v>
      </c>
      <c r="BK86" s="1007">
        <f t="shared" si="145"/>
        <v>186522.25178474205</v>
      </c>
      <c r="BL86" s="1007">
        <f t="shared" si="145"/>
        <v>185562.34518654828</v>
      </c>
      <c r="BM86" s="1007">
        <f t="shared" si="145"/>
        <v>185385.64513921208</v>
      </c>
      <c r="BN86" s="1007">
        <f t="shared" si="145"/>
        <v>184478.35987700045</v>
      </c>
      <c r="BO86" s="1007">
        <f t="shared" si="145"/>
        <v>184615.32153733156</v>
      </c>
      <c r="BP86" s="1007">
        <f t="shared" si="145"/>
        <v>186474.56184783462</v>
      </c>
      <c r="BQ86" s="1007">
        <f t="shared" si="145"/>
        <v>189021.64573957413</v>
      </c>
      <c r="BR86" s="1007">
        <f t="shared" si="145"/>
        <v>191862.31375928843</v>
      </c>
      <c r="BS86" s="1007">
        <f t="shared" si="145"/>
        <v>195065.91523725432</v>
      </c>
      <c r="BT86" s="1007">
        <f t="shared" ref="BT86:CA86" si="146">BT57+BT84</f>
        <v>198110.70846471706</v>
      </c>
      <c r="BU86" s="1007">
        <f t="shared" si="146"/>
        <v>200062.99916271484</v>
      </c>
      <c r="BV86" s="1007">
        <f t="shared" si="146"/>
        <v>201597.43159663308</v>
      </c>
      <c r="BW86" s="1007">
        <f t="shared" si="146"/>
        <v>202985.69639735148</v>
      </c>
      <c r="BX86" s="1007">
        <f t="shared" si="146"/>
        <v>209031.79456079079</v>
      </c>
      <c r="BY86" s="1007">
        <f t="shared" si="146"/>
        <v>209031.79456079079</v>
      </c>
      <c r="BZ86" s="1007">
        <f t="shared" si="146"/>
        <v>209031.79456079079</v>
      </c>
      <c r="CA86" s="1007">
        <f t="shared" si="146"/>
        <v>209031.79456079079</v>
      </c>
    </row>
    <row r="87" spans="1:316" ht="13.5" customHeight="1" thickTop="1">
      <c r="B87" s="9"/>
    </row>
    <row r="88" spans="1:316" s="15" customFormat="1">
      <c r="B88" s="15" t="s">
        <v>43</v>
      </c>
      <c r="C88" s="266">
        <f ca="1">'Assumptions &amp; Inputs'!J20</f>
        <v>297370.77839520446</v>
      </c>
      <c r="D88" s="266"/>
      <c r="E88" s="136">
        <f ca="1">SUM(G88:CA88)</f>
        <v>316555.98990457261</v>
      </c>
      <c r="G88" s="266">
        <f>IF(AND(G6&gt;='Assumptions &amp; Inputs'!$D25+1,G6&lt;'Assumptions &amp; Inputs'!$T7),'Assumptions &amp; Inputs'!$J20/('Assumptions &amp; Inputs'!$T7-('Assumptions &amp; Inputs'!$D25+3)),0)</f>
        <v>0</v>
      </c>
      <c r="H88" s="266">
        <f>IF(AND(H6&gt;='Assumptions &amp; Inputs'!$D25+1,H6&lt;'Assumptions &amp; Inputs'!$T7),'Assumptions &amp; Inputs'!$J20/('Assumptions &amp; Inputs'!$T7-('Assumptions &amp; Inputs'!$D25+3)),0)</f>
        <v>0</v>
      </c>
      <c r="I88" s="266">
        <f>IF(AND(I6&gt;='Assumptions &amp; Inputs'!$D25+1,I6&lt;'Assumptions &amp; Inputs'!$T7),'Assumptions &amp; Inputs'!$J20/('Assumptions &amp; Inputs'!$T7-('Assumptions &amp; Inputs'!$D25+3)),0)</f>
        <v>0</v>
      </c>
      <c r="J88" s="266">
        <f>IF(AND(J6&gt;='Assumptions &amp; Inputs'!$D25+1,J6&lt;'Assumptions &amp; Inputs'!$T7),'Assumptions &amp; Inputs'!$J20/('Assumptions &amp; Inputs'!$T7-('Assumptions &amp; Inputs'!$D25+3)),0)</f>
        <v>0</v>
      </c>
      <c r="K88" s="266">
        <f>IF(AND(K6&gt;='Assumptions &amp; Inputs'!$D25+1,K6&lt;'Assumptions &amp; Inputs'!$T7),'Assumptions &amp; Inputs'!$J20/('Assumptions &amp; Inputs'!$T7-('Assumptions &amp; Inputs'!$D25+3)),0)</f>
        <v>0</v>
      </c>
      <c r="L88" s="266">
        <f>IF(AND(L6&gt;='Assumptions &amp; Inputs'!$D25+1,L6&lt;'Assumptions &amp; Inputs'!$T7),'Assumptions &amp; Inputs'!$J20/('Assumptions &amp; Inputs'!$T7-('Assumptions &amp; Inputs'!$D25+3)),0)</f>
        <v>0</v>
      </c>
      <c r="M88" s="266">
        <f>IF(AND(M6&gt;='Assumptions &amp; Inputs'!$D25+1,M6&lt;'Assumptions &amp; Inputs'!$T7),'Assumptions &amp; Inputs'!$J20/('Assumptions &amp; Inputs'!$T7-('Assumptions &amp; Inputs'!$D25+3)),0)</f>
        <v>0</v>
      </c>
      <c r="N88" s="266">
        <f>IF(AND(N6&gt;='Assumptions &amp; Inputs'!$D25+1,N6&lt;'Assumptions &amp; Inputs'!$T7),'Assumptions &amp; Inputs'!$J20/('Assumptions &amp; Inputs'!$T7-('Assumptions &amp; Inputs'!$D25+3)),0)</f>
        <v>0</v>
      </c>
      <c r="O88" s="266">
        <f>IF(AND(O6&gt;='Assumptions &amp; Inputs'!$D25+1,O6&lt;'Assumptions &amp; Inputs'!$T7),'Assumptions &amp; Inputs'!$J20/('Assumptions &amp; Inputs'!$T7-('Assumptions &amp; Inputs'!$D25+3)),0)</f>
        <v>0</v>
      </c>
      <c r="P88" s="266">
        <f>IF(AND(P6&gt;='Assumptions &amp; Inputs'!$D25+1,P6&lt;'Assumptions &amp; Inputs'!$T7),'Assumptions &amp; Inputs'!$J20/('Assumptions &amp; Inputs'!$T7-('Assumptions &amp; Inputs'!$D25+3)),0)</f>
        <v>0</v>
      </c>
      <c r="Q88" s="266">
        <f>IF(AND(Q6&gt;='Assumptions &amp; Inputs'!$D25+1,Q6&lt;'Assumptions &amp; Inputs'!$T7),'Assumptions &amp; Inputs'!$J20/('Assumptions &amp; Inputs'!$T7-('Assumptions &amp; Inputs'!$D25+3)),0)</f>
        <v>0</v>
      </c>
      <c r="R88" s="266">
        <f>IF(AND(R6&gt;='Assumptions &amp; Inputs'!$D25+1,R6&lt;'Assumptions &amp; Inputs'!$T7),'Assumptions &amp; Inputs'!$J20/('Assumptions &amp; Inputs'!$T7-('Assumptions &amp; Inputs'!$D25+3)),0)</f>
        <v>0</v>
      </c>
      <c r="S88" s="266">
        <f>IF(AND(S6&gt;='Assumptions &amp; Inputs'!$D25+1,S6&lt;'Assumptions &amp; Inputs'!$T7),'Assumptions &amp; Inputs'!$J20/('Assumptions &amp; Inputs'!$T7-('Assumptions &amp; Inputs'!$D25+3)),0)</f>
        <v>0</v>
      </c>
      <c r="T88" s="266">
        <f>IF(AND(T6&gt;='Assumptions &amp; Inputs'!$D25+1,T6&lt;'Assumptions &amp; Inputs'!$T7),'Assumptions &amp; Inputs'!$J20/('Assumptions &amp; Inputs'!$T7-('Assumptions &amp; Inputs'!$D25+3)),0)</f>
        <v>0</v>
      </c>
      <c r="U88" s="266">
        <f>IF(AND(U6&gt;='Assumptions &amp; Inputs'!$D25+1,U6&lt;'Assumptions &amp; Inputs'!$T7),'Assumptions &amp; Inputs'!$J20/('Assumptions &amp; Inputs'!$T7-('Assumptions &amp; Inputs'!$D25+3)),0)</f>
        <v>0</v>
      </c>
      <c r="V88" s="266">
        <f ca="1">IF(AND(V6&gt;='Assumptions &amp; Inputs'!$D25+1,V6&lt;'Assumptions &amp; Inputs'!$T7),'Assumptions &amp; Inputs'!$J20/('Assumptions &amp; Inputs'!$T7-('Assumptions &amp; Inputs'!$D25+3)),0)</f>
        <v>9592.6057546840148</v>
      </c>
      <c r="W88" s="266">
        <f ca="1">IF(AND(W6&gt;='Assumptions &amp; Inputs'!$D25+1,W6&lt;'Assumptions &amp; Inputs'!$T7),'Assumptions &amp; Inputs'!$J20/('Assumptions &amp; Inputs'!$T7-('Assumptions &amp; Inputs'!$D25+3)),0)</f>
        <v>9592.6057546840148</v>
      </c>
      <c r="X88" s="266">
        <f ca="1">IF(AND(X6&gt;='Assumptions &amp; Inputs'!$D25+1,X6&lt;'Assumptions &amp; Inputs'!$T7),'Assumptions &amp; Inputs'!$J20/('Assumptions &amp; Inputs'!$T7-('Assumptions &amp; Inputs'!$D25+3)),0)</f>
        <v>9592.6057546840148</v>
      </c>
      <c r="Y88" s="266">
        <f ca="1">IF(AND(Y6&gt;='Assumptions &amp; Inputs'!$D25+1,Y6&lt;'Assumptions &amp; Inputs'!$T7),'Assumptions &amp; Inputs'!$J20/('Assumptions &amp; Inputs'!$T7-('Assumptions &amp; Inputs'!$D25+3)),0)</f>
        <v>9592.6057546840148</v>
      </c>
      <c r="Z88" s="266">
        <f ca="1">IF(AND(Z6&gt;='Assumptions &amp; Inputs'!$D25+1,Z6&lt;'Assumptions &amp; Inputs'!$T7),'Assumptions &amp; Inputs'!$J20/('Assumptions &amp; Inputs'!$T7-('Assumptions &amp; Inputs'!$D25+3)),0)</f>
        <v>9592.6057546840148</v>
      </c>
      <c r="AA88" s="266">
        <f ca="1">IF(AND(AA6&gt;='Assumptions &amp; Inputs'!$D25+1,AA6&lt;'Assumptions &amp; Inputs'!$T7),'Assumptions &amp; Inputs'!$J20/('Assumptions &amp; Inputs'!$T7-('Assumptions &amp; Inputs'!$D25+3)),0)</f>
        <v>9592.6057546840148</v>
      </c>
      <c r="AB88" s="266">
        <f ca="1">IF(AND(AB6&gt;='Assumptions &amp; Inputs'!$D25+1,AB6&lt;'Assumptions &amp; Inputs'!$T7),'Assumptions &amp; Inputs'!$J20/('Assumptions &amp; Inputs'!$T7-('Assumptions &amp; Inputs'!$D25+3)),0)</f>
        <v>9592.6057546840148</v>
      </c>
      <c r="AC88" s="266">
        <f ca="1">IF(AND(AC6&gt;='Assumptions &amp; Inputs'!$D25+1,AC6&lt;'Assumptions &amp; Inputs'!$T7),'Assumptions &amp; Inputs'!$J20/('Assumptions &amp; Inputs'!$T7-('Assumptions &amp; Inputs'!$D25+3)),0)</f>
        <v>9592.6057546840148</v>
      </c>
      <c r="AD88" s="266">
        <f ca="1">IF(AND(AD6&gt;='Assumptions &amp; Inputs'!$D25+1,AD6&lt;'Assumptions &amp; Inputs'!$T7),'Assumptions &amp; Inputs'!$J20/('Assumptions &amp; Inputs'!$T7-('Assumptions &amp; Inputs'!$D25+3)),0)</f>
        <v>9592.6057546840148</v>
      </c>
      <c r="AE88" s="266">
        <f ca="1">IF(AND(AE6&gt;='Assumptions &amp; Inputs'!$D25+1,AE6&lt;'Assumptions &amp; Inputs'!$T7),'Assumptions &amp; Inputs'!$J20/('Assumptions &amp; Inputs'!$T7-('Assumptions &amp; Inputs'!$D25+3)),0)</f>
        <v>9592.6057546840148</v>
      </c>
      <c r="AF88" s="266">
        <f ca="1">IF(AND(AF6&gt;='Assumptions &amp; Inputs'!$D25+1,AF6&lt;'Assumptions &amp; Inputs'!$T7),'Assumptions &amp; Inputs'!$J20/('Assumptions &amp; Inputs'!$T7-('Assumptions &amp; Inputs'!$D25+3)),0)</f>
        <v>9592.6057546840148</v>
      </c>
      <c r="AG88" s="266">
        <f ca="1">IF(AND(AG6&gt;='Assumptions &amp; Inputs'!$D25+1,AG6&lt;'Assumptions &amp; Inputs'!$T7),'Assumptions &amp; Inputs'!$J20/('Assumptions &amp; Inputs'!$T7-('Assumptions &amp; Inputs'!$D25+3)),0)</f>
        <v>9592.6057546840148</v>
      </c>
      <c r="AH88" s="266">
        <f ca="1">IF(AND(AH6&gt;='Assumptions &amp; Inputs'!$D25+1,AH6&lt;'Assumptions &amp; Inputs'!$T7),'Assumptions &amp; Inputs'!$J20/('Assumptions &amp; Inputs'!$T7-('Assumptions &amp; Inputs'!$D25+3)),0)</f>
        <v>9592.6057546840148</v>
      </c>
      <c r="AI88" s="266">
        <f ca="1">IF(AND(AI6&gt;='Assumptions &amp; Inputs'!$D25+1,AI6&lt;'Assumptions &amp; Inputs'!$T7),'Assumptions &amp; Inputs'!$J20/('Assumptions &amp; Inputs'!$T7-('Assumptions &amp; Inputs'!$D25+3)),0)</f>
        <v>9592.6057546840148</v>
      </c>
      <c r="AJ88" s="266">
        <f ca="1">IF(AND(AJ6&gt;='Assumptions &amp; Inputs'!$D25+1,AJ6&lt;'Assumptions &amp; Inputs'!$T7),'Assumptions &amp; Inputs'!$J20/('Assumptions &amp; Inputs'!$T7-('Assumptions &amp; Inputs'!$D25+3)),0)</f>
        <v>9592.6057546840148</v>
      </c>
      <c r="AK88" s="266">
        <f ca="1">IF(AND(AK6&gt;='Assumptions &amp; Inputs'!$D25+1,AK6&lt;'Assumptions &amp; Inputs'!$T7),'Assumptions &amp; Inputs'!$J20/('Assumptions &amp; Inputs'!$T7-('Assumptions &amp; Inputs'!$D25+3)),0)</f>
        <v>9592.6057546840148</v>
      </c>
      <c r="AL88" s="266">
        <f ca="1">IF(AND(AL6&gt;='Assumptions &amp; Inputs'!$D25+1,AL6&lt;'Assumptions &amp; Inputs'!$T7),'Assumptions &amp; Inputs'!$J20/('Assumptions &amp; Inputs'!$T7-('Assumptions &amp; Inputs'!$D25+3)),0)</f>
        <v>9592.6057546840148</v>
      </c>
      <c r="AM88" s="266">
        <f ca="1">IF(AND(AM6&gt;='Assumptions &amp; Inputs'!$D25+1,AM6&lt;'Assumptions &amp; Inputs'!$T7),'Assumptions &amp; Inputs'!$J20/('Assumptions &amp; Inputs'!$T7-('Assumptions &amp; Inputs'!$D25+3)),0)</f>
        <v>9592.6057546840148</v>
      </c>
      <c r="AN88" s="266">
        <f ca="1">IF(AND(AN6&gt;='Assumptions &amp; Inputs'!$D25+1,AN6&lt;'Assumptions &amp; Inputs'!$T7),'Assumptions &amp; Inputs'!$J20/('Assumptions &amp; Inputs'!$T7-('Assumptions &amp; Inputs'!$D25+3)),0)</f>
        <v>9592.6057546840148</v>
      </c>
      <c r="AO88" s="266">
        <f ca="1">IF(AND(AO6&gt;='Assumptions &amp; Inputs'!$D25+1,AO6&lt;'Assumptions &amp; Inputs'!$T7),'Assumptions &amp; Inputs'!$J20/('Assumptions &amp; Inputs'!$T7-('Assumptions &amp; Inputs'!$D25+3)),0)</f>
        <v>9592.6057546840148</v>
      </c>
      <c r="AP88" s="266">
        <f ca="1">IF(AND(AP6&gt;='Assumptions &amp; Inputs'!$D25+1,AP6&lt;'Assumptions &amp; Inputs'!$T7),'Assumptions &amp; Inputs'!$J20/('Assumptions &amp; Inputs'!$T7-('Assumptions &amp; Inputs'!$D25+3)),0)</f>
        <v>9592.6057546840148</v>
      </c>
      <c r="AQ88" s="266">
        <f ca="1">IF(AND(AQ6&gt;='Assumptions &amp; Inputs'!$D25+1,AQ6&lt;'Assumptions &amp; Inputs'!$T7),'Assumptions &amp; Inputs'!$J20/('Assumptions &amp; Inputs'!$T7-('Assumptions &amp; Inputs'!$D25+3)),0)</f>
        <v>9592.6057546840148</v>
      </c>
      <c r="AR88" s="266">
        <f ca="1">IF(AND(AR6&gt;='Assumptions &amp; Inputs'!$D25+1,AR6&lt;'Assumptions &amp; Inputs'!$T7),'Assumptions &amp; Inputs'!$J20/('Assumptions &amp; Inputs'!$T7-('Assumptions &amp; Inputs'!$D25+3)),0)</f>
        <v>9592.6057546840148</v>
      </c>
      <c r="AS88" s="266">
        <f ca="1">IF(AND(AS6&gt;='Assumptions &amp; Inputs'!$D25+1,AS6&lt;'Assumptions &amp; Inputs'!$T7),'Assumptions &amp; Inputs'!$J20/('Assumptions &amp; Inputs'!$T7-('Assumptions &amp; Inputs'!$D25+3)),0)</f>
        <v>9592.6057546840148</v>
      </c>
      <c r="AT88" s="266">
        <f ca="1">IF(AND(AT6&gt;='Assumptions &amp; Inputs'!$D25+1,AT6&lt;'Assumptions &amp; Inputs'!$T7),'Assumptions &amp; Inputs'!$J20/('Assumptions &amp; Inputs'!$T7-('Assumptions &amp; Inputs'!$D25+3)),0)</f>
        <v>9592.6057546840148</v>
      </c>
      <c r="AU88" s="266">
        <f ca="1">IF(AND(AU6&gt;='Assumptions &amp; Inputs'!$D25+1,AU6&lt;'Assumptions &amp; Inputs'!$T7),'Assumptions &amp; Inputs'!$J20/('Assumptions &amp; Inputs'!$T7-('Assumptions &amp; Inputs'!$D25+3)),0)</f>
        <v>9592.6057546840148</v>
      </c>
      <c r="AV88" s="266">
        <f ca="1">IF(AND(AV6&gt;='Assumptions &amp; Inputs'!$D25+1,AV6&lt;'Assumptions &amp; Inputs'!$T7),'Assumptions &amp; Inputs'!$J20/('Assumptions &amp; Inputs'!$T7-('Assumptions &amp; Inputs'!$D25+3)),0)</f>
        <v>9592.6057546840148</v>
      </c>
      <c r="AW88" s="266">
        <f ca="1">IF(AND(AW6&gt;='Assumptions &amp; Inputs'!$D25+1,AW6&lt;'Assumptions &amp; Inputs'!$T7),'Assumptions &amp; Inputs'!$J20/('Assumptions &amp; Inputs'!$T7-('Assumptions &amp; Inputs'!$D25+3)),0)</f>
        <v>9592.6057546840148</v>
      </c>
      <c r="AX88" s="266">
        <f ca="1">IF(AND(AX6&gt;='Assumptions &amp; Inputs'!$D25+1,AX6&lt;'Assumptions &amp; Inputs'!$T7),'Assumptions &amp; Inputs'!$J20/('Assumptions &amp; Inputs'!$T7-('Assumptions &amp; Inputs'!$D25+3)),0)</f>
        <v>9592.6057546840148</v>
      </c>
      <c r="AY88" s="266">
        <f ca="1">IF(AND(AY6&gt;='Assumptions &amp; Inputs'!$D25+1,AY6&lt;'Assumptions &amp; Inputs'!$T7),'Assumptions &amp; Inputs'!$J20/('Assumptions &amp; Inputs'!$T7-('Assumptions &amp; Inputs'!$D25+3)),0)</f>
        <v>9592.6057546840148</v>
      </c>
      <c r="AZ88" s="266">
        <f ca="1">IF(AND(AZ6&gt;='Assumptions &amp; Inputs'!$D25+1,AZ6&lt;'Assumptions &amp; Inputs'!$T7),'Assumptions &amp; Inputs'!$J20/('Assumptions &amp; Inputs'!$T7-('Assumptions &amp; Inputs'!$D25+3)),0)</f>
        <v>9592.6057546840148</v>
      </c>
      <c r="BA88" s="266">
        <f ca="1">IF(AND(BA6&gt;='Assumptions &amp; Inputs'!$D25+1,BA6&lt;'Assumptions &amp; Inputs'!$T7),'Assumptions &amp; Inputs'!$J20/('Assumptions &amp; Inputs'!$T7-('Assumptions &amp; Inputs'!$D25+3)),0)</f>
        <v>9592.6057546840148</v>
      </c>
      <c r="BB88" s="266">
        <f ca="1">IF(AND(BB6&gt;='Assumptions &amp; Inputs'!$D25+1,BB6&lt;'Assumptions &amp; Inputs'!$T7),'Assumptions &amp; Inputs'!$J20/('Assumptions &amp; Inputs'!$T7-('Assumptions &amp; Inputs'!$D25+3)),0)</f>
        <v>9592.6057546840148</v>
      </c>
      <c r="BC88" s="266">
        <f>IF(AND(BC6&gt;='Assumptions &amp; Inputs'!$D25+1,BC6&lt;'Assumptions &amp; Inputs'!$T7),'Assumptions &amp; Inputs'!$J20/('Assumptions &amp; Inputs'!$T7-('Assumptions &amp; Inputs'!$D25+3)),0)</f>
        <v>0</v>
      </c>
      <c r="BD88" s="266">
        <f>IF(AND(BD6&gt;='Assumptions &amp; Inputs'!$D25+1,BD6&lt;'Assumptions &amp; Inputs'!$T7),'Assumptions &amp; Inputs'!$J20/('Assumptions &amp; Inputs'!$T7-('Assumptions &amp; Inputs'!$D25+3)),0)</f>
        <v>0</v>
      </c>
      <c r="BE88" s="266">
        <f>IF(AND(BE6&gt;='Assumptions &amp; Inputs'!$D25+1,BE6&lt;'Assumptions &amp; Inputs'!$T7),'Assumptions &amp; Inputs'!$J20/('Assumptions &amp; Inputs'!$T7-('Assumptions &amp; Inputs'!$D25+3)),0)</f>
        <v>0</v>
      </c>
      <c r="BF88" s="266">
        <f>IF(AND(BF6&gt;='Assumptions &amp; Inputs'!$D25+1,BF6&lt;'Assumptions &amp; Inputs'!$T7),'Assumptions &amp; Inputs'!$J20/('Assumptions &amp; Inputs'!$T7-('Assumptions &amp; Inputs'!$D25+3)),0)</f>
        <v>0</v>
      </c>
      <c r="BG88" s="266">
        <f>IF(AND(BG6&gt;='Assumptions &amp; Inputs'!$D25+1,BG6&lt;'Assumptions &amp; Inputs'!$T7),'Assumptions &amp; Inputs'!$J20/('Assumptions &amp; Inputs'!$T7-('Assumptions &amp; Inputs'!$D25+3)),0)</f>
        <v>0</v>
      </c>
      <c r="BH88" s="266">
        <f>IF(AND(BH6&gt;='Assumptions &amp; Inputs'!$D25+1,BH6&lt;'Assumptions &amp; Inputs'!$T7),'Assumptions &amp; Inputs'!$J20/('Assumptions &amp; Inputs'!$T7-('Assumptions &amp; Inputs'!$D25+3)),0)</f>
        <v>0</v>
      </c>
      <c r="BI88" s="266">
        <f>IF(AND(BI6&gt;='Assumptions &amp; Inputs'!$D25+1,BI6&lt;'Assumptions &amp; Inputs'!$T7),'Assumptions &amp; Inputs'!$J20/('Assumptions &amp; Inputs'!$T7-('Assumptions &amp; Inputs'!$D25+3)),0)</f>
        <v>0</v>
      </c>
      <c r="BJ88" s="266">
        <f>IF(AND(BJ6&gt;='Assumptions &amp; Inputs'!$D25+1,BJ6&lt;'Assumptions &amp; Inputs'!$T7),'Assumptions &amp; Inputs'!$J20/('Assumptions &amp; Inputs'!$T7-('Assumptions &amp; Inputs'!$D25+3)),0)</f>
        <v>0</v>
      </c>
      <c r="BK88" s="266">
        <f>IF(AND(BK6&gt;='Assumptions &amp; Inputs'!$D25+1,BK6&lt;'Assumptions &amp; Inputs'!$T7),'Assumptions &amp; Inputs'!$J20/('Assumptions &amp; Inputs'!$T7-('Assumptions &amp; Inputs'!$D25+3)),0)</f>
        <v>0</v>
      </c>
      <c r="BL88" s="266">
        <f>IF(AND(BL6&gt;='Assumptions &amp; Inputs'!$D25+1,BL6&lt;'Assumptions &amp; Inputs'!$T7),'Assumptions &amp; Inputs'!$J20/('Assumptions &amp; Inputs'!$T7-('Assumptions &amp; Inputs'!$D25+3)),0)</f>
        <v>0</v>
      </c>
      <c r="BM88" s="266">
        <f>IF(AND(BM6&gt;='Assumptions &amp; Inputs'!$D25+1,BM6&lt;'Assumptions &amp; Inputs'!$T7),'Assumptions &amp; Inputs'!$J20/('Assumptions &amp; Inputs'!$T7-('Assumptions &amp; Inputs'!$D25+3)),0)</f>
        <v>0</v>
      </c>
      <c r="BN88" s="266">
        <f>IF(AND(BN6&gt;='Assumptions &amp; Inputs'!$D25+1,BN6&lt;'Assumptions &amp; Inputs'!$T7),'Assumptions &amp; Inputs'!$J20/('Assumptions &amp; Inputs'!$T7-('Assumptions &amp; Inputs'!$D25+3)),0)</f>
        <v>0</v>
      </c>
      <c r="BO88" s="266">
        <f>IF(AND(BO6&gt;='Assumptions &amp; Inputs'!$D25+1,BO6&lt;'Assumptions &amp; Inputs'!$T7),'Assumptions &amp; Inputs'!$J20/('Assumptions &amp; Inputs'!$T7-('Assumptions &amp; Inputs'!$D25+3)),0)</f>
        <v>0</v>
      </c>
      <c r="BP88" s="266">
        <f>IF(AND(BP6&gt;='Assumptions &amp; Inputs'!$D25+1,BP6&lt;'Assumptions &amp; Inputs'!$T7),'Assumptions &amp; Inputs'!$J20/('Assumptions &amp; Inputs'!$T7-('Assumptions &amp; Inputs'!$D25+3)),0)</f>
        <v>0</v>
      </c>
      <c r="BQ88" s="266">
        <f>IF(AND(BQ6&gt;='Assumptions &amp; Inputs'!$D25+1,BQ6&lt;'Assumptions &amp; Inputs'!$T7),'Assumptions &amp; Inputs'!$J20/('Assumptions &amp; Inputs'!$T7-('Assumptions &amp; Inputs'!$D25+3)),0)</f>
        <v>0</v>
      </c>
      <c r="BR88" s="266">
        <f>IF(AND(BR6&gt;='Assumptions &amp; Inputs'!$D25+1,BR6&lt;'Assumptions &amp; Inputs'!$T7),'Assumptions &amp; Inputs'!$J20/('Assumptions &amp; Inputs'!$T7-('Assumptions &amp; Inputs'!$D25+3)),0)</f>
        <v>0</v>
      </c>
      <c r="BS88" s="266">
        <f>IF(AND(BS6&gt;='Assumptions &amp; Inputs'!$D25+1,BS6&lt;'Assumptions &amp; Inputs'!$T7),'Assumptions &amp; Inputs'!$J20/('Assumptions &amp; Inputs'!$T7-('Assumptions &amp; Inputs'!$D25+3)),0)</f>
        <v>0</v>
      </c>
      <c r="BT88" s="266">
        <f>IF(AND(BT6&gt;='Assumptions &amp; Inputs'!$D25+1,BT6&lt;'Assumptions &amp; Inputs'!$T7),'Assumptions &amp; Inputs'!$J20/('Assumptions &amp; Inputs'!$T7-('Assumptions &amp; Inputs'!$D25+3)),0)</f>
        <v>0</v>
      </c>
      <c r="BU88" s="266">
        <f>IF(AND(BU6&gt;='Assumptions &amp; Inputs'!$D25+1,BU6&lt;'Assumptions &amp; Inputs'!$T7),'Assumptions &amp; Inputs'!$J20/('Assumptions &amp; Inputs'!$T7-('Assumptions &amp; Inputs'!$D25+3)),0)</f>
        <v>0</v>
      </c>
      <c r="BV88" s="266">
        <f>IF(AND(BV6&gt;='Assumptions &amp; Inputs'!$D25+1,BV6&lt;'Assumptions &amp; Inputs'!$T7),'Assumptions &amp; Inputs'!$J20/('Assumptions &amp; Inputs'!$T7-('Assumptions &amp; Inputs'!$D25+3)),0)</f>
        <v>0</v>
      </c>
      <c r="BW88" s="266">
        <f>IF(AND(BW6&gt;='Assumptions &amp; Inputs'!$D25+1,BW6&lt;'Assumptions &amp; Inputs'!$T7),'Assumptions &amp; Inputs'!$J20/('Assumptions &amp; Inputs'!$T7-('Assumptions &amp; Inputs'!$D25+3)),0)</f>
        <v>0</v>
      </c>
      <c r="BX88" s="266">
        <f>IF(AND(BX6&gt;='Assumptions &amp; Inputs'!$D25+1,BX6&lt;'Assumptions &amp; Inputs'!$T7),'Assumptions &amp; Inputs'!$J20/('Assumptions &amp; Inputs'!$T7-('Assumptions &amp; Inputs'!$D25+3)),0)</f>
        <v>0</v>
      </c>
      <c r="BY88" s="266">
        <f>IF(AND(BY6&gt;='Assumptions &amp; Inputs'!$D25+1,BY6&lt;'Assumptions &amp; Inputs'!$T7),'Assumptions &amp; Inputs'!$J20/('Assumptions &amp; Inputs'!$T7-('Assumptions &amp; Inputs'!$D25+3)),0)</f>
        <v>0</v>
      </c>
      <c r="BZ88" s="266">
        <f>IF(AND(BZ6&gt;='Assumptions &amp; Inputs'!$D25+1,BZ6&lt;'Assumptions &amp; Inputs'!$T7),'Assumptions &amp; Inputs'!$J20/('Assumptions &amp; Inputs'!$T7-('Assumptions &amp; Inputs'!$D25+3)),0)</f>
        <v>0</v>
      </c>
      <c r="CA88" s="266">
        <f>IF(AND(CA6&gt;='Assumptions &amp; Inputs'!$D25+1,CA6&lt;'Assumptions &amp; Inputs'!$T7),'Assumptions &amp; Inputs'!$J20/('Assumptions &amp; Inputs'!$T7-('Assumptions &amp; Inputs'!$D25+3)),0)</f>
        <v>0</v>
      </c>
      <c r="CB88" s="13"/>
      <c r="CC88" s="13"/>
      <c r="CD88" s="13"/>
      <c r="CE88" s="13"/>
      <c r="CF88" s="13"/>
      <c r="CG88" s="13"/>
    </row>
    <row r="89" spans="1:316" ht="12" customHeight="1">
      <c r="B89" s="15"/>
      <c r="E89" s="545"/>
      <c r="G89" s="136"/>
      <c r="H89" s="545"/>
      <c r="I89" s="545"/>
      <c r="J89" s="545"/>
      <c r="K89" s="545"/>
      <c r="L89" s="545"/>
      <c r="M89" s="545"/>
      <c r="N89" s="545"/>
      <c r="O89" s="545"/>
      <c r="P89" s="545"/>
      <c r="Q89" s="545"/>
      <c r="R89" s="545"/>
      <c r="S89" s="545"/>
      <c r="T89" s="545"/>
      <c r="U89" s="545"/>
      <c r="V89" s="545"/>
      <c r="W89" s="545"/>
      <c r="X89" s="545"/>
      <c r="Y89" s="545"/>
      <c r="Z89" s="545"/>
      <c r="AA89" s="545"/>
      <c r="AB89" s="545"/>
      <c r="AC89" s="545"/>
      <c r="AD89" s="545"/>
      <c r="AE89" s="545"/>
      <c r="AF89" s="545"/>
      <c r="AG89" s="545"/>
      <c r="AH89" s="545"/>
      <c r="AI89" s="545"/>
      <c r="AJ89" s="545"/>
      <c r="AK89" s="545"/>
      <c r="AL89" s="545"/>
      <c r="AM89" s="545"/>
      <c r="AN89" s="545"/>
      <c r="AO89" s="545"/>
      <c r="AP89" s="545"/>
      <c r="AQ89" s="545"/>
      <c r="AR89" s="545"/>
      <c r="AS89" s="545"/>
      <c r="AT89" s="545"/>
      <c r="AU89" s="545"/>
      <c r="AV89" s="545"/>
      <c r="AW89" s="545"/>
      <c r="AX89" s="545"/>
      <c r="AY89" s="545"/>
      <c r="AZ89" s="545"/>
      <c r="BA89" s="545"/>
      <c r="BB89" s="545"/>
      <c r="BC89" s="545"/>
      <c r="BD89" s="545"/>
      <c r="BE89" s="545"/>
      <c r="BF89" s="545"/>
      <c r="BG89" s="545"/>
      <c r="BH89" s="545"/>
      <c r="BI89" s="545"/>
      <c r="BJ89" s="545"/>
      <c r="BK89" s="545"/>
      <c r="BL89" s="545"/>
      <c r="BM89" s="545"/>
      <c r="BN89" s="545"/>
      <c r="BO89" s="545"/>
      <c r="BP89" s="545"/>
      <c r="BQ89" s="545"/>
      <c r="BR89" s="545"/>
      <c r="BS89" s="545"/>
      <c r="BT89" s="545"/>
      <c r="BU89" s="545"/>
      <c r="BV89" s="545"/>
      <c r="BW89" s="545"/>
      <c r="BX89" s="545"/>
      <c r="BY89" s="545"/>
      <c r="BZ89" s="545"/>
      <c r="CA89" s="545"/>
    </row>
    <row r="90" spans="1:316" ht="12" customHeight="1">
      <c r="B90" s="15" t="s">
        <v>1006</v>
      </c>
    </row>
    <row r="91" spans="1:316" ht="12" customHeight="1">
      <c r="B91" s="351" t="s">
        <v>1007</v>
      </c>
      <c r="C91" s="1205">
        <f>'Assumptions &amp; Inputs'!K42</f>
        <v>2</v>
      </c>
      <c r="D91" s="136">
        <f ca="1">'Assumptions &amp; Inputs'!J42</f>
        <v>211214</v>
      </c>
      <c r="E91" s="136">
        <f ca="1">SUM(G91:CA91)</f>
        <v>211214</v>
      </c>
      <c r="G91" s="136">
        <f>IF(G6='Assumptions &amp; Inputs'!$D$24+1,$D91,0)</f>
        <v>0</v>
      </c>
      <c r="H91" s="136">
        <f>IF(H6='Assumptions &amp; Inputs'!$D$24+1,$D91,0)</f>
        <v>0</v>
      </c>
      <c r="I91" s="136">
        <f>IF(I6='Assumptions &amp; Inputs'!$D$24+1,$D91,0)</f>
        <v>0</v>
      </c>
      <c r="J91" s="136">
        <f>IF(J6='Assumptions &amp; Inputs'!$D$24+1,$D91,0)</f>
        <v>0</v>
      </c>
      <c r="K91" s="136">
        <f>IF(K6='Assumptions &amp; Inputs'!$D$24+1,$D91,0)</f>
        <v>0</v>
      </c>
      <c r="L91" s="136">
        <f>IF(L6='Assumptions &amp; Inputs'!$D$24+1,$D91,0)</f>
        <v>0</v>
      </c>
      <c r="M91" s="136">
        <f>IF(M6='Assumptions &amp; Inputs'!$D$24+1,$D91,0)</f>
        <v>0</v>
      </c>
      <c r="N91" s="136">
        <f>IF(N6='Assumptions &amp; Inputs'!$D$24+1,$D91,0)</f>
        <v>0</v>
      </c>
      <c r="O91" s="136">
        <f>IF(O6='Assumptions &amp; Inputs'!$D$24+1,$D91,0)</f>
        <v>0</v>
      </c>
      <c r="P91" s="136">
        <f>IF(P6='Assumptions &amp; Inputs'!$D$24+1,$D91,0)</f>
        <v>0</v>
      </c>
      <c r="Q91" s="136">
        <f>IF(Q6='Assumptions &amp; Inputs'!$D$24+1,$D91,0)</f>
        <v>0</v>
      </c>
      <c r="R91" s="136">
        <f>IF(R6='Assumptions &amp; Inputs'!$D$24+1,$D91,0)</f>
        <v>0</v>
      </c>
      <c r="S91" s="136">
        <f>IF(S6='Assumptions &amp; Inputs'!$D$24+1,$D91,0)</f>
        <v>0</v>
      </c>
      <c r="T91" s="136">
        <f>IF(T6='Assumptions &amp; Inputs'!$D$24+1,$D91,0)</f>
        <v>0</v>
      </c>
      <c r="U91" s="136">
        <f ca="1">IF(U6='Assumptions &amp; Inputs'!$D$24+1,$D91,0)</f>
        <v>211214</v>
      </c>
      <c r="V91" s="136">
        <f>IF(V6='Assumptions &amp; Inputs'!$D$24+1,$D91,0)</f>
        <v>0</v>
      </c>
      <c r="W91" s="136">
        <f>IF(W6='Assumptions &amp; Inputs'!$D$24+1,$D91,0)</f>
        <v>0</v>
      </c>
      <c r="X91" s="136">
        <f>IF(X6='Assumptions &amp; Inputs'!$D$24+1,$D91,0)</f>
        <v>0</v>
      </c>
      <c r="Y91" s="136">
        <f>IF(Y6='Assumptions &amp; Inputs'!$D$24+1,$D91,0)</f>
        <v>0</v>
      </c>
      <c r="Z91" s="136">
        <f>IF(Z6='Assumptions &amp; Inputs'!$D$24+1,$D91,0)</f>
        <v>0</v>
      </c>
      <c r="AA91" s="136">
        <f>IF(AA6='Assumptions &amp; Inputs'!$D$24+1,$D91,0)</f>
        <v>0</v>
      </c>
      <c r="AB91" s="136">
        <f>IF(AB6='Assumptions &amp; Inputs'!$D$24+1,$D91,0)</f>
        <v>0</v>
      </c>
      <c r="AC91" s="136">
        <f>IF(AC6='Assumptions &amp; Inputs'!$D$24+1,$D91,0)</f>
        <v>0</v>
      </c>
      <c r="AD91" s="136">
        <f>IF(AD6='Assumptions &amp; Inputs'!$D$24+1,$D91,0)</f>
        <v>0</v>
      </c>
      <c r="AE91" s="136">
        <f>IF(AE6='Assumptions &amp; Inputs'!$D$24+1,$D91,0)</f>
        <v>0</v>
      </c>
      <c r="AF91" s="136">
        <f>IF(AF6='Assumptions &amp; Inputs'!$D$24+1,$D91,0)</f>
        <v>0</v>
      </c>
      <c r="AG91" s="136">
        <f>IF(AG6='Assumptions &amp; Inputs'!$D$24+1,$D91,0)</f>
        <v>0</v>
      </c>
      <c r="AH91" s="136">
        <f>IF(AH6='Assumptions &amp; Inputs'!$D$24+1,$D91,0)</f>
        <v>0</v>
      </c>
      <c r="AI91" s="136">
        <f>IF(AI6='Assumptions &amp; Inputs'!$D$24+1,$D91,0)</f>
        <v>0</v>
      </c>
      <c r="AJ91" s="136">
        <f>IF(AJ6='Assumptions &amp; Inputs'!$D$24+1,$D91,0)</f>
        <v>0</v>
      </c>
      <c r="AK91" s="136">
        <f>IF(AK6='Assumptions &amp; Inputs'!$D$24+1,$D91,0)</f>
        <v>0</v>
      </c>
      <c r="AL91" s="136">
        <f>IF(AL6='Assumptions &amp; Inputs'!$D$24+1,$D91,0)</f>
        <v>0</v>
      </c>
      <c r="AM91" s="136">
        <f>IF(AM6='Assumptions &amp; Inputs'!$D$24+1,$D91,0)</f>
        <v>0</v>
      </c>
      <c r="AN91" s="136">
        <f>IF(AN6='Assumptions &amp; Inputs'!$D$24+1,$D91,0)</f>
        <v>0</v>
      </c>
      <c r="AO91" s="136">
        <f>IF(AO6='Assumptions &amp; Inputs'!$D$24+1,$D91,0)</f>
        <v>0</v>
      </c>
      <c r="AP91" s="136">
        <f>IF(AP6='Assumptions &amp; Inputs'!$D$24+1,$D91,0)</f>
        <v>0</v>
      </c>
      <c r="AQ91" s="136">
        <f>IF(AQ6='Assumptions &amp; Inputs'!$D$24+1,$D91,0)</f>
        <v>0</v>
      </c>
      <c r="AR91" s="136">
        <f>IF(AR6='Assumptions &amp; Inputs'!$D$24+1,$D91,0)</f>
        <v>0</v>
      </c>
      <c r="AS91" s="136">
        <f>IF(AS6='Assumptions &amp; Inputs'!$D$24+1,$D91,0)</f>
        <v>0</v>
      </c>
      <c r="AT91" s="136">
        <f>IF(AT6='Assumptions &amp; Inputs'!$D$24+1,$D91,0)</f>
        <v>0</v>
      </c>
      <c r="AU91" s="136">
        <f>IF(AU6='Assumptions &amp; Inputs'!$D$24+1,$D91,0)</f>
        <v>0</v>
      </c>
      <c r="AV91" s="136">
        <f>IF(AV6='Assumptions &amp; Inputs'!$D$24+1,$D91,0)</f>
        <v>0</v>
      </c>
      <c r="AW91" s="136">
        <f>IF(AW6='Assumptions &amp; Inputs'!$D$24+1,$D91,0)</f>
        <v>0</v>
      </c>
      <c r="AX91" s="136">
        <f>IF(AX6='Assumptions &amp; Inputs'!$D$24+1,$D91,0)</f>
        <v>0</v>
      </c>
      <c r="AY91" s="136">
        <f>IF(AY6='Assumptions &amp; Inputs'!$D$24+1,$D91,0)</f>
        <v>0</v>
      </c>
      <c r="AZ91" s="136">
        <f>IF(AZ6='Assumptions &amp; Inputs'!$D$24+1,$D91,0)</f>
        <v>0</v>
      </c>
      <c r="BA91" s="136">
        <f>IF(BA6='Assumptions &amp; Inputs'!$D$24+1,$D91,0)</f>
        <v>0</v>
      </c>
      <c r="BB91" s="136">
        <f>IF(BB6='Assumptions &amp; Inputs'!$D$24+1,$D91,0)</f>
        <v>0</v>
      </c>
      <c r="BC91" s="136">
        <f>IF(BC6='Assumptions &amp; Inputs'!$D$24+1,$D91,0)</f>
        <v>0</v>
      </c>
      <c r="BD91" s="136">
        <f>IF(BD6='Assumptions &amp; Inputs'!$D$24+1,$D91,0)</f>
        <v>0</v>
      </c>
      <c r="BE91" s="136">
        <f>IF(BE6='Assumptions &amp; Inputs'!$D$24+1,$D91,0)</f>
        <v>0</v>
      </c>
      <c r="BF91" s="136">
        <f>IF(BF6='Assumptions &amp; Inputs'!$D$24+1,$D91,0)</f>
        <v>0</v>
      </c>
      <c r="BG91" s="136">
        <f>IF(BG6='Assumptions &amp; Inputs'!$D$24+1,$D91,0)</f>
        <v>0</v>
      </c>
      <c r="BH91" s="136">
        <f>IF(BH6='Assumptions &amp; Inputs'!$D$24+1,$D91,0)</f>
        <v>0</v>
      </c>
      <c r="BI91" s="136">
        <f>IF(BI6='Assumptions &amp; Inputs'!$D$24+1,$D91,0)</f>
        <v>0</v>
      </c>
      <c r="BJ91" s="136">
        <f>IF(BJ6='Assumptions &amp; Inputs'!$D$24+1,$D91,0)</f>
        <v>0</v>
      </c>
      <c r="BK91" s="136">
        <f>IF(BK6='Assumptions &amp; Inputs'!$D$24+1,$D91,0)</f>
        <v>0</v>
      </c>
      <c r="BL91" s="136">
        <f>IF(BL6='Assumptions &amp; Inputs'!$D$24+1,$D91,0)</f>
        <v>0</v>
      </c>
      <c r="BM91" s="136">
        <f>IF(BM6='Assumptions &amp; Inputs'!$D$24+1,$D91,0)</f>
        <v>0</v>
      </c>
      <c r="BN91" s="136">
        <f>IF(BN6='Assumptions &amp; Inputs'!$D$24+1,$D91,0)</f>
        <v>0</v>
      </c>
      <c r="BO91" s="136">
        <f>IF(BO6='Assumptions &amp; Inputs'!$D$24+1,$D91,0)</f>
        <v>0</v>
      </c>
      <c r="BP91" s="136">
        <f>IF(BP6='Assumptions &amp; Inputs'!$D$24+1,$D91,0)</f>
        <v>0</v>
      </c>
      <c r="BQ91" s="136">
        <f>IF(BQ6='Assumptions &amp; Inputs'!$D$24+1,$D91,0)</f>
        <v>0</v>
      </c>
      <c r="BR91" s="136">
        <f>IF(BR6='Assumptions &amp; Inputs'!$D$24+1,$D91,0)</f>
        <v>0</v>
      </c>
      <c r="BS91" s="136">
        <f>IF(BS6='Assumptions &amp; Inputs'!$D$24+1,$D91,0)</f>
        <v>0</v>
      </c>
      <c r="BT91" s="136">
        <f>IF(BT6='Assumptions &amp; Inputs'!$D$24+1,$D91,0)</f>
        <v>0</v>
      </c>
      <c r="BU91" s="136">
        <f>IF(BU6='Assumptions &amp; Inputs'!$D$24+1,$D91,0)</f>
        <v>0</v>
      </c>
      <c r="BV91" s="136">
        <f>IF(BV6='Assumptions &amp; Inputs'!$D$24+1,$D91,0)</f>
        <v>0</v>
      </c>
      <c r="BW91" s="136">
        <f>IF(BW6='Assumptions &amp; Inputs'!$D$24+1,$D91,0)</f>
        <v>0</v>
      </c>
      <c r="BX91" s="136">
        <f>IF(BX6='Assumptions &amp; Inputs'!$D$24+1,$D91,0)</f>
        <v>0</v>
      </c>
      <c r="BY91" s="136">
        <f>IF(BY6='Assumptions &amp; Inputs'!$D$24+1,$D91,0)</f>
        <v>0</v>
      </c>
      <c r="BZ91" s="136">
        <f>IF(BZ6='Assumptions &amp; Inputs'!$D$24+1,$D91,0)</f>
        <v>0</v>
      </c>
      <c r="CA91" s="136">
        <f>IF(CA6='Assumptions &amp; Inputs'!$D$24+1,$D91,0)</f>
        <v>0</v>
      </c>
    </row>
    <row r="92" spans="1:316" ht="12" customHeight="1">
      <c r="B92" s="351" t="s">
        <v>1008</v>
      </c>
      <c r="C92" s="1205">
        <f>'Assumptions &amp; Inputs'!K43</f>
        <v>1.5</v>
      </c>
      <c r="D92" s="136">
        <f ca="1">'Assumptions &amp; Inputs'!J43</f>
        <v>158410.5</v>
      </c>
      <c r="E92" s="136">
        <f ca="1">SUM(G92:CA92)</f>
        <v>158410.5</v>
      </c>
      <c r="G92" s="136">
        <f>IF(G6='Assumptions &amp; Inputs'!$D$24+13,$D92,0)</f>
        <v>0</v>
      </c>
      <c r="H92" s="136">
        <f>IF(H6='Assumptions &amp; Inputs'!$D$24+13,$D92,0)</f>
        <v>0</v>
      </c>
      <c r="I92" s="136">
        <f>IF(I6='Assumptions &amp; Inputs'!$D$24+13,$D92,0)</f>
        <v>0</v>
      </c>
      <c r="J92" s="136">
        <f>IF(J6='Assumptions &amp; Inputs'!$D$24+13,$D92,0)</f>
        <v>0</v>
      </c>
      <c r="K92" s="136">
        <f>IF(K6='Assumptions &amp; Inputs'!$D$24+13,$D92,0)</f>
        <v>0</v>
      </c>
      <c r="L92" s="136">
        <f>IF(L6='Assumptions &amp; Inputs'!$D$24+13,$D92,0)</f>
        <v>0</v>
      </c>
      <c r="M92" s="136">
        <f>IF(M6='Assumptions &amp; Inputs'!$D$24+13,$D92,0)</f>
        <v>0</v>
      </c>
      <c r="N92" s="136">
        <f>IF(N6='Assumptions &amp; Inputs'!$D$24+13,$D92,0)</f>
        <v>0</v>
      </c>
      <c r="O92" s="136">
        <f>IF(O6='Assumptions &amp; Inputs'!$D$24+13,$D92,0)</f>
        <v>0</v>
      </c>
      <c r="P92" s="136">
        <f>IF(P6='Assumptions &amp; Inputs'!$D$24+13,$D92,0)</f>
        <v>0</v>
      </c>
      <c r="Q92" s="136">
        <f>IF(Q6='Assumptions &amp; Inputs'!$D$24+13,$D92,0)</f>
        <v>0</v>
      </c>
      <c r="R92" s="136">
        <f>IF(R6='Assumptions &amp; Inputs'!$D$24+13,$D92,0)</f>
        <v>0</v>
      </c>
      <c r="S92" s="136">
        <f>IF(S6='Assumptions &amp; Inputs'!$D$24+13,$D92,0)</f>
        <v>0</v>
      </c>
      <c r="T92" s="136">
        <f>IF(T6='Assumptions &amp; Inputs'!$D$24+13,$D92,0)</f>
        <v>0</v>
      </c>
      <c r="U92" s="136">
        <f>IF(U6='Assumptions &amp; Inputs'!$D$24+13,$D92,0)</f>
        <v>0</v>
      </c>
      <c r="V92" s="136">
        <f>IF(V6='Assumptions &amp; Inputs'!$D$24+13,$D92,0)</f>
        <v>0</v>
      </c>
      <c r="W92" s="136">
        <f>IF(W6='Assumptions &amp; Inputs'!$D$24+13,$D92,0)</f>
        <v>0</v>
      </c>
      <c r="X92" s="136">
        <f>IF(X6='Assumptions &amp; Inputs'!$D$24+13,$D92,0)</f>
        <v>0</v>
      </c>
      <c r="Y92" s="136">
        <f>IF(Y6='Assumptions &amp; Inputs'!$D$24+13,$D92,0)</f>
        <v>0</v>
      </c>
      <c r="Z92" s="136">
        <f>IF(Z6='Assumptions &amp; Inputs'!$D$24+13,$D92,0)</f>
        <v>0</v>
      </c>
      <c r="AA92" s="136">
        <f>IF(AA6='Assumptions &amp; Inputs'!$D$24+13,$D92,0)</f>
        <v>0</v>
      </c>
      <c r="AB92" s="136">
        <f>IF(AB6='Assumptions &amp; Inputs'!$D$24+13,$D92,0)</f>
        <v>0</v>
      </c>
      <c r="AC92" s="136">
        <f>IF(AC6='Assumptions &amp; Inputs'!$D$24+13,$D92,0)</f>
        <v>0</v>
      </c>
      <c r="AD92" s="136">
        <f>IF(AD6='Assumptions &amp; Inputs'!$D$24+13,$D92,0)</f>
        <v>0</v>
      </c>
      <c r="AE92" s="136">
        <f>IF(AE6='Assumptions &amp; Inputs'!$D$24+13,$D92,0)</f>
        <v>0</v>
      </c>
      <c r="AF92" s="136">
        <f>IF(AF6='Assumptions &amp; Inputs'!$D$24+13,$D92,0)</f>
        <v>0</v>
      </c>
      <c r="AG92" s="136">
        <f ca="1">IF(AG6='Assumptions &amp; Inputs'!$D$24+13,$D92,0)</f>
        <v>158410.5</v>
      </c>
      <c r="AH92" s="136">
        <f>IF(AH6='Assumptions &amp; Inputs'!$D$24+13,$D92,0)</f>
        <v>0</v>
      </c>
      <c r="AI92" s="136">
        <f>IF(AI6='Assumptions &amp; Inputs'!$D$24+13,$D92,0)</f>
        <v>0</v>
      </c>
      <c r="AJ92" s="136">
        <f>IF(AJ6='Assumptions &amp; Inputs'!$D$24+13,$D92,0)</f>
        <v>0</v>
      </c>
      <c r="AK92" s="136">
        <f>IF(AK6='Assumptions &amp; Inputs'!$D$24+13,$D92,0)</f>
        <v>0</v>
      </c>
      <c r="AL92" s="136">
        <f>IF(AL6='Assumptions &amp; Inputs'!$D$24+13,$D92,0)</f>
        <v>0</v>
      </c>
      <c r="AM92" s="136">
        <f>IF(AM6='Assumptions &amp; Inputs'!$D$24+13,$D92,0)</f>
        <v>0</v>
      </c>
      <c r="AN92" s="136">
        <f>IF(AN6='Assumptions &amp; Inputs'!$D$24+13,$D92,0)</f>
        <v>0</v>
      </c>
      <c r="AO92" s="136">
        <f>IF(AO6='Assumptions &amp; Inputs'!$D$24+13,$D92,0)</f>
        <v>0</v>
      </c>
      <c r="AP92" s="136">
        <f>IF(AP6='Assumptions &amp; Inputs'!$D$24+13,$D92,0)</f>
        <v>0</v>
      </c>
      <c r="AQ92" s="136">
        <f>IF(AQ6='Assumptions &amp; Inputs'!$D$24+13,$D92,0)</f>
        <v>0</v>
      </c>
      <c r="AR92" s="136">
        <f>IF(AR6='Assumptions &amp; Inputs'!$D$24+13,$D92,0)</f>
        <v>0</v>
      </c>
      <c r="AS92" s="136">
        <f>IF(AS6='Assumptions &amp; Inputs'!$D$24+13,$D92,0)</f>
        <v>0</v>
      </c>
      <c r="AT92" s="136">
        <f>IF(AT6='Assumptions &amp; Inputs'!$D$24+13,$D92,0)</f>
        <v>0</v>
      </c>
      <c r="AU92" s="136">
        <f>IF(AU6='Assumptions &amp; Inputs'!$D$24+13,$D92,0)</f>
        <v>0</v>
      </c>
      <c r="AV92" s="136">
        <f>IF(AV6='Assumptions &amp; Inputs'!$D$24+13,$D92,0)</f>
        <v>0</v>
      </c>
      <c r="AW92" s="136">
        <f>IF(AW6='Assumptions &amp; Inputs'!$D$24+13,$D92,0)</f>
        <v>0</v>
      </c>
      <c r="AX92" s="136">
        <f>IF(AX6='Assumptions &amp; Inputs'!$D$24+13,$D92,0)</f>
        <v>0</v>
      </c>
      <c r="AY92" s="136">
        <f>IF(AY6='Assumptions &amp; Inputs'!$D$24+13,$D92,0)</f>
        <v>0</v>
      </c>
      <c r="AZ92" s="136">
        <f>IF(AZ6='Assumptions &amp; Inputs'!$D$24+13,$D92,0)</f>
        <v>0</v>
      </c>
      <c r="BA92" s="136">
        <f>IF(BA6='Assumptions &amp; Inputs'!$D$24+13,$D92,0)</f>
        <v>0</v>
      </c>
      <c r="BB92" s="136">
        <f>IF(BB6='Assumptions &amp; Inputs'!$D$24+13,$D92,0)</f>
        <v>0</v>
      </c>
      <c r="BC92" s="136">
        <f>IF(BC6='Assumptions &amp; Inputs'!$D$24+13,$D92,0)</f>
        <v>0</v>
      </c>
      <c r="BD92" s="136">
        <f>IF(BD6='Assumptions &amp; Inputs'!$D$24+13,$D92,0)</f>
        <v>0</v>
      </c>
      <c r="BE92" s="136">
        <f>IF(BE6='Assumptions &amp; Inputs'!$D$24+13,$D92,0)</f>
        <v>0</v>
      </c>
      <c r="BF92" s="136">
        <f>IF(BF6='Assumptions &amp; Inputs'!$D$24+13,$D92,0)</f>
        <v>0</v>
      </c>
      <c r="BG92" s="136">
        <f>IF(BG6='Assumptions &amp; Inputs'!$D$24+13,$D92,0)</f>
        <v>0</v>
      </c>
      <c r="BH92" s="136">
        <f>IF(BH6='Assumptions &amp; Inputs'!$D$24+13,$D92,0)</f>
        <v>0</v>
      </c>
      <c r="BI92" s="136">
        <f>IF(BI6='Assumptions &amp; Inputs'!$D$24+13,$D92,0)</f>
        <v>0</v>
      </c>
      <c r="BJ92" s="136">
        <f>IF(BJ6='Assumptions &amp; Inputs'!$D$24+13,$D92,0)</f>
        <v>0</v>
      </c>
      <c r="BK92" s="136">
        <f>IF(BK6='Assumptions &amp; Inputs'!$D$24+13,$D92,0)</f>
        <v>0</v>
      </c>
      <c r="BL92" s="136">
        <f>IF(BL6='Assumptions &amp; Inputs'!$D$24+13,$D92,0)</f>
        <v>0</v>
      </c>
      <c r="BM92" s="136">
        <f>IF(BM6='Assumptions &amp; Inputs'!$D$24+13,$D92,0)</f>
        <v>0</v>
      </c>
      <c r="BN92" s="136">
        <f>IF(BN6='Assumptions &amp; Inputs'!$D$24+13,$D92,0)</f>
        <v>0</v>
      </c>
      <c r="BO92" s="136">
        <f>IF(BO6='Assumptions &amp; Inputs'!$D$24+13,$D92,0)</f>
        <v>0</v>
      </c>
      <c r="BP92" s="136">
        <f>IF(BP6='Assumptions &amp; Inputs'!$D$24+13,$D92,0)</f>
        <v>0</v>
      </c>
      <c r="BQ92" s="136">
        <f>IF(BQ6='Assumptions &amp; Inputs'!$D$24+13,$D92,0)</f>
        <v>0</v>
      </c>
      <c r="BR92" s="136">
        <f>IF(BR6='Assumptions &amp; Inputs'!$D$24+13,$D92,0)</f>
        <v>0</v>
      </c>
      <c r="BS92" s="136">
        <f>IF(BS6='Assumptions &amp; Inputs'!$D$24+13,$D92,0)</f>
        <v>0</v>
      </c>
      <c r="BT92" s="136">
        <f>IF(BT6='Assumptions &amp; Inputs'!$D$24+13,$D92,0)</f>
        <v>0</v>
      </c>
      <c r="BU92" s="136">
        <f>IF(BU6='Assumptions &amp; Inputs'!$D$24+13,$D92,0)</f>
        <v>0</v>
      </c>
      <c r="BV92" s="136">
        <f>IF(BV6='Assumptions &amp; Inputs'!$D$24+13,$D92,0)</f>
        <v>0</v>
      </c>
      <c r="BW92" s="136">
        <f>IF(BW6='Assumptions &amp; Inputs'!$D$24+13,$D92,0)</f>
        <v>0</v>
      </c>
      <c r="BX92" s="136">
        <f>IF(BX6='Assumptions &amp; Inputs'!$D$24+13,$D92,0)</f>
        <v>0</v>
      </c>
      <c r="BY92" s="136">
        <f>IF(BY6='Assumptions &amp; Inputs'!$D$24+13,$D92,0)</f>
        <v>0</v>
      </c>
      <c r="BZ92" s="136">
        <f>IF(BZ6='Assumptions &amp; Inputs'!$D$24+13,$D92,0)</f>
        <v>0</v>
      </c>
      <c r="CA92" s="136">
        <f>IF(CA6='Assumptions &amp; Inputs'!$D$24+13,$D92,0)</f>
        <v>0</v>
      </c>
    </row>
    <row r="93" spans="1:316" s="15" customFormat="1" ht="12" customHeight="1">
      <c r="B93" s="1196" t="s">
        <v>1009</v>
      </c>
      <c r="C93" s="451"/>
      <c r="D93" s="266"/>
      <c r="E93" s="270">
        <f ca="1">SUM(G93:CA93)</f>
        <v>369624.5</v>
      </c>
      <c r="G93" s="270">
        <f>SUM(G91:G92)</f>
        <v>0</v>
      </c>
      <c r="H93" s="270">
        <f t="shared" ref="H93:BS93" si="147">SUM(H91:H92)</f>
        <v>0</v>
      </c>
      <c r="I93" s="270">
        <f t="shared" si="147"/>
        <v>0</v>
      </c>
      <c r="J93" s="270">
        <f t="shared" si="147"/>
        <v>0</v>
      </c>
      <c r="K93" s="270">
        <f t="shared" si="147"/>
        <v>0</v>
      </c>
      <c r="L93" s="270">
        <f t="shared" si="147"/>
        <v>0</v>
      </c>
      <c r="M93" s="270">
        <f t="shared" si="147"/>
        <v>0</v>
      </c>
      <c r="N93" s="270">
        <f t="shared" si="147"/>
        <v>0</v>
      </c>
      <c r="O93" s="270">
        <f t="shared" si="147"/>
        <v>0</v>
      </c>
      <c r="P93" s="270">
        <f t="shared" si="147"/>
        <v>0</v>
      </c>
      <c r="Q93" s="270">
        <f t="shared" si="147"/>
        <v>0</v>
      </c>
      <c r="R93" s="270">
        <f t="shared" si="147"/>
        <v>0</v>
      </c>
      <c r="S93" s="270">
        <f t="shared" si="147"/>
        <v>0</v>
      </c>
      <c r="T93" s="270">
        <f t="shared" si="147"/>
        <v>0</v>
      </c>
      <c r="U93" s="270">
        <f t="shared" ca="1" si="147"/>
        <v>211214</v>
      </c>
      <c r="V93" s="270">
        <f t="shared" si="147"/>
        <v>0</v>
      </c>
      <c r="W93" s="270">
        <f t="shared" si="147"/>
        <v>0</v>
      </c>
      <c r="X93" s="270">
        <f t="shared" si="147"/>
        <v>0</v>
      </c>
      <c r="Y93" s="270">
        <f t="shared" si="147"/>
        <v>0</v>
      </c>
      <c r="Z93" s="270">
        <f t="shared" si="147"/>
        <v>0</v>
      </c>
      <c r="AA93" s="270">
        <f t="shared" si="147"/>
        <v>0</v>
      </c>
      <c r="AB93" s="270">
        <f t="shared" si="147"/>
        <v>0</v>
      </c>
      <c r="AC93" s="270">
        <f t="shared" si="147"/>
        <v>0</v>
      </c>
      <c r="AD93" s="270">
        <f t="shared" si="147"/>
        <v>0</v>
      </c>
      <c r="AE93" s="270">
        <f t="shared" si="147"/>
        <v>0</v>
      </c>
      <c r="AF93" s="270">
        <f t="shared" si="147"/>
        <v>0</v>
      </c>
      <c r="AG93" s="270">
        <f t="shared" ca="1" si="147"/>
        <v>158410.5</v>
      </c>
      <c r="AH93" s="270">
        <f t="shared" si="147"/>
        <v>0</v>
      </c>
      <c r="AI93" s="270">
        <f t="shared" si="147"/>
        <v>0</v>
      </c>
      <c r="AJ93" s="270">
        <f t="shared" si="147"/>
        <v>0</v>
      </c>
      <c r="AK93" s="270">
        <f t="shared" si="147"/>
        <v>0</v>
      </c>
      <c r="AL93" s="270">
        <f t="shared" si="147"/>
        <v>0</v>
      </c>
      <c r="AM93" s="270">
        <f t="shared" si="147"/>
        <v>0</v>
      </c>
      <c r="AN93" s="270">
        <f t="shared" si="147"/>
        <v>0</v>
      </c>
      <c r="AO93" s="270">
        <f t="shared" si="147"/>
        <v>0</v>
      </c>
      <c r="AP93" s="270">
        <f t="shared" si="147"/>
        <v>0</v>
      </c>
      <c r="AQ93" s="270">
        <f t="shared" si="147"/>
        <v>0</v>
      </c>
      <c r="AR93" s="270">
        <f t="shared" si="147"/>
        <v>0</v>
      </c>
      <c r="AS93" s="270">
        <f t="shared" si="147"/>
        <v>0</v>
      </c>
      <c r="AT93" s="270">
        <f t="shared" si="147"/>
        <v>0</v>
      </c>
      <c r="AU93" s="270">
        <f t="shared" si="147"/>
        <v>0</v>
      </c>
      <c r="AV93" s="270">
        <f t="shared" si="147"/>
        <v>0</v>
      </c>
      <c r="AW93" s="270">
        <f t="shared" si="147"/>
        <v>0</v>
      </c>
      <c r="AX93" s="270">
        <f t="shared" si="147"/>
        <v>0</v>
      </c>
      <c r="AY93" s="270">
        <f t="shared" si="147"/>
        <v>0</v>
      </c>
      <c r="AZ93" s="270">
        <f t="shared" si="147"/>
        <v>0</v>
      </c>
      <c r="BA93" s="270">
        <f t="shared" si="147"/>
        <v>0</v>
      </c>
      <c r="BB93" s="270">
        <f t="shared" si="147"/>
        <v>0</v>
      </c>
      <c r="BC93" s="270">
        <f t="shared" si="147"/>
        <v>0</v>
      </c>
      <c r="BD93" s="270">
        <f t="shared" si="147"/>
        <v>0</v>
      </c>
      <c r="BE93" s="270">
        <f t="shared" si="147"/>
        <v>0</v>
      </c>
      <c r="BF93" s="270">
        <f t="shared" si="147"/>
        <v>0</v>
      </c>
      <c r="BG93" s="270">
        <f t="shared" si="147"/>
        <v>0</v>
      </c>
      <c r="BH93" s="270">
        <f t="shared" si="147"/>
        <v>0</v>
      </c>
      <c r="BI93" s="270">
        <f t="shared" si="147"/>
        <v>0</v>
      </c>
      <c r="BJ93" s="270">
        <f t="shared" si="147"/>
        <v>0</v>
      </c>
      <c r="BK93" s="270">
        <f t="shared" si="147"/>
        <v>0</v>
      </c>
      <c r="BL93" s="270">
        <f t="shared" si="147"/>
        <v>0</v>
      </c>
      <c r="BM93" s="270">
        <f t="shared" si="147"/>
        <v>0</v>
      </c>
      <c r="BN93" s="270">
        <f t="shared" si="147"/>
        <v>0</v>
      </c>
      <c r="BO93" s="270">
        <f t="shared" si="147"/>
        <v>0</v>
      </c>
      <c r="BP93" s="270">
        <f t="shared" si="147"/>
        <v>0</v>
      </c>
      <c r="BQ93" s="270">
        <f t="shared" si="147"/>
        <v>0</v>
      </c>
      <c r="BR93" s="270">
        <f t="shared" si="147"/>
        <v>0</v>
      </c>
      <c r="BS93" s="270">
        <f t="shared" si="147"/>
        <v>0</v>
      </c>
      <c r="BT93" s="270">
        <f t="shared" ref="BT93:CA93" si="148">SUM(BT91:BT92)</f>
        <v>0</v>
      </c>
      <c r="BU93" s="270">
        <f t="shared" si="148"/>
        <v>0</v>
      </c>
      <c r="BV93" s="270">
        <f t="shared" si="148"/>
        <v>0</v>
      </c>
      <c r="BW93" s="270">
        <f t="shared" si="148"/>
        <v>0</v>
      </c>
      <c r="BX93" s="270">
        <f t="shared" si="148"/>
        <v>0</v>
      </c>
      <c r="BY93" s="270">
        <f t="shared" si="148"/>
        <v>0</v>
      </c>
      <c r="BZ93" s="270">
        <f t="shared" si="148"/>
        <v>0</v>
      </c>
      <c r="CA93" s="270">
        <f t="shared" si="148"/>
        <v>0</v>
      </c>
    </row>
    <row r="94" spans="1:316" ht="12" customHeight="1">
      <c r="B94" s="15"/>
      <c r="E94" s="545"/>
      <c r="G94" s="545"/>
      <c r="H94" s="545"/>
      <c r="I94" s="545"/>
      <c r="J94" s="545"/>
      <c r="K94" s="545"/>
      <c r="L94" s="545"/>
      <c r="M94" s="545"/>
      <c r="N94" s="545"/>
      <c r="O94" s="545"/>
      <c r="P94" s="545"/>
      <c r="Q94" s="545"/>
      <c r="R94" s="545"/>
      <c r="S94" s="545"/>
      <c r="T94" s="545"/>
      <c r="U94" s="545"/>
      <c r="V94" s="545"/>
      <c r="W94" s="545"/>
      <c r="X94" s="545"/>
      <c r="Y94" s="545"/>
      <c r="Z94" s="545"/>
      <c r="AA94" s="545"/>
      <c r="AB94" s="545"/>
      <c r="AC94" s="545"/>
      <c r="AD94" s="545"/>
      <c r="AE94" s="545"/>
      <c r="AF94" s="545"/>
      <c r="AG94" s="545"/>
      <c r="AH94" s="545"/>
      <c r="AI94" s="545"/>
      <c r="AJ94" s="545"/>
      <c r="AK94" s="545"/>
      <c r="AL94" s="545"/>
      <c r="AM94" s="545"/>
      <c r="AN94" s="545"/>
      <c r="AO94" s="545"/>
      <c r="AP94" s="545"/>
      <c r="AQ94" s="545"/>
      <c r="AR94" s="545"/>
      <c r="AS94" s="545"/>
      <c r="AT94" s="545"/>
      <c r="AU94" s="545"/>
      <c r="AV94" s="545"/>
      <c r="AW94" s="545"/>
      <c r="AX94" s="545"/>
      <c r="AY94" s="545"/>
      <c r="AZ94" s="545"/>
      <c r="BA94" s="545"/>
      <c r="BB94" s="545"/>
      <c r="BC94" s="545"/>
      <c r="BD94" s="545"/>
      <c r="BE94" s="545"/>
      <c r="BF94" s="545"/>
      <c r="BG94" s="545"/>
      <c r="BH94" s="545"/>
      <c r="BI94" s="545"/>
      <c r="BJ94" s="545"/>
      <c r="BK94" s="545"/>
      <c r="BL94" s="545"/>
      <c r="BM94" s="545"/>
      <c r="BN94" s="545"/>
      <c r="BO94" s="545"/>
      <c r="BP94" s="545"/>
      <c r="BQ94" s="545"/>
      <c r="BR94" s="545"/>
      <c r="BS94" s="545"/>
      <c r="BT94" s="545"/>
      <c r="BU94" s="545"/>
      <c r="BV94" s="545"/>
      <c r="BW94" s="545"/>
      <c r="BX94" s="545"/>
      <c r="BY94" s="545"/>
      <c r="BZ94" s="545"/>
      <c r="CA94" s="545"/>
    </row>
    <row r="95" spans="1:316">
      <c r="B95" s="15" t="s">
        <v>973</v>
      </c>
      <c r="G95" s="136"/>
      <c r="H95" s="546"/>
      <c r="I95" s="546"/>
      <c r="J95" s="546"/>
      <c r="K95" s="546"/>
      <c r="L95" s="546"/>
      <c r="M95" s="546"/>
      <c r="N95" s="546"/>
      <c r="O95" s="546"/>
      <c r="P95" s="546"/>
      <c r="Q95" s="546"/>
      <c r="R95" s="546"/>
      <c r="S95" s="546"/>
      <c r="T95" s="546"/>
      <c r="U95" s="546"/>
      <c r="V95" s="546"/>
      <c r="W95" s="546"/>
      <c r="X95" s="546"/>
      <c r="Y95" s="546"/>
      <c r="Z95" s="546"/>
      <c r="AA95" s="546"/>
      <c r="AB95" s="546"/>
      <c r="AC95" s="54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36"/>
      <c r="BA95" s="136"/>
      <c r="BB95" s="136"/>
      <c r="BC95" s="136"/>
      <c r="BD95" s="136"/>
      <c r="BE95" s="136"/>
      <c r="BF95" s="136"/>
      <c r="BG95" s="136"/>
      <c r="BH95" s="136"/>
      <c r="BI95" s="136"/>
      <c r="BJ95" s="136"/>
      <c r="BK95" s="136"/>
      <c r="BL95" s="136"/>
      <c r="BM95" s="136"/>
      <c r="BN95" s="136"/>
      <c r="BO95" s="136"/>
      <c r="BP95" s="136"/>
      <c r="BQ95" s="136"/>
      <c r="BR95" s="136"/>
      <c r="BS95" s="136"/>
      <c r="BT95" s="136"/>
      <c r="BU95" s="136"/>
      <c r="BV95" s="136"/>
      <c r="BW95" s="136"/>
      <c r="BX95" s="136"/>
      <c r="BY95" s="136"/>
      <c r="BZ95" s="136"/>
      <c r="CA95" s="136"/>
    </row>
    <row r="96" spans="1:316">
      <c r="B96" s="16" t="s">
        <v>114</v>
      </c>
      <c r="C96" s="14">
        <f>'Assumptions &amp; Inputs'!T7</f>
        <v>48</v>
      </c>
      <c r="D96" s="358"/>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36"/>
      <c r="BA96" s="136"/>
      <c r="BB96" s="136"/>
      <c r="BC96" s="136"/>
      <c r="BD96" s="136"/>
      <c r="BE96" s="136"/>
      <c r="BF96" s="136"/>
      <c r="BG96" s="136"/>
      <c r="BH96" s="136"/>
      <c r="BI96" s="136"/>
      <c r="BJ96" s="136"/>
      <c r="BK96" s="136"/>
      <c r="BL96" s="136"/>
      <c r="BM96" s="136"/>
      <c r="BN96" s="136"/>
      <c r="BO96" s="136"/>
      <c r="BP96" s="136"/>
      <c r="BQ96" s="136"/>
      <c r="BR96" s="136"/>
      <c r="BS96" s="136"/>
      <c r="BT96" s="136"/>
      <c r="BU96" s="136"/>
      <c r="BV96" s="136"/>
      <c r="BW96" s="136"/>
      <c r="BX96" s="136"/>
      <c r="BY96" s="136"/>
      <c r="BZ96" s="136"/>
      <c r="CA96" s="136"/>
    </row>
    <row r="97" spans="1:79">
      <c r="B97" s="16" t="s">
        <v>32</v>
      </c>
      <c r="C97" s="1114">
        <f>'Untrended Pro Forma'!B93</f>
        <v>0.06</v>
      </c>
      <c r="D97" s="359"/>
      <c r="G97" s="136">
        <f>IF($C$96=G6,SUM(H86:S86,H22:V22,H30:V30)/$C$97,0)</f>
        <v>0</v>
      </c>
      <c r="H97" s="136">
        <f>IF($C$96=H6,SUM(I86:T86,I22:W22,I30:W30)/$C$97,0)</f>
        <v>0</v>
      </c>
      <c r="I97" s="136">
        <f>IF($C$96=I6,SUM(J86:U86,J22:X22,J30:X30)/$C$97,0)</f>
        <v>0</v>
      </c>
      <c r="J97" s="136">
        <f>IF($C$96=J6,SUM(K86:V86,K22:Y22,K30:Y30)/$C$97,0)</f>
        <v>0</v>
      </c>
      <c r="K97" s="136">
        <f>IF($C$96=K6,SUM(L86:W86,L22:Z22,L30:Z30)/$C$97,0)</f>
        <v>0</v>
      </c>
      <c r="L97" s="136">
        <f t="shared" ref="L97:AQ97" si="149">IF($C$96=L6,SUM(M86:X86,P22:AA22,P30:AA30)/$C$97,0)</f>
        <v>0</v>
      </c>
      <c r="M97" s="136">
        <f t="shared" si="149"/>
        <v>0</v>
      </c>
      <c r="N97" s="136">
        <f t="shared" si="149"/>
        <v>0</v>
      </c>
      <c r="O97" s="136">
        <f t="shared" si="149"/>
        <v>0</v>
      </c>
      <c r="P97" s="136">
        <f t="shared" si="149"/>
        <v>0</v>
      </c>
      <c r="Q97" s="136">
        <f t="shared" si="149"/>
        <v>0</v>
      </c>
      <c r="R97" s="136">
        <f t="shared" si="149"/>
        <v>0</v>
      </c>
      <c r="S97" s="136">
        <f t="shared" si="149"/>
        <v>0</v>
      </c>
      <c r="T97" s="136">
        <f t="shared" si="149"/>
        <v>0</v>
      </c>
      <c r="U97" s="136">
        <f t="shared" si="149"/>
        <v>0</v>
      </c>
      <c r="V97" s="136">
        <f t="shared" si="149"/>
        <v>0</v>
      </c>
      <c r="W97" s="136">
        <f t="shared" si="149"/>
        <v>0</v>
      </c>
      <c r="X97" s="136">
        <f t="shared" si="149"/>
        <v>0</v>
      </c>
      <c r="Y97" s="136">
        <f t="shared" si="149"/>
        <v>0</v>
      </c>
      <c r="Z97" s="136">
        <f t="shared" si="149"/>
        <v>0</v>
      </c>
      <c r="AA97" s="136">
        <f t="shared" si="149"/>
        <v>0</v>
      </c>
      <c r="AB97" s="136">
        <f t="shared" si="149"/>
        <v>0</v>
      </c>
      <c r="AC97" s="136">
        <f t="shared" si="149"/>
        <v>0</v>
      </c>
      <c r="AD97" s="136">
        <f t="shared" si="149"/>
        <v>0</v>
      </c>
      <c r="AE97" s="136">
        <f t="shared" si="149"/>
        <v>0</v>
      </c>
      <c r="AF97" s="136">
        <f t="shared" si="149"/>
        <v>0</v>
      </c>
      <c r="AG97" s="136">
        <f t="shared" si="149"/>
        <v>0</v>
      </c>
      <c r="AH97" s="136">
        <f t="shared" si="149"/>
        <v>0</v>
      </c>
      <c r="AI97" s="136">
        <f t="shared" si="149"/>
        <v>0</v>
      </c>
      <c r="AJ97" s="136">
        <f t="shared" si="149"/>
        <v>0</v>
      </c>
      <c r="AK97" s="136">
        <f t="shared" si="149"/>
        <v>0</v>
      </c>
      <c r="AL97" s="136">
        <f t="shared" si="149"/>
        <v>0</v>
      </c>
      <c r="AM97" s="136">
        <f t="shared" si="149"/>
        <v>0</v>
      </c>
      <c r="AN97" s="136">
        <f t="shared" si="149"/>
        <v>0</v>
      </c>
      <c r="AO97" s="136">
        <f t="shared" si="149"/>
        <v>0</v>
      </c>
      <c r="AP97" s="136">
        <f t="shared" si="149"/>
        <v>0</v>
      </c>
      <c r="AQ97" s="136">
        <f t="shared" si="149"/>
        <v>0</v>
      </c>
      <c r="AR97" s="136">
        <f t="shared" ref="AR97:BO97" si="150">IF($C$96=AR6,SUM(AS86:BD86,AV22:BG22,AV30:BG30)/$C$97,0)</f>
        <v>0</v>
      </c>
      <c r="AS97" s="136">
        <f t="shared" si="150"/>
        <v>0</v>
      </c>
      <c r="AT97" s="136">
        <f t="shared" si="150"/>
        <v>0</v>
      </c>
      <c r="AU97" s="136">
        <f t="shared" si="150"/>
        <v>0</v>
      </c>
      <c r="AV97" s="136">
        <f t="shared" si="150"/>
        <v>0</v>
      </c>
      <c r="AW97" s="136">
        <f t="shared" si="150"/>
        <v>0</v>
      </c>
      <c r="AX97" s="136">
        <f t="shared" si="150"/>
        <v>0</v>
      </c>
      <c r="AY97" s="136">
        <f t="shared" si="150"/>
        <v>0</v>
      </c>
      <c r="AZ97" s="136">
        <f t="shared" si="150"/>
        <v>0</v>
      </c>
      <c r="BA97" s="136">
        <f t="shared" si="150"/>
        <v>0</v>
      </c>
      <c r="BB97" s="136">
        <f t="shared" si="150"/>
        <v>0</v>
      </c>
      <c r="BC97" s="136">
        <f t="shared" si="150"/>
        <v>39116082.946343482</v>
      </c>
      <c r="BD97" s="136">
        <f t="shared" si="150"/>
        <v>0</v>
      </c>
      <c r="BE97" s="136">
        <f t="shared" si="150"/>
        <v>0</v>
      </c>
      <c r="BF97" s="136">
        <f t="shared" si="150"/>
        <v>0</v>
      </c>
      <c r="BG97" s="136">
        <f t="shared" si="150"/>
        <v>0</v>
      </c>
      <c r="BH97" s="136">
        <f t="shared" si="150"/>
        <v>0</v>
      </c>
      <c r="BI97" s="136">
        <f t="shared" si="150"/>
        <v>0</v>
      </c>
      <c r="BJ97" s="136">
        <f t="shared" si="150"/>
        <v>0</v>
      </c>
      <c r="BK97" s="136">
        <f t="shared" si="150"/>
        <v>0</v>
      </c>
      <c r="BL97" s="136">
        <f t="shared" si="150"/>
        <v>0</v>
      </c>
      <c r="BM97" s="136">
        <f t="shared" si="150"/>
        <v>0</v>
      </c>
      <c r="BN97" s="136">
        <f t="shared" si="150"/>
        <v>0</v>
      </c>
      <c r="BO97" s="136">
        <f t="shared" si="150"/>
        <v>0</v>
      </c>
      <c r="BP97" s="136">
        <f>IF($C$96=BP6,SUM(BQ86:CB86,BT22:CD22,BT30:CD30)/$C$97,0)</f>
        <v>0</v>
      </c>
      <c r="BQ97" s="136">
        <f>IF($C$96=BQ6,SUM(BR86:CC86,BU22:CD22,BU30:CD30)/$C$97,0)</f>
        <v>0</v>
      </c>
      <c r="BR97" s="136">
        <f t="shared" ref="BR97:CA97" si="151">IF($C$96=BR6,SUM(BS86:CD86,BV22:CD22,BV30:CD30)/$C$97,0)</f>
        <v>0</v>
      </c>
      <c r="BS97" s="136">
        <f t="shared" si="151"/>
        <v>0</v>
      </c>
      <c r="BT97" s="136">
        <f t="shared" si="151"/>
        <v>0</v>
      </c>
      <c r="BU97" s="136">
        <f t="shared" si="151"/>
        <v>0</v>
      </c>
      <c r="BV97" s="136">
        <f t="shared" si="151"/>
        <v>0</v>
      </c>
      <c r="BW97" s="136">
        <f t="shared" si="151"/>
        <v>0</v>
      </c>
      <c r="BX97" s="136">
        <f t="shared" si="151"/>
        <v>0</v>
      </c>
      <c r="BY97" s="136">
        <f t="shared" si="151"/>
        <v>0</v>
      </c>
      <c r="BZ97" s="136">
        <f t="shared" si="151"/>
        <v>0</v>
      </c>
      <c r="CA97" s="136">
        <f t="shared" si="151"/>
        <v>0</v>
      </c>
    </row>
    <row r="98" spans="1:79">
      <c r="B98" s="16" t="s">
        <v>33</v>
      </c>
      <c r="C98" s="1114">
        <f>'Assumptions &amp; Inputs'!T6</f>
        <v>0.02</v>
      </c>
      <c r="D98" s="359"/>
      <c r="G98" s="136">
        <f t="shared" ref="G98:AL98" si="152">-$C$98*G97</f>
        <v>0</v>
      </c>
      <c r="H98" s="136">
        <f t="shared" si="152"/>
        <v>0</v>
      </c>
      <c r="I98" s="136">
        <f t="shared" si="152"/>
        <v>0</v>
      </c>
      <c r="J98" s="136">
        <f t="shared" si="152"/>
        <v>0</v>
      </c>
      <c r="K98" s="136">
        <f t="shared" si="152"/>
        <v>0</v>
      </c>
      <c r="L98" s="136">
        <f t="shared" si="152"/>
        <v>0</v>
      </c>
      <c r="M98" s="136">
        <f t="shared" si="152"/>
        <v>0</v>
      </c>
      <c r="N98" s="136">
        <f t="shared" si="152"/>
        <v>0</v>
      </c>
      <c r="O98" s="136">
        <f t="shared" si="152"/>
        <v>0</v>
      </c>
      <c r="P98" s="136">
        <f t="shared" si="152"/>
        <v>0</v>
      </c>
      <c r="Q98" s="136">
        <f t="shared" si="152"/>
        <v>0</v>
      </c>
      <c r="R98" s="136">
        <f t="shared" si="152"/>
        <v>0</v>
      </c>
      <c r="S98" s="136">
        <f t="shared" si="152"/>
        <v>0</v>
      </c>
      <c r="T98" s="136">
        <f t="shared" si="152"/>
        <v>0</v>
      </c>
      <c r="U98" s="136">
        <f t="shared" si="152"/>
        <v>0</v>
      </c>
      <c r="V98" s="136">
        <f t="shared" si="152"/>
        <v>0</v>
      </c>
      <c r="W98" s="136">
        <f t="shared" si="152"/>
        <v>0</v>
      </c>
      <c r="X98" s="136">
        <f t="shared" si="152"/>
        <v>0</v>
      </c>
      <c r="Y98" s="136">
        <f t="shared" si="152"/>
        <v>0</v>
      </c>
      <c r="Z98" s="136">
        <f t="shared" si="152"/>
        <v>0</v>
      </c>
      <c r="AA98" s="136">
        <f t="shared" si="152"/>
        <v>0</v>
      </c>
      <c r="AB98" s="136">
        <f t="shared" si="152"/>
        <v>0</v>
      </c>
      <c r="AC98" s="136">
        <f t="shared" si="152"/>
        <v>0</v>
      </c>
      <c r="AD98" s="136">
        <f t="shared" si="152"/>
        <v>0</v>
      </c>
      <c r="AE98" s="136">
        <f t="shared" si="152"/>
        <v>0</v>
      </c>
      <c r="AF98" s="136">
        <f t="shared" si="152"/>
        <v>0</v>
      </c>
      <c r="AG98" s="136">
        <f t="shared" si="152"/>
        <v>0</v>
      </c>
      <c r="AH98" s="136">
        <f t="shared" si="152"/>
        <v>0</v>
      </c>
      <c r="AI98" s="136">
        <f t="shared" si="152"/>
        <v>0</v>
      </c>
      <c r="AJ98" s="136">
        <f t="shared" si="152"/>
        <v>0</v>
      </c>
      <c r="AK98" s="136">
        <f t="shared" si="152"/>
        <v>0</v>
      </c>
      <c r="AL98" s="136">
        <f t="shared" si="152"/>
        <v>0</v>
      </c>
      <c r="AM98" s="136">
        <f t="shared" ref="AM98:BR98" si="153">-$C$98*AM97</f>
        <v>0</v>
      </c>
      <c r="AN98" s="136">
        <f t="shared" si="153"/>
        <v>0</v>
      </c>
      <c r="AO98" s="136">
        <f t="shared" si="153"/>
        <v>0</v>
      </c>
      <c r="AP98" s="136">
        <f t="shared" si="153"/>
        <v>0</v>
      </c>
      <c r="AQ98" s="136">
        <f t="shared" si="153"/>
        <v>0</v>
      </c>
      <c r="AR98" s="136">
        <f t="shared" si="153"/>
        <v>0</v>
      </c>
      <c r="AS98" s="136">
        <f t="shared" si="153"/>
        <v>0</v>
      </c>
      <c r="AT98" s="136">
        <f t="shared" si="153"/>
        <v>0</v>
      </c>
      <c r="AU98" s="136">
        <f t="shared" si="153"/>
        <v>0</v>
      </c>
      <c r="AV98" s="136">
        <f t="shared" si="153"/>
        <v>0</v>
      </c>
      <c r="AW98" s="136">
        <f t="shared" si="153"/>
        <v>0</v>
      </c>
      <c r="AX98" s="136">
        <f t="shared" si="153"/>
        <v>0</v>
      </c>
      <c r="AY98" s="136">
        <f t="shared" si="153"/>
        <v>0</v>
      </c>
      <c r="AZ98" s="136">
        <f t="shared" si="153"/>
        <v>0</v>
      </c>
      <c r="BA98" s="136">
        <f t="shared" si="153"/>
        <v>0</v>
      </c>
      <c r="BB98" s="136">
        <f t="shared" si="153"/>
        <v>0</v>
      </c>
      <c r="BC98" s="136">
        <f t="shared" si="153"/>
        <v>-782321.65892686963</v>
      </c>
      <c r="BD98" s="136">
        <f t="shared" si="153"/>
        <v>0</v>
      </c>
      <c r="BE98" s="136">
        <f t="shared" si="153"/>
        <v>0</v>
      </c>
      <c r="BF98" s="136">
        <f t="shared" si="153"/>
        <v>0</v>
      </c>
      <c r="BG98" s="136">
        <f t="shared" si="153"/>
        <v>0</v>
      </c>
      <c r="BH98" s="136">
        <f t="shared" si="153"/>
        <v>0</v>
      </c>
      <c r="BI98" s="136">
        <f t="shared" si="153"/>
        <v>0</v>
      </c>
      <c r="BJ98" s="136">
        <f t="shared" si="153"/>
        <v>0</v>
      </c>
      <c r="BK98" s="136">
        <f t="shared" si="153"/>
        <v>0</v>
      </c>
      <c r="BL98" s="136">
        <f t="shared" si="153"/>
        <v>0</v>
      </c>
      <c r="BM98" s="136">
        <f t="shared" si="153"/>
        <v>0</v>
      </c>
      <c r="BN98" s="136">
        <f t="shared" si="153"/>
        <v>0</v>
      </c>
      <c r="BO98" s="136">
        <f t="shared" si="153"/>
        <v>0</v>
      </c>
      <c r="BP98" s="136">
        <f t="shared" si="153"/>
        <v>0</v>
      </c>
      <c r="BQ98" s="136">
        <f t="shared" si="153"/>
        <v>0</v>
      </c>
      <c r="BR98" s="136">
        <f t="shared" si="153"/>
        <v>0</v>
      </c>
      <c r="BS98" s="136">
        <f t="shared" ref="BS98:CA98" si="154">-$C$98*BS97</f>
        <v>0</v>
      </c>
      <c r="BT98" s="136">
        <f t="shared" si="154"/>
        <v>0</v>
      </c>
      <c r="BU98" s="136">
        <f t="shared" si="154"/>
        <v>0</v>
      </c>
      <c r="BV98" s="136">
        <f t="shared" si="154"/>
        <v>0</v>
      </c>
      <c r="BW98" s="136">
        <f t="shared" si="154"/>
        <v>0</v>
      </c>
      <c r="BX98" s="136">
        <f t="shared" si="154"/>
        <v>0</v>
      </c>
      <c r="BY98" s="136">
        <f t="shared" si="154"/>
        <v>0</v>
      </c>
      <c r="BZ98" s="136">
        <f t="shared" si="154"/>
        <v>0</v>
      </c>
      <c r="CA98" s="136">
        <f t="shared" si="154"/>
        <v>0</v>
      </c>
    </row>
    <row r="99" spans="1:79">
      <c r="B99" s="17" t="s">
        <v>387</v>
      </c>
      <c r="C99" s="378"/>
      <c r="D99" s="378"/>
      <c r="E99" s="136">
        <f>SUM(G99:CA99)</f>
        <v>0</v>
      </c>
      <c r="G99" s="136">
        <f>IF(G6='Assumptions &amp; Inputs'!$T$7,IF('Assumptions &amp; Inputs'!$J$19=TRUE,-'Sources &amp; Uses'!$D$56,0),0)</f>
        <v>0</v>
      </c>
      <c r="H99" s="136">
        <f>IF(H6='Assumptions &amp; Inputs'!$T$7,IF('Assumptions &amp; Inputs'!$J$19=TRUE,-'Sources &amp; Uses'!$D$56,0),0)</f>
        <v>0</v>
      </c>
      <c r="I99" s="136">
        <f>IF(I6='Assumptions &amp; Inputs'!$T$7,IF('Assumptions &amp; Inputs'!$J$19=TRUE,-'Sources &amp; Uses'!$D$56,0),0)</f>
        <v>0</v>
      </c>
      <c r="J99" s="136">
        <f>IF(J6='Assumptions &amp; Inputs'!$T$7,IF('Assumptions &amp; Inputs'!$J$19=TRUE,-'Sources &amp; Uses'!$D$56,0),0)</f>
        <v>0</v>
      </c>
      <c r="K99" s="136">
        <f>IF(K6='Assumptions &amp; Inputs'!$T$7,IF('Assumptions &amp; Inputs'!$J$19=TRUE,-'Sources &amp; Uses'!$D$56,0),0)</f>
        <v>0</v>
      </c>
      <c r="L99" s="136">
        <f>IF(L6='Assumptions &amp; Inputs'!$T$7,IF('Assumptions &amp; Inputs'!$J$19=TRUE,-'Sources &amp; Uses'!$D$56,0),0)</f>
        <v>0</v>
      </c>
      <c r="M99" s="136">
        <f>IF(M6='Assumptions &amp; Inputs'!$T$7,IF('Assumptions &amp; Inputs'!$J$19=TRUE,-'Sources &amp; Uses'!$D$56,0),0)</f>
        <v>0</v>
      </c>
      <c r="N99" s="136">
        <f>IF(N6='Assumptions &amp; Inputs'!$T$7,IF('Assumptions &amp; Inputs'!$J$19=TRUE,-'Sources &amp; Uses'!$D$56,0),0)</f>
        <v>0</v>
      </c>
      <c r="O99" s="136">
        <f>IF(O6='Assumptions &amp; Inputs'!$T$7,IF('Assumptions &amp; Inputs'!$J$19=TRUE,-'Sources &amp; Uses'!$D$56,0),0)</f>
        <v>0</v>
      </c>
      <c r="P99" s="136">
        <f>IF(P6='Assumptions &amp; Inputs'!$T$7,IF('Assumptions &amp; Inputs'!$J$19=TRUE,-'Sources &amp; Uses'!$D$56,0),0)</f>
        <v>0</v>
      </c>
      <c r="Q99" s="136">
        <f>IF(Q6='Assumptions &amp; Inputs'!$T$7,IF('Assumptions &amp; Inputs'!$J$19=TRUE,-'Sources &amp; Uses'!$D$56,0),0)</f>
        <v>0</v>
      </c>
      <c r="R99" s="136">
        <f>IF(R6='Assumptions &amp; Inputs'!$T$7,IF('Assumptions &amp; Inputs'!$J$19=TRUE,-'Sources &amp; Uses'!$D$56,0),0)</f>
        <v>0</v>
      </c>
      <c r="S99" s="136">
        <f>IF(S6='Assumptions &amp; Inputs'!$T$7,IF('Assumptions &amp; Inputs'!$J$19=TRUE,-'Sources &amp; Uses'!$D$56,0),0)</f>
        <v>0</v>
      </c>
      <c r="T99" s="136">
        <f>IF(T6='Assumptions &amp; Inputs'!$T$7,IF('Assumptions &amp; Inputs'!$J$19=TRUE,-'Sources &amp; Uses'!$D$56,0),0)</f>
        <v>0</v>
      </c>
      <c r="U99" s="136">
        <f>IF(U6='Assumptions &amp; Inputs'!$T$7,IF('Assumptions &amp; Inputs'!$J$19=TRUE,-'Sources &amp; Uses'!$D$56,0),0)</f>
        <v>0</v>
      </c>
      <c r="V99" s="136">
        <f>IF(V6='Assumptions &amp; Inputs'!$T$7,IF('Assumptions &amp; Inputs'!$J$19=TRUE,-'Sources &amp; Uses'!$D$56,0),0)</f>
        <v>0</v>
      </c>
      <c r="W99" s="136">
        <f>IF(W6='Assumptions &amp; Inputs'!$T$7,IF('Assumptions &amp; Inputs'!$J$19=TRUE,-'Sources &amp; Uses'!$D$56,0),0)</f>
        <v>0</v>
      </c>
      <c r="X99" s="136">
        <f>IF(X6='Assumptions &amp; Inputs'!$T$7,IF('Assumptions &amp; Inputs'!$J$19=TRUE,-'Sources &amp; Uses'!$D$56,0),0)</f>
        <v>0</v>
      </c>
      <c r="Y99" s="136">
        <f>IF(Y6='Assumptions &amp; Inputs'!$T$7,IF('Assumptions &amp; Inputs'!$J$19=TRUE,-'Sources &amp; Uses'!$D$56,0),0)</f>
        <v>0</v>
      </c>
      <c r="Z99" s="136">
        <f>IF(Z6='Assumptions &amp; Inputs'!$T$7,IF('Assumptions &amp; Inputs'!$J$19=TRUE,-'Sources &amp; Uses'!$D$56,0),0)</f>
        <v>0</v>
      </c>
      <c r="AA99" s="136">
        <f>IF(AA6='Assumptions &amp; Inputs'!$T$7,IF('Assumptions &amp; Inputs'!$J$19=TRUE,-'Sources &amp; Uses'!$D$56,0),0)</f>
        <v>0</v>
      </c>
      <c r="AB99" s="136">
        <f>IF(AB6='Assumptions &amp; Inputs'!$T$7,IF('Assumptions &amp; Inputs'!$J$19=TRUE,-'Sources &amp; Uses'!$D$56,0),0)</f>
        <v>0</v>
      </c>
      <c r="AC99" s="136">
        <f>IF(AC6='Assumptions &amp; Inputs'!$T$7,IF('Assumptions &amp; Inputs'!$J$19=TRUE,-'Sources &amp; Uses'!$D$56,0),0)</f>
        <v>0</v>
      </c>
      <c r="AD99" s="136">
        <f>IF(AD6='Assumptions &amp; Inputs'!$T$7,IF('Assumptions &amp; Inputs'!$J$19=TRUE,-'Sources &amp; Uses'!$D$56,0),0)</f>
        <v>0</v>
      </c>
      <c r="AE99" s="136">
        <f>IF(AE6='Assumptions &amp; Inputs'!$T$7,IF('Assumptions &amp; Inputs'!$J$19=TRUE,-'Sources &amp; Uses'!$D$56,0),0)</f>
        <v>0</v>
      </c>
      <c r="AF99" s="136">
        <f>IF(AF6='Assumptions &amp; Inputs'!$T$7,IF('Assumptions &amp; Inputs'!$J$19=TRUE,-'Sources &amp; Uses'!$D$56,0),0)</f>
        <v>0</v>
      </c>
      <c r="AG99" s="136">
        <f>IF(AG6='Assumptions &amp; Inputs'!$T$7,IF('Assumptions &amp; Inputs'!$J$19=TRUE,-'Sources &amp; Uses'!$D$56,0),0)</f>
        <v>0</v>
      </c>
      <c r="AH99" s="136">
        <f>IF(AH6='Assumptions &amp; Inputs'!$T$7,IF('Assumptions &amp; Inputs'!$J$19=TRUE,-'Sources &amp; Uses'!$D$56,0),0)</f>
        <v>0</v>
      </c>
      <c r="AI99" s="136">
        <f>IF(AI6='Assumptions &amp; Inputs'!$T$7,IF('Assumptions &amp; Inputs'!$J$19=TRUE,-'Sources &amp; Uses'!$D$56,0),0)</f>
        <v>0</v>
      </c>
      <c r="AJ99" s="136">
        <f>IF(AJ6='Assumptions &amp; Inputs'!$T$7,IF('Assumptions &amp; Inputs'!$J$19=TRUE,-'Sources &amp; Uses'!$D$56,0),0)</f>
        <v>0</v>
      </c>
      <c r="AK99" s="136">
        <f>IF(AK6='Assumptions &amp; Inputs'!$T$7,IF('Assumptions &amp; Inputs'!$J$19=TRUE,-'Sources &amp; Uses'!$D$56,0),0)</f>
        <v>0</v>
      </c>
      <c r="AL99" s="136">
        <f>IF(AL6='Assumptions &amp; Inputs'!$T$7,IF('Assumptions &amp; Inputs'!$J$19=TRUE,-'Sources &amp; Uses'!$D$56,0),0)</f>
        <v>0</v>
      </c>
      <c r="AM99" s="136">
        <f>IF(AM6='Assumptions &amp; Inputs'!$T$7,IF('Assumptions &amp; Inputs'!$J$19=TRUE,-'Sources &amp; Uses'!$D$56,0),0)</f>
        <v>0</v>
      </c>
      <c r="AN99" s="136">
        <f>IF(AN6='Assumptions &amp; Inputs'!$T$7,IF('Assumptions &amp; Inputs'!$J$19=TRUE,-'Sources &amp; Uses'!$D$56,0),0)</f>
        <v>0</v>
      </c>
      <c r="AO99" s="136">
        <f>IF(AO6='Assumptions &amp; Inputs'!$T$7,IF('Assumptions &amp; Inputs'!$J$19=TRUE,-'Sources &amp; Uses'!$D$56,0),0)</f>
        <v>0</v>
      </c>
      <c r="AP99" s="136">
        <f>IF(AP6='Assumptions &amp; Inputs'!$T$7,IF('Assumptions &amp; Inputs'!$J$19=TRUE,-'Sources &amp; Uses'!$D$56,0),0)</f>
        <v>0</v>
      </c>
      <c r="AQ99" s="136">
        <f>IF(AQ6='Assumptions &amp; Inputs'!$T$7,IF('Assumptions &amp; Inputs'!$J$19=TRUE,-'Sources &amp; Uses'!$D$56,0),0)</f>
        <v>0</v>
      </c>
      <c r="AR99" s="136">
        <f>IF(AR6='Assumptions &amp; Inputs'!$T$7,IF('Assumptions &amp; Inputs'!$J$19=TRUE,-'Sources &amp; Uses'!$D$56,0),0)</f>
        <v>0</v>
      </c>
      <c r="AS99" s="136">
        <f>IF(AS6='Assumptions &amp; Inputs'!$T$7,IF('Assumptions &amp; Inputs'!$J$19=TRUE,-'Sources &amp; Uses'!$D$56,0),0)</f>
        <v>0</v>
      </c>
      <c r="AT99" s="136">
        <f>IF(AT6='Assumptions &amp; Inputs'!$T$7,IF('Assumptions &amp; Inputs'!$J$19=TRUE,-'Sources &amp; Uses'!$D$56,0),0)</f>
        <v>0</v>
      </c>
      <c r="AU99" s="136">
        <f>IF(AU6='Assumptions &amp; Inputs'!$T$7,IF('Assumptions &amp; Inputs'!$J$19=TRUE,-'Sources &amp; Uses'!$D$56,0),0)</f>
        <v>0</v>
      </c>
      <c r="AV99" s="136">
        <f>IF(AV6='Assumptions &amp; Inputs'!$T$7,IF('Assumptions &amp; Inputs'!$J$19=TRUE,-'Sources &amp; Uses'!$D$56,0),0)</f>
        <v>0</v>
      </c>
      <c r="AW99" s="136">
        <f>IF(AW6='Assumptions &amp; Inputs'!$T$7,IF('Assumptions &amp; Inputs'!$J$19=TRUE,-'Sources &amp; Uses'!$D$56,0),0)</f>
        <v>0</v>
      </c>
      <c r="AX99" s="136">
        <f>IF(AX6='Assumptions &amp; Inputs'!$T$7,IF('Assumptions &amp; Inputs'!$J$19=TRUE,-'Sources &amp; Uses'!$D$56,0),0)</f>
        <v>0</v>
      </c>
      <c r="AY99" s="136">
        <f>IF(AY6='Assumptions &amp; Inputs'!$T$7,IF('Assumptions &amp; Inputs'!$J$19=TRUE,-'Sources &amp; Uses'!$D$56,0),0)</f>
        <v>0</v>
      </c>
      <c r="AZ99" s="136">
        <f>IF(AZ6='Assumptions &amp; Inputs'!$T$7,IF('Assumptions &amp; Inputs'!$J$19=TRUE,-'Sources &amp; Uses'!$D$56,0),0)</f>
        <v>0</v>
      </c>
      <c r="BA99" s="136">
        <f>IF(BA6='Assumptions &amp; Inputs'!$T$7,IF('Assumptions &amp; Inputs'!$J$19=TRUE,-'Sources &amp; Uses'!$D$56,0),0)</f>
        <v>0</v>
      </c>
      <c r="BB99" s="136">
        <f>IF(BB6='Assumptions &amp; Inputs'!$T$7,IF('Assumptions &amp; Inputs'!$J$19=TRUE,-'Sources &amp; Uses'!$D$56,0),0)</f>
        <v>0</v>
      </c>
      <c r="BC99" s="136">
        <f>IF(BC6='Assumptions &amp; Inputs'!$T$7,IF('Assumptions &amp; Inputs'!$J$19=TRUE,-'Sources &amp; Uses'!$D$56,0),0)</f>
        <v>0</v>
      </c>
      <c r="BD99" s="136">
        <f>IF(BD6='Assumptions &amp; Inputs'!$T$7,IF('Assumptions &amp; Inputs'!$J$19=TRUE,-'Sources &amp; Uses'!$D$56,0),0)</f>
        <v>0</v>
      </c>
      <c r="BE99" s="136">
        <f>IF(BE6='Assumptions &amp; Inputs'!$T$7,IF('Assumptions &amp; Inputs'!$J$19=TRUE,-'Sources &amp; Uses'!$D$56,0),0)</f>
        <v>0</v>
      </c>
      <c r="BF99" s="136">
        <f>IF(BF6='Assumptions &amp; Inputs'!$T$7,IF('Assumptions &amp; Inputs'!$J$19=TRUE,-'Sources &amp; Uses'!$D$56,0),0)</f>
        <v>0</v>
      </c>
      <c r="BG99" s="136">
        <f>IF(BG6='Assumptions &amp; Inputs'!$T$7,IF('Assumptions &amp; Inputs'!$J$19=TRUE,-'Sources &amp; Uses'!$D$56,0),0)</f>
        <v>0</v>
      </c>
      <c r="BH99" s="136">
        <f>IF(BH6='Assumptions &amp; Inputs'!$T$7,IF('Assumptions &amp; Inputs'!$J$19=TRUE,-'Sources &amp; Uses'!$D$56,0),0)</f>
        <v>0</v>
      </c>
      <c r="BI99" s="136">
        <f>IF(BI6='Assumptions &amp; Inputs'!$T$7,IF('Assumptions &amp; Inputs'!$J$19=TRUE,-'Sources &amp; Uses'!$D$56,0),0)</f>
        <v>0</v>
      </c>
      <c r="BJ99" s="136">
        <f>IF(BJ6='Assumptions &amp; Inputs'!$T$7,IF('Assumptions &amp; Inputs'!$J$19=TRUE,-'Sources &amp; Uses'!$D$56,0),0)</f>
        <v>0</v>
      </c>
      <c r="BK99" s="136">
        <f>IF(BK6='Assumptions &amp; Inputs'!$T$7,IF('Assumptions &amp; Inputs'!$J$19=TRUE,-'Sources &amp; Uses'!$D$56,0),0)</f>
        <v>0</v>
      </c>
      <c r="BL99" s="136">
        <f>IF(BL6='Assumptions &amp; Inputs'!$T$7,IF('Assumptions &amp; Inputs'!$J$19=TRUE,-'Sources &amp; Uses'!$D$56,0),0)</f>
        <v>0</v>
      </c>
      <c r="BM99" s="136">
        <f>IF(BM6='Assumptions &amp; Inputs'!$T$7,IF('Assumptions &amp; Inputs'!$J$19=TRUE,-'Sources &amp; Uses'!$D$56,0),0)</f>
        <v>0</v>
      </c>
      <c r="BN99" s="136">
        <f>IF(BN6='Assumptions &amp; Inputs'!$T$7,IF('Assumptions &amp; Inputs'!$J$19=TRUE,-'Sources &amp; Uses'!$D$56,0),0)</f>
        <v>0</v>
      </c>
      <c r="BO99" s="136">
        <f>IF(BO6='Assumptions &amp; Inputs'!$T$7,IF('Assumptions &amp; Inputs'!$J$19=TRUE,-'Sources &amp; Uses'!$D$56,0),0)</f>
        <v>0</v>
      </c>
      <c r="BP99" s="136">
        <f>IF(BP6='Assumptions &amp; Inputs'!$T$7,IF('Assumptions &amp; Inputs'!$J$19=TRUE,-'Sources &amp; Uses'!$D$56,0),0)</f>
        <v>0</v>
      </c>
      <c r="BQ99" s="136">
        <f>IF(BQ6='Assumptions &amp; Inputs'!$T$7,IF('Assumptions &amp; Inputs'!$J$19=TRUE,-'Sources &amp; Uses'!$D$56,0),0)</f>
        <v>0</v>
      </c>
      <c r="BR99" s="136">
        <f>IF(BR6='Assumptions &amp; Inputs'!$T$7,IF('Assumptions &amp; Inputs'!$J$19=TRUE,-'Sources &amp; Uses'!$D$56,0),0)</f>
        <v>0</v>
      </c>
      <c r="BS99" s="136">
        <f>IF(BS6='Assumptions &amp; Inputs'!$T$7,IF('Assumptions &amp; Inputs'!$J$19=TRUE,-'Sources &amp; Uses'!$D$56,0),0)</f>
        <v>0</v>
      </c>
      <c r="BT99" s="136">
        <f>IF(BT6='Assumptions &amp; Inputs'!$T$7,IF('Assumptions &amp; Inputs'!$J$19=TRUE,-'Sources &amp; Uses'!$D$56,0),0)</f>
        <v>0</v>
      </c>
      <c r="BU99" s="136">
        <f>IF(BU6='Assumptions &amp; Inputs'!$T$7,IF('Assumptions &amp; Inputs'!$J$19=TRUE,-'Sources &amp; Uses'!$D$56,0),0)</f>
        <v>0</v>
      </c>
      <c r="BV99" s="136">
        <f>IF(BV6='Assumptions &amp; Inputs'!$T$7,IF('Assumptions &amp; Inputs'!$J$19=TRUE,-'Sources &amp; Uses'!$D$56,0),0)</f>
        <v>0</v>
      </c>
      <c r="BW99" s="136">
        <f>IF(BW6='Assumptions &amp; Inputs'!$T$7,IF('Assumptions &amp; Inputs'!$J$19=TRUE,-'Sources &amp; Uses'!$D$56,0),0)</f>
        <v>0</v>
      </c>
      <c r="BX99" s="136">
        <f>IF(BX6='Assumptions &amp; Inputs'!$T$7,IF('Assumptions &amp; Inputs'!$J$19=TRUE,-'Sources &amp; Uses'!$D$56,0),0)</f>
        <v>0</v>
      </c>
      <c r="BY99" s="136">
        <f>IF(BY6='Assumptions &amp; Inputs'!$T$7,IF('Assumptions &amp; Inputs'!$J$19=TRUE,-'Sources &amp; Uses'!$D$56,0),0)</f>
        <v>0</v>
      </c>
      <c r="BZ99" s="136">
        <f>IF(BZ6='Assumptions &amp; Inputs'!$T$7,IF('Assumptions &amp; Inputs'!$J$19=TRUE,-'Sources &amp; Uses'!$D$56,0),0)</f>
        <v>0</v>
      </c>
      <c r="CA99" s="136">
        <f>IF(CA6='Assumptions &amp; Inputs'!$T$7,IF('Assumptions &amp; Inputs'!$J$19=TRUE,-'Sources &amp; Uses'!$D$56,0),0)</f>
        <v>0</v>
      </c>
    </row>
    <row r="100" spans="1:79">
      <c r="B100" s="18" t="s">
        <v>34</v>
      </c>
      <c r="C100" s="251">
        <f>SUM(G100:CA100)</f>
        <v>38333761.287416615</v>
      </c>
      <c r="D100" s="251"/>
      <c r="E100" s="36"/>
      <c r="F100" s="36"/>
      <c r="G100" s="270">
        <f>SUM(G97:G99)</f>
        <v>0</v>
      </c>
      <c r="H100" s="270">
        <f t="shared" ref="H100:BS100" si="155">SUM(H97:H99)</f>
        <v>0</v>
      </c>
      <c r="I100" s="270">
        <f t="shared" si="155"/>
        <v>0</v>
      </c>
      <c r="J100" s="270">
        <f t="shared" si="155"/>
        <v>0</v>
      </c>
      <c r="K100" s="270">
        <f t="shared" si="155"/>
        <v>0</v>
      </c>
      <c r="L100" s="270">
        <f t="shared" si="155"/>
        <v>0</v>
      </c>
      <c r="M100" s="270">
        <f t="shared" si="155"/>
        <v>0</v>
      </c>
      <c r="N100" s="270">
        <f t="shared" si="155"/>
        <v>0</v>
      </c>
      <c r="O100" s="270">
        <f t="shared" si="155"/>
        <v>0</v>
      </c>
      <c r="P100" s="270">
        <f t="shared" si="155"/>
        <v>0</v>
      </c>
      <c r="Q100" s="270">
        <f t="shared" si="155"/>
        <v>0</v>
      </c>
      <c r="R100" s="270">
        <f t="shared" si="155"/>
        <v>0</v>
      </c>
      <c r="S100" s="270">
        <f t="shared" si="155"/>
        <v>0</v>
      </c>
      <c r="T100" s="270">
        <f t="shared" si="155"/>
        <v>0</v>
      </c>
      <c r="U100" s="270">
        <f t="shared" si="155"/>
        <v>0</v>
      </c>
      <c r="V100" s="270">
        <f t="shared" si="155"/>
        <v>0</v>
      </c>
      <c r="W100" s="270">
        <f t="shared" si="155"/>
        <v>0</v>
      </c>
      <c r="X100" s="270">
        <f t="shared" si="155"/>
        <v>0</v>
      </c>
      <c r="Y100" s="270">
        <f t="shared" si="155"/>
        <v>0</v>
      </c>
      <c r="Z100" s="270">
        <f t="shared" si="155"/>
        <v>0</v>
      </c>
      <c r="AA100" s="270">
        <f t="shared" si="155"/>
        <v>0</v>
      </c>
      <c r="AB100" s="270">
        <f t="shared" si="155"/>
        <v>0</v>
      </c>
      <c r="AC100" s="270">
        <f t="shared" si="155"/>
        <v>0</v>
      </c>
      <c r="AD100" s="270">
        <f t="shared" si="155"/>
        <v>0</v>
      </c>
      <c r="AE100" s="270">
        <f t="shared" si="155"/>
        <v>0</v>
      </c>
      <c r="AF100" s="270">
        <f t="shared" si="155"/>
        <v>0</v>
      </c>
      <c r="AG100" s="270">
        <f t="shared" si="155"/>
        <v>0</v>
      </c>
      <c r="AH100" s="270">
        <f t="shared" si="155"/>
        <v>0</v>
      </c>
      <c r="AI100" s="270">
        <f t="shared" si="155"/>
        <v>0</v>
      </c>
      <c r="AJ100" s="270">
        <f t="shared" si="155"/>
        <v>0</v>
      </c>
      <c r="AK100" s="270">
        <f t="shared" si="155"/>
        <v>0</v>
      </c>
      <c r="AL100" s="270">
        <f t="shared" si="155"/>
        <v>0</v>
      </c>
      <c r="AM100" s="270">
        <f t="shared" si="155"/>
        <v>0</v>
      </c>
      <c r="AN100" s="270">
        <f t="shared" si="155"/>
        <v>0</v>
      </c>
      <c r="AO100" s="270">
        <f t="shared" si="155"/>
        <v>0</v>
      </c>
      <c r="AP100" s="270">
        <f t="shared" si="155"/>
        <v>0</v>
      </c>
      <c r="AQ100" s="270">
        <f t="shared" si="155"/>
        <v>0</v>
      </c>
      <c r="AR100" s="270">
        <f t="shared" si="155"/>
        <v>0</v>
      </c>
      <c r="AS100" s="270">
        <f t="shared" si="155"/>
        <v>0</v>
      </c>
      <c r="AT100" s="270">
        <f t="shared" si="155"/>
        <v>0</v>
      </c>
      <c r="AU100" s="270">
        <f t="shared" si="155"/>
        <v>0</v>
      </c>
      <c r="AV100" s="270">
        <f t="shared" si="155"/>
        <v>0</v>
      </c>
      <c r="AW100" s="270">
        <f t="shared" si="155"/>
        <v>0</v>
      </c>
      <c r="AX100" s="270">
        <f t="shared" si="155"/>
        <v>0</v>
      </c>
      <c r="AY100" s="270">
        <f t="shared" si="155"/>
        <v>0</v>
      </c>
      <c r="AZ100" s="270">
        <f t="shared" si="155"/>
        <v>0</v>
      </c>
      <c r="BA100" s="270">
        <f t="shared" si="155"/>
        <v>0</v>
      </c>
      <c r="BB100" s="270">
        <f t="shared" si="155"/>
        <v>0</v>
      </c>
      <c r="BC100" s="270">
        <f t="shared" si="155"/>
        <v>38333761.287416615</v>
      </c>
      <c r="BD100" s="270">
        <f t="shared" si="155"/>
        <v>0</v>
      </c>
      <c r="BE100" s="270">
        <f t="shared" si="155"/>
        <v>0</v>
      </c>
      <c r="BF100" s="270">
        <f t="shared" si="155"/>
        <v>0</v>
      </c>
      <c r="BG100" s="270">
        <f t="shared" si="155"/>
        <v>0</v>
      </c>
      <c r="BH100" s="270">
        <f t="shared" si="155"/>
        <v>0</v>
      </c>
      <c r="BI100" s="270">
        <f t="shared" si="155"/>
        <v>0</v>
      </c>
      <c r="BJ100" s="270">
        <f t="shared" si="155"/>
        <v>0</v>
      </c>
      <c r="BK100" s="270">
        <f t="shared" si="155"/>
        <v>0</v>
      </c>
      <c r="BL100" s="270">
        <f t="shared" si="155"/>
        <v>0</v>
      </c>
      <c r="BM100" s="270">
        <f t="shared" si="155"/>
        <v>0</v>
      </c>
      <c r="BN100" s="270">
        <f t="shared" si="155"/>
        <v>0</v>
      </c>
      <c r="BO100" s="270">
        <f t="shared" si="155"/>
        <v>0</v>
      </c>
      <c r="BP100" s="270">
        <f t="shared" si="155"/>
        <v>0</v>
      </c>
      <c r="BQ100" s="270">
        <f t="shared" si="155"/>
        <v>0</v>
      </c>
      <c r="BR100" s="270">
        <f t="shared" si="155"/>
        <v>0</v>
      </c>
      <c r="BS100" s="270">
        <f t="shared" si="155"/>
        <v>0</v>
      </c>
      <c r="BT100" s="270">
        <f t="shared" ref="BT100:CA100" si="156">SUM(BT97:BT99)</f>
        <v>0</v>
      </c>
      <c r="BU100" s="270">
        <f t="shared" si="156"/>
        <v>0</v>
      </c>
      <c r="BV100" s="270">
        <f t="shared" si="156"/>
        <v>0</v>
      </c>
      <c r="BW100" s="270">
        <f t="shared" si="156"/>
        <v>0</v>
      </c>
      <c r="BX100" s="270">
        <f t="shared" si="156"/>
        <v>0</v>
      </c>
      <c r="BY100" s="270">
        <f t="shared" si="156"/>
        <v>0</v>
      </c>
      <c r="BZ100" s="270">
        <f t="shared" si="156"/>
        <v>0</v>
      </c>
      <c r="CA100" s="270">
        <f t="shared" si="156"/>
        <v>0</v>
      </c>
    </row>
    <row r="101" spans="1:79">
      <c r="B101" s="15"/>
      <c r="C101" s="431"/>
      <c r="D101" s="431"/>
      <c r="G101" s="266"/>
      <c r="H101" s="266"/>
      <c r="I101" s="266"/>
      <c r="J101" s="266"/>
      <c r="K101" s="266"/>
      <c r="L101" s="266"/>
      <c r="M101" s="266"/>
      <c r="N101" s="266"/>
      <c r="O101" s="266"/>
      <c r="P101" s="266"/>
      <c r="Q101" s="266"/>
      <c r="R101" s="266"/>
      <c r="S101" s="266"/>
      <c r="T101" s="266"/>
      <c r="U101" s="266"/>
      <c r="V101" s="266"/>
      <c r="W101" s="266"/>
      <c r="X101" s="266"/>
      <c r="Y101" s="266"/>
      <c r="Z101" s="266"/>
      <c r="AA101" s="266"/>
      <c r="AB101" s="266"/>
      <c r="AC101" s="266"/>
      <c r="AD101" s="266"/>
      <c r="AE101" s="266"/>
      <c r="AF101" s="266"/>
      <c r="AG101" s="266"/>
      <c r="AH101" s="266"/>
      <c r="AI101" s="266"/>
      <c r="AJ101" s="266"/>
      <c r="AK101" s="266"/>
      <c r="AL101" s="266"/>
      <c r="AM101" s="266"/>
      <c r="AN101" s="266"/>
      <c r="AO101" s="266"/>
      <c r="AP101" s="266"/>
      <c r="AQ101" s="266"/>
      <c r="AR101" s="266"/>
      <c r="AS101" s="266"/>
      <c r="AT101" s="266"/>
      <c r="AU101" s="266"/>
      <c r="AV101" s="266"/>
      <c r="AW101" s="266"/>
      <c r="AX101" s="266"/>
      <c r="AY101" s="266"/>
      <c r="AZ101" s="266"/>
      <c r="BA101" s="266"/>
      <c r="BB101" s="266"/>
      <c r="BC101" s="266"/>
      <c r="BD101" s="266"/>
      <c r="BE101" s="266"/>
      <c r="BF101" s="266"/>
      <c r="BG101" s="266"/>
      <c r="BH101" s="266"/>
      <c r="BI101" s="266"/>
      <c r="BJ101" s="266"/>
      <c r="BK101" s="266"/>
      <c r="BL101" s="266"/>
      <c r="BM101" s="266"/>
      <c r="BN101" s="266"/>
      <c r="BO101" s="266"/>
      <c r="BP101" s="266"/>
      <c r="BQ101" s="266"/>
      <c r="BR101" s="266"/>
      <c r="BS101" s="266"/>
      <c r="BT101" s="266"/>
      <c r="BU101" s="266"/>
      <c r="BV101" s="266"/>
      <c r="BW101" s="266"/>
      <c r="BX101" s="266"/>
      <c r="BY101" s="266"/>
      <c r="BZ101" s="266"/>
      <c r="CA101" s="266"/>
    </row>
    <row r="102" spans="1:79" ht="13.5" customHeight="1" thickBot="1">
      <c r="A102" s="845" t="s">
        <v>972</v>
      </c>
      <c r="B102" s="845"/>
      <c r="C102" s="845"/>
      <c r="D102" s="845"/>
      <c r="E102" s="845"/>
      <c r="F102" s="845"/>
      <c r="G102" s="1007">
        <f>IF(F6&gt;=$C96,0,G86-G88+G93+G100)</f>
        <v>-11830.518608414241</v>
      </c>
      <c r="H102" s="1007">
        <f t="shared" ref="H102:BS102" si="157">IF(G6&gt;=$C96,0,H86-H88+H93+H100)</f>
        <v>-11830.518608414241</v>
      </c>
      <c r="I102" s="1007">
        <f t="shared" si="157"/>
        <v>-11830.518608414241</v>
      </c>
      <c r="J102" s="1007">
        <f t="shared" si="157"/>
        <v>-11830.518608414241</v>
      </c>
      <c r="K102" s="1007">
        <f t="shared" si="157"/>
        <v>-11830.518608414241</v>
      </c>
      <c r="L102" s="1007">
        <f t="shared" si="157"/>
        <v>-11830.518608414241</v>
      </c>
      <c r="M102" s="1007">
        <f t="shared" si="157"/>
        <v>-11830.518608414241</v>
      </c>
      <c r="N102" s="1007">
        <f t="shared" si="157"/>
        <v>-11830.518608414241</v>
      </c>
      <c r="O102" s="1007">
        <f t="shared" si="157"/>
        <v>-11830.518608414241</v>
      </c>
      <c r="P102" s="1007">
        <f t="shared" si="157"/>
        <v>-27009.555327329974</v>
      </c>
      <c r="Q102" s="1007">
        <f t="shared" si="157"/>
        <v>-21217.072034933328</v>
      </c>
      <c r="R102" s="1007">
        <f t="shared" si="157"/>
        <v>-14369.200765424699</v>
      </c>
      <c r="S102" s="1007">
        <f t="shared" si="157"/>
        <v>-8241.462169802322</v>
      </c>
      <c r="T102" s="1007">
        <f t="shared" si="157"/>
        <v>-1975.2285958622451</v>
      </c>
      <c r="U102" s="1007">
        <f t="shared" ca="1" si="157"/>
        <v>213042.26707111413</v>
      </c>
      <c r="V102" s="1007">
        <f t="shared" ca="1" si="157"/>
        <v>163.91868955706377</v>
      </c>
      <c r="W102" s="1007">
        <f t="shared" ca="1" si="157"/>
        <v>8653.3568437817794</v>
      </c>
      <c r="X102" s="1007">
        <f t="shared" ca="1" si="157"/>
        <v>17602.313944269015</v>
      </c>
      <c r="Y102" s="1007">
        <f t="shared" ca="1" si="157"/>
        <v>27884.557807310972</v>
      </c>
      <c r="Z102" s="1007">
        <f t="shared" ca="1" si="157"/>
        <v>38538.139017227266</v>
      </c>
      <c r="AA102" s="1007">
        <f t="shared" ca="1" si="157"/>
        <v>51149.86456618995</v>
      </c>
      <c r="AB102" s="1007">
        <f t="shared" ca="1" si="157"/>
        <v>60768.470283797709</v>
      </c>
      <c r="AC102" s="1007">
        <f t="shared" ca="1" si="157"/>
        <v>68377.544298557972</v>
      </c>
      <c r="AD102" s="1007">
        <f t="shared" ca="1" si="157"/>
        <v>76279.576029788324</v>
      </c>
      <c r="AE102" s="1007">
        <f t="shared" ca="1" si="157"/>
        <v>83773.197685151812</v>
      </c>
      <c r="AF102" s="1007">
        <f t="shared" ca="1" si="157"/>
        <v>90506.319908383826</v>
      </c>
      <c r="AG102" s="1007">
        <f t="shared" ca="1" si="157"/>
        <v>256451.37601617503</v>
      </c>
      <c r="AH102" s="1007">
        <f t="shared" ca="1" si="157"/>
        <v>104356.25803163166</v>
      </c>
      <c r="AI102" s="1007">
        <f t="shared" ca="1" si="157"/>
        <v>112024.69863367551</v>
      </c>
      <c r="AJ102" s="1007">
        <f t="shared" ca="1" si="157"/>
        <v>119405.27758337119</v>
      </c>
      <c r="AK102" s="1007">
        <f t="shared" ca="1" si="157"/>
        <v>137359.81909107303</v>
      </c>
      <c r="AL102" s="1007">
        <f t="shared" ca="1" si="157"/>
        <v>146243.37123149037</v>
      </c>
      <c r="AM102" s="1007">
        <f t="shared" ca="1" si="157"/>
        <v>152200.79104841067</v>
      </c>
      <c r="AN102" s="1007">
        <f t="shared" ca="1" si="157"/>
        <v>133397.37074423602</v>
      </c>
      <c r="AO102" s="1007">
        <f t="shared" ca="1" si="157"/>
        <v>133973.37317483668</v>
      </c>
      <c r="AP102" s="1007">
        <f t="shared" ca="1" si="157"/>
        <v>133746.12312035754</v>
      </c>
      <c r="AQ102" s="1007">
        <f t="shared" ca="1" si="157"/>
        <v>141560.02672048748</v>
      </c>
      <c r="AR102" s="1007">
        <f t="shared" ca="1" si="157"/>
        <v>143983.672317986</v>
      </c>
      <c r="AS102" s="1007">
        <f t="shared" ca="1" si="157"/>
        <v>146484.18312909742</v>
      </c>
      <c r="AT102" s="1007">
        <f t="shared" ca="1" si="157"/>
        <v>149188.51719103832</v>
      </c>
      <c r="AU102" s="1007">
        <f t="shared" ca="1" si="157"/>
        <v>152203.73836650129</v>
      </c>
      <c r="AV102" s="1007">
        <f t="shared" ca="1" si="157"/>
        <v>155873.30138448303</v>
      </c>
      <c r="AW102" s="1007">
        <f t="shared" ca="1" si="157"/>
        <v>158202.61816919767</v>
      </c>
      <c r="AX102" s="1007">
        <f t="shared" ca="1" si="157"/>
        <v>159911.08109085905</v>
      </c>
      <c r="AY102" s="1007">
        <f t="shared" ca="1" si="157"/>
        <v>161472.54454468281</v>
      </c>
      <c r="AZ102" s="1007">
        <f t="shared" ca="1" si="157"/>
        <v>160772.7537616544</v>
      </c>
      <c r="BA102" s="1007">
        <f t="shared" ca="1" si="157"/>
        <v>160527.08656163252</v>
      </c>
      <c r="BB102" s="1007">
        <f t="shared" ca="1" si="157"/>
        <v>159568.46040805746</v>
      </c>
      <c r="BC102" s="1007">
        <f t="shared" si="157"/>
        <v>38503026.34401118</v>
      </c>
      <c r="BD102" s="1007">
        <f t="shared" si="157"/>
        <v>0</v>
      </c>
      <c r="BE102" s="1007">
        <f t="shared" si="157"/>
        <v>0</v>
      </c>
      <c r="BF102" s="1007">
        <f t="shared" si="157"/>
        <v>0</v>
      </c>
      <c r="BG102" s="1007">
        <f t="shared" si="157"/>
        <v>0</v>
      </c>
      <c r="BH102" s="1007">
        <f t="shared" si="157"/>
        <v>0</v>
      </c>
      <c r="BI102" s="1007">
        <f t="shared" si="157"/>
        <v>0</v>
      </c>
      <c r="BJ102" s="1007">
        <f t="shared" si="157"/>
        <v>0</v>
      </c>
      <c r="BK102" s="1007">
        <f t="shared" si="157"/>
        <v>0</v>
      </c>
      <c r="BL102" s="1007">
        <f t="shared" si="157"/>
        <v>0</v>
      </c>
      <c r="BM102" s="1007">
        <f t="shared" si="157"/>
        <v>0</v>
      </c>
      <c r="BN102" s="1007">
        <f t="shared" si="157"/>
        <v>0</v>
      </c>
      <c r="BO102" s="1007">
        <f t="shared" si="157"/>
        <v>0</v>
      </c>
      <c r="BP102" s="1007">
        <f t="shared" si="157"/>
        <v>0</v>
      </c>
      <c r="BQ102" s="1007">
        <f t="shared" si="157"/>
        <v>0</v>
      </c>
      <c r="BR102" s="1007">
        <f t="shared" si="157"/>
        <v>0</v>
      </c>
      <c r="BS102" s="1007">
        <f t="shared" si="157"/>
        <v>0</v>
      </c>
      <c r="BT102" s="1007">
        <f t="shared" ref="BT102:CA102" si="158">IF(BS6&gt;=$C96,0,BT86-BT88+BT93+BT100)</f>
        <v>0</v>
      </c>
      <c r="BU102" s="1007">
        <f t="shared" si="158"/>
        <v>0</v>
      </c>
      <c r="BV102" s="1007">
        <f t="shared" si="158"/>
        <v>0</v>
      </c>
      <c r="BW102" s="1007">
        <f t="shared" si="158"/>
        <v>0</v>
      </c>
      <c r="BX102" s="1007">
        <f t="shared" si="158"/>
        <v>0</v>
      </c>
      <c r="BY102" s="1007">
        <f t="shared" si="158"/>
        <v>0</v>
      </c>
      <c r="BZ102" s="1007">
        <f t="shared" si="158"/>
        <v>0</v>
      </c>
      <c r="CA102" s="1007">
        <f t="shared" si="158"/>
        <v>0</v>
      </c>
    </row>
    <row r="103" spans="1:79" ht="13.5" customHeight="1" thickTop="1">
      <c r="B103" s="9" t="s">
        <v>949</v>
      </c>
      <c r="E103" s="266">
        <f ca="1">SUM(G103:CA103)</f>
        <v>179287.18636908074</v>
      </c>
      <c r="G103" s="547">
        <f>IF(G102&lt;0,-G102,0)</f>
        <v>11830.518608414241</v>
      </c>
      <c r="H103" s="547">
        <f t="shared" ref="H103:BS103" si="159">IF(H102&lt;0,-H102,0)</f>
        <v>11830.518608414241</v>
      </c>
      <c r="I103" s="547">
        <f t="shared" si="159"/>
        <v>11830.518608414241</v>
      </c>
      <c r="J103" s="547">
        <f t="shared" si="159"/>
        <v>11830.518608414241</v>
      </c>
      <c r="K103" s="547">
        <f t="shared" si="159"/>
        <v>11830.518608414241</v>
      </c>
      <c r="L103" s="547">
        <f t="shared" si="159"/>
        <v>11830.518608414241</v>
      </c>
      <c r="M103" s="547">
        <f t="shared" si="159"/>
        <v>11830.518608414241</v>
      </c>
      <c r="N103" s="547">
        <f t="shared" si="159"/>
        <v>11830.518608414241</v>
      </c>
      <c r="O103" s="547">
        <f t="shared" si="159"/>
        <v>11830.518608414241</v>
      </c>
      <c r="P103" s="547">
        <f t="shared" si="159"/>
        <v>27009.555327329974</v>
      </c>
      <c r="Q103" s="547">
        <f t="shared" si="159"/>
        <v>21217.072034933328</v>
      </c>
      <c r="R103" s="547">
        <f t="shared" si="159"/>
        <v>14369.200765424699</v>
      </c>
      <c r="S103" s="547">
        <f t="shared" si="159"/>
        <v>8241.462169802322</v>
      </c>
      <c r="T103" s="547">
        <f t="shared" si="159"/>
        <v>1975.2285958622451</v>
      </c>
      <c r="U103" s="547">
        <f t="shared" ca="1" si="159"/>
        <v>0</v>
      </c>
      <c r="V103" s="547">
        <f t="shared" ca="1" si="159"/>
        <v>0</v>
      </c>
      <c r="W103" s="547">
        <f t="shared" ca="1" si="159"/>
        <v>0</v>
      </c>
      <c r="X103" s="547">
        <f t="shared" ca="1" si="159"/>
        <v>0</v>
      </c>
      <c r="Y103" s="547">
        <f t="shared" ca="1" si="159"/>
        <v>0</v>
      </c>
      <c r="Z103" s="547">
        <f t="shared" ca="1" si="159"/>
        <v>0</v>
      </c>
      <c r="AA103" s="547">
        <f t="shared" ca="1" si="159"/>
        <v>0</v>
      </c>
      <c r="AB103" s="547">
        <f t="shared" ca="1" si="159"/>
        <v>0</v>
      </c>
      <c r="AC103" s="547">
        <f t="shared" ca="1" si="159"/>
        <v>0</v>
      </c>
      <c r="AD103" s="547">
        <f t="shared" ca="1" si="159"/>
        <v>0</v>
      </c>
      <c r="AE103" s="547">
        <f t="shared" ca="1" si="159"/>
        <v>0</v>
      </c>
      <c r="AF103" s="547">
        <f t="shared" ca="1" si="159"/>
        <v>0</v>
      </c>
      <c r="AG103" s="547">
        <f t="shared" ca="1" si="159"/>
        <v>0</v>
      </c>
      <c r="AH103" s="547">
        <f t="shared" ca="1" si="159"/>
        <v>0</v>
      </c>
      <c r="AI103" s="547">
        <f t="shared" ca="1" si="159"/>
        <v>0</v>
      </c>
      <c r="AJ103" s="547">
        <f t="shared" ca="1" si="159"/>
        <v>0</v>
      </c>
      <c r="AK103" s="547">
        <f t="shared" ca="1" si="159"/>
        <v>0</v>
      </c>
      <c r="AL103" s="547">
        <f t="shared" ca="1" si="159"/>
        <v>0</v>
      </c>
      <c r="AM103" s="547">
        <f t="shared" ca="1" si="159"/>
        <v>0</v>
      </c>
      <c r="AN103" s="547">
        <f t="shared" ca="1" si="159"/>
        <v>0</v>
      </c>
      <c r="AO103" s="547">
        <f t="shared" ca="1" si="159"/>
        <v>0</v>
      </c>
      <c r="AP103" s="547">
        <f t="shared" ca="1" si="159"/>
        <v>0</v>
      </c>
      <c r="AQ103" s="547">
        <f t="shared" ca="1" si="159"/>
        <v>0</v>
      </c>
      <c r="AR103" s="547">
        <f t="shared" ca="1" si="159"/>
        <v>0</v>
      </c>
      <c r="AS103" s="547">
        <f t="shared" ca="1" si="159"/>
        <v>0</v>
      </c>
      <c r="AT103" s="547">
        <f t="shared" ca="1" si="159"/>
        <v>0</v>
      </c>
      <c r="AU103" s="547">
        <f t="shared" ca="1" si="159"/>
        <v>0</v>
      </c>
      <c r="AV103" s="547">
        <f t="shared" ca="1" si="159"/>
        <v>0</v>
      </c>
      <c r="AW103" s="547">
        <f t="shared" ca="1" si="159"/>
        <v>0</v>
      </c>
      <c r="AX103" s="547">
        <f t="shared" ca="1" si="159"/>
        <v>0</v>
      </c>
      <c r="AY103" s="547">
        <f t="shared" ca="1" si="159"/>
        <v>0</v>
      </c>
      <c r="AZ103" s="547">
        <f t="shared" ca="1" si="159"/>
        <v>0</v>
      </c>
      <c r="BA103" s="547">
        <f t="shared" ca="1" si="159"/>
        <v>0</v>
      </c>
      <c r="BB103" s="547">
        <f t="shared" ca="1" si="159"/>
        <v>0</v>
      </c>
      <c r="BC103" s="547">
        <f t="shared" si="159"/>
        <v>0</v>
      </c>
      <c r="BD103" s="547">
        <f t="shared" si="159"/>
        <v>0</v>
      </c>
      <c r="BE103" s="547">
        <f t="shared" si="159"/>
        <v>0</v>
      </c>
      <c r="BF103" s="547">
        <f t="shared" si="159"/>
        <v>0</v>
      </c>
      <c r="BG103" s="547">
        <f t="shared" si="159"/>
        <v>0</v>
      </c>
      <c r="BH103" s="547">
        <f t="shared" si="159"/>
        <v>0</v>
      </c>
      <c r="BI103" s="547">
        <f t="shared" si="159"/>
        <v>0</v>
      </c>
      <c r="BJ103" s="547">
        <f t="shared" si="159"/>
        <v>0</v>
      </c>
      <c r="BK103" s="547">
        <f t="shared" si="159"/>
        <v>0</v>
      </c>
      <c r="BL103" s="547">
        <f t="shared" si="159"/>
        <v>0</v>
      </c>
      <c r="BM103" s="547">
        <f t="shared" si="159"/>
        <v>0</v>
      </c>
      <c r="BN103" s="547">
        <f t="shared" si="159"/>
        <v>0</v>
      </c>
      <c r="BO103" s="547">
        <f t="shared" si="159"/>
        <v>0</v>
      </c>
      <c r="BP103" s="547">
        <f t="shared" si="159"/>
        <v>0</v>
      </c>
      <c r="BQ103" s="547">
        <f t="shared" si="159"/>
        <v>0</v>
      </c>
      <c r="BR103" s="547">
        <f t="shared" si="159"/>
        <v>0</v>
      </c>
      <c r="BS103" s="547">
        <f t="shared" si="159"/>
        <v>0</v>
      </c>
      <c r="BT103" s="547">
        <f t="shared" ref="BT103:CA103" si="160">IF(BT102&lt;0,-BT102,0)</f>
        <v>0</v>
      </c>
      <c r="BU103" s="547">
        <f t="shared" si="160"/>
        <v>0</v>
      </c>
      <c r="BV103" s="547">
        <f t="shared" si="160"/>
        <v>0</v>
      </c>
      <c r="BW103" s="547">
        <f t="shared" si="160"/>
        <v>0</v>
      </c>
      <c r="BX103" s="547">
        <f t="shared" si="160"/>
        <v>0</v>
      </c>
      <c r="BY103" s="547">
        <f t="shared" si="160"/>
        <v>0</v>
      </c>
      <c r="BZ103" s="547">
        <f t="shared" si="160"/>
        <v>0</v>
      </c>
      <c r="CA103" s="547">
        <f t="shared" si="160"/>
        <v>0</v>
      </c>
    </row>
    <row r="104" spans="1:79" ht="13.5" customHeight="1">
      <c r="B104" s="9"/>
    </row>
    <row r="105" spans="1:79" ht="13.5" customHeight="1">
      <c r="B105" s="9"/>
    </row>
    <row r="108" spans="1:79">
      <c r="A108" s="1060" t="s">
        <v>970</v>
      </c>
      <c r="B108" s="1060"/>
      <c r="C108" s="430"/>
      <c r="D108" s="430"/>
      <c r="E108" s="332"/>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36"/>
      <c r="BA108" s="136"/>
      <c r="BB108" s="136"/>
      <c r="BC108" s="136"/>
      <c r="BD108" s="136"/>
      <c r="BE108" s="136"/>
      <c r="BF108" s="136"/>
      <c r="BG108" s="136"/>
      <c r="BH108" s="136"/>
      <c r="BI108" s="136"/>
      <c r="BJ108" s="136"/>
      <c r="BK108" s="136"/>
      <c r="BL108" s="136"/>
      <c r="BM108" s="136"/>
      <c r="BN108" s="136"/>
      <c r="BO108" s="136"/>
      <c r="BP108" s="136"/>
      <c r="BQ108" s="136"/>
      <c r="BR108" s="136"/>
      <c r="BS108" s="136"/>
      <c r="BT108" s="136"/>
      <c r="BU108" s="136"/>
      <c r="BV108" s="136"/>
      <c r="BW108" s="136"/>
      <c r="BX108" s="136"/>
      <c r="BY108" s="136"/>
      <c r="BZ108" s="136"/>
      <c r="CA108" s="136"/>
    </row>
    <row r="109" spans="1:79">
      <c r="B109" s="19" t="s">
        <v>35</v>
      </c>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c r="BS109" s="136"/>
      <c r="BT109" s="136"/>
      <c r="BU109" s="136"/>
      <c r="BV109" s="136"/>
      <c r="BW109" s="136"/>
      <c r="BX109" s="136"/>
      <c r="BY109" s="136"/>
      <c r="BZ109" s="136"/>
      <c r="CA109" s="136"/>
    </row>
    <row r="110" spans="1:79">
      <c r="B110" s="20" t="s">
        <v>36</v>
      </c>
      <c r="C110" s="136">
        <f>'Sources &amp; Uses'!D26</f>
        <v>4960000</v>
      </c>
      <c r="D110" s="136"/>
      <c r="E110" s="263">
        <f>SUM(G110:CA110)</f>
        <v>4960000</v>
      </c>
      <c r="G110" s="136">
        <f>'Sources &amp; Uses'!D26</f>
        <v>4960000</v>
      </c>
      <c r="H110" s="136">
        <v>0</v>
      </c>
      <c r="I110" s="136">
        <v>0</v>
      </c>
      <c r="J110" s="136">
        <v>0</v>
      </c>
      <c r="K110" s="136">
        <v>0</v>
      </c>
      <c r="L110" s="136">
        <v>0</v>
      </c>
      <c r="M110" s="136">
        <v>0</v>
      </c>
      <c r="N110" s="136">
        <v>0</v>
      </c>
      <c r="O110" s="136">
        <v>0</v>
      </c>
      <c r="P110" s="136">
        <v>0</v>
      </c>
      <c r="Q110" s="136">
        <v>0</v>
      </c>
      <c r="R110" s="136">
        <v>0</v>
      </c>
      <c r="S110" s="136">
        <v>0</v>
      </c>
      <c r="T110" s="136">
        <v>0</v>
      </c>
      <c r="U110" s="136">
        <v>0</v>
      </c>
      <c r="V110" s="136">
        <v>0</v>
      </c>
      <c r="W110" s="136">
        <v>0</v>
      </c>
      <c r="X110" s="136">
        <v>0</v>
      </c>
      <c r="Y110" s="136">
        <v>0</v>
      </c>
      <c r="Z110" s="136">
        <v>0</v>
      </c>
      <c r="AA110" s="136">
        <v>0</v>
      </c>
      <c r="AB110" s="136">
        <v>0</v>
      </c>
      <c r="AC110" s="136">
        <v>0</v>
      </c>
      <c r="AD110" s="136">
        <v>0</v>
      </c>
      <c r="AE110" s="136">
        <v>0</v>
      </c>
      <c r="AF110" s="136">
        <v>0</v>
      </c>
      <c r="AG110" s="136">
        <v>0</v>
      </c>
      <c r="AH110" s="136">
        <v>0</v>
      </c>
      <c r="AI110" s="136">
        <v>0</v>
      </c>
      <c r="AJ110" s="136">
        <v>0</v>
      </c>
      <c r="AK110" s="136">
        <v>0</v>
      </c>
      <c r="AL110" s="136">
        <v>0</v>
      </c>
      <c r="AM110" s="136">
        <v>0</v>
      </c>
      <c r="AN110" s="136">
        <v>0</v>
      </c>
      <c r="AO110" s="136">
        <v>0</v>
      </c>
      <c r="AP110" s="136">
        <v>0</v>
      </c>
      <c r="AQ110" s="136">
        <v>0</v>
      </c>
      <c r="AR110" s="136">
        <v>0</v>
      </c>
      <c r="AS110" s="136">
        <v>0</v>
      </c>
      <c r="AT110" s="136">
        <v>0</v>
      </c>
      <c r="AU110" s="136">
        <v>0</v>
      </c>
      <c r="AV110" s="136">
        <v>0</v>
      </c>
      <c r="AW110" s="136">
        <v>0</v>
      </c>
      <c r="AX110" s="136">
        <v>0</v>
      </c>
      <c r="AY110" s="136">
        <v>0</v>
      </c>
      <c r="AZ110" s="136">
        <v>0</v>
      </c>
      <c r="BA110" s="136">
        <v>0</v>
      </c>
      <c r="BB110" s="136">
        <v>0</v>
      </c>
      <c r="BC110" s="136">
        <v>0</v>
      </c>
      <c r="BD110" s="136">
        <v>0</v>
      </c>
      <c r="BE110" s="136">
        <v>0</v>
      </c>
      <c r="BF110" s="136">
        <v>0</v>
      </c>
      <c r="BG110" s="136">
        <v>0</v>
      </c>
      <c r="BH110" s="136">
        <v>0</v>
      </c>
      <c r="BI110" s="136">
        <v>0</v>
      </c>
      <c r="BJ110" s="136">
        <v>0</v>
      </c>
      <c r="BK110" s="136">
        <v>0</v>
      </c>
      <c r="BL110" s="136">
        <v>0</v>
      </c>
      <c r="BM110" s="136">
        <v>0</v>
      </c>
      <c r="BN110" s="136">
        <v>0</v>
      </c>
      <c r="BO110" s="136">
        <v>0</v>
      </c>
      <c r="BP110" s="136">
        <v>0</v>
      </c>
      <c r="BQ110" s="136">
        <v>0</v>
      </c>
      <c r="BR110" s="136">
        <v>0</v>
      </c>
      <c r="BS110" s="136">
        <v>0</v>
      </c>
      <c r="BT110" s="136">
        <v>0</v>
      </c>
      <c r="BU110" s="136">
        <v>0</v>
      </c>
      <c r="BV110" s="136">
        <v>0</v>
      </c>
      <c r="BW110" s="136">
        <v>0</v>
      </c>
      <c r="BX110" s="136">
        <v>0</v>
      </c>
      <c r="BY110" s="136">
        <v>0</v>
      </c>
      <c r="BZ110" s="136">
        <v>0</v>
      </c>
      <c r="CA110" s="136">
        <v>0</v>
      </c>
    </row>
    <row r="111" spans="1:79">
      <c r="B111" s="20" t="s">
        <v>614</v>
      </c>
      <c r="C111" s="136">
        <f>'Sources &amp; Uses'!D28</f>
        <v>728000</v>
      </c>
      <c r="D111" s="136"/>
      <c r="E111" s="263">
        <f>SUM(G111:CA111)</f>
        <v>728000</v>
      </c>
      <c r="G111" s="136">
        <f>'Sources &amp; Uses'!D28</f>
        <v>728000</v>
      </c>
      <c r="H111" s="136">
        <v>0</v>
      </c>
      <c r="I111" s="136">
        <v>0</v>
      </c>
      <c r="J111" s="136">
        <v>0</v>
      </c>
      <c r="K111" s="136">
        <v>0</v>
      </c>
      <c r="L111" s="136">
        <v>0</v>
      </c>
      <c r="M111" s="136">
        <v>0</v>
      </c>
      <c r="N111" s="136">
        <v>0</v>
      </c>
      <c r="O111" s="136">
        <v>0</v>
      </c>
      <c r="P111" s="136">
        <v>0</v>
      </c>
      <c r="Q111" s="136">
        <v>0</v>
      </c>
      <c r="R111" s="136">
        <v>0</v>
      </c>
      <c r="S111" s="136">
        <v>0</v>
      </c>
      <c r="T111" s="136">
        <v>0</v>
      </c>
      <c r="U111" s="136">
        <v>0</v>
      </c>
      <c r="V111" s="136">
        <v>0</v>
      </c>
      <c r="W111" s="136">
        <v>0</v>
      </c>
      <c r="X111" s="136">
        <v>0</v>
      </c>
      <c r="Y111" s="136">
        <v>0</v>
      </c>
      <c r="Z111" s="136">
        <v>0</v>
      </c>
      <c r="AA111" s="136">
        <v>0</v>
      </c>
      <c r="AB111" s="136">
        <v>0</v>
      </c>
      <c r="AC111" s="136">
        <v>0</v>
      </c>
      <c r="AD111" s="136">
        <v>0</v>
      </c>
      <c r="AE111" s="136">
        <v>0</v>
      </c>
      <c r="AF111" s="136">
        <v>0</v>
      </c>
      <c r="AG111" s="136">
        <v>0</v>
      </c>
      <c r="AH111" s="136">
        <v>0</v>
      </c>
      <c r="AI111" s="136">
        <v>0</v>
      </c>
      <c r="AJ111" s="136">
        <v>0</v>
      </c>
      <c r="AK111" s="136">
        <v>0</v>
      </c>
      <c r="AL111" s="136">
        <v>0</v>
      </c>
      <c r="AM111" s="136">
        <v>0</v>
      </c>
      <c r="AN111" s="136">
        <v>0</v>
      </c>
      <c r="AO111" s="136">
        <v>0</v>
      </c>
      <c r="AP111" s="136">
        <v>0</v>
      </c>
      <c r="AQ111" s="136">
        <v>0</v>
      </c>
      <c r="AR111" s="136">
        <v>0</v>
      </c>
      <c r="AS111" s="136">
        <v>0</v>
      </c>
      <c r="AT111" s="136">
        <v>0</v>
      </c>
      <c r="AU111" s="136">
        <v>0</v>
      </c>
      <c r="AV111" s="136">
        <v>0</v>
      </c>
      <c r="AW111" s="136">
        <v>0</v>
      </c>
      <c r="AX111" s="136">
        <v>0</v>
      </c>
      <c r="AY111" s="136">
        <v>0</v>
      </c>
      <c r="AZ111" s="136">
        <v>0</v>
      </c>
      <c r="BA111" s="136">
        <v>0</v>
      </c>
      <c r="BB111" s="136">
        <v>0</v>
      </c>
      <c r="BC111" s="136">
        <v>0</v>
      </c>
      <c r="BD111" s="136">
        <v>0</v>
      </c>
      <c r="BE111" s="136">
        <v>0</v>
      </c>
      <c r="BF111" s="136">
        <v>0</v>
      </c>
      <c r="BG111" s="136">
        <v>0</v>
      </c>
      <c r="BH111" s="136">
        <v>0</v>
      </c>
      <c r="BI111" s="136">
        <v>0</v>
      </c>
      <c r="BJ111" s="136">
        <v>0</v>
      </c>
      <c r="BK111" s="136">
        <v>0</v>
      </c>
      <c r="BL111" s="136">
        <v>0</v>
      </c>
      <c r="BM111" s="136">
        <v>0</v>
      </c>
      <c r="BN111" s="136">
        <v>0</v>
      </c>
      <c r="BO111" s="136">
        <v>0</v>
      </c>
      <c r="BP111" s="136">
        <v>0</v>
      </c>
      <c r="BQ111" s="136">
        <v>0</v>
      </c>
      <c r="BR111" s="136">
        <v>0</v>
      </c>
      <c r="BS111" s="136">
        <v>0</v>
      </c>
      <c r="BT111" s="136">
        <v>0</v>
      </c>
      <c r="BU111" s="136">
        <v>0</v>
      </c>
      <c r="BV111" s="136">
        <v>0</v>
      </c>
      <c r="BW111" s="136">
        <v>0</v>
      </c>
      <c r="BX111" s="136">
        <v>0</v>
      </c>
      <c r="BY111" s="136">
        <v>0</v>
      </c>
      <c r="BZ111" s="136">
        <v>0</v>
      </c>
      <c r="CA111" s="136">
        <v>0</v>
      </c>
    </row>
    <row r="112" spans="1:79">
      <c r="B112" s="20" t="s">
        <v>37</v>
      </c>
      <c r="C112" s="136">
        <f>'Sources &amp; Uses'!D40+'Sources &amp; Uses'!D41</f>
        <v>471000</v>
      </c>
      <c r="D112" s="136"/>
      <c r="E112" s="263">
        <f t="shared" ref="E112:E122" si="161">SUM(G112:CA112)</f>
        <v>471000</v>
      </c>
      <c r="G112" s="136">
        <f>SUM('Sources &amp; Uses'!D40,'Sources &amp; Uses'!D41)</f>
        <v>471000</v>
      </c>
      <c r="H112" s="136">
        <v>0</v>
      </c>
      <c r="I112" s="136">
        <v>0</v>
      </c>
      <c r="J112" s="136">
        <v>0</v>
      </c>
      <c r="K112" s="136">
        <v>0</v>
      </c>
      <c r="L112" s="136">
        <v>0</v>
      </c>
      <c r="M112" s="136">
        <v>0</v>
      </c>
      <c r="N112" s="136">
        <v>0</v>
      </c>
      <c r="O112" s="136">
        <v>0</v>
      </c>
      <c r="P112" s="136">
        <v>0</v>
      </c>
      <c r="Q112" s="136">
        <v>0</v>
      </c>
      <c r="R112" s="136">
        <v>0</v>
      </c>
      <c r="S112" s="136">
        <v>0</v>
      </c>
      <c r="T112" s="136">
        <v>0</v>
      </c>
      <c r="U112" s="136">
        <v>0</v>
      </c>
      <c r="V112" s="136">
        <v>0</v>
      </c>
      <c r="W112" s="136">
        <v>0</v>
      </c>
      <c r="X112" s="136">
        <v>0</v>
      </c>
      <c r="Y112" s="136">
        <v>0</v>
      </c>
      <c r="Z112" s="136">
        <v>0</v>
      </c>
      <c r="AA112" s="136">
        <v>0</v>
      </c>
      <c r="AB112" s="136">
        <v>0</v>
      </c>
      <c r="AC112" s="136">
        <v>0</v>
      </c>
      <c r="AD112" s="136">
        <v>0</v>
      </c>
      <c r="AE112" s="136">
        <v>0</v>
      </c>
      <c r="AF112" s="136">
        <v>0</v>
      </c>
      <c r="AG112" s="136">
        <v>0</v>
      </c>
      <c r="AH112" s="136">
        <v>0</v>
      </c>
      <c r="AI112" s="136">
        <v>0</v>
      </c>
      <c r="AJ112" s="136">
        <v>0</v>
      </c>
      <c r="AK112" s="136">
        <v>0</v>
      </c>
      <c r="AL112" s="136">
        <v>0</v>
      </c>
      <c r="AM112" s="136">
        <v>0</v>
      </c>
      <c r="AN112" s="136">
        <v>0</v>
      </c>
      <c r="AO112" s="136">
        <v>0</v>
      </c>
      <c r="AP112" s="136">
        <v>0</v>
      </c>
      <c r="AQ112" s="136">
        <v>0</v>
      </c>
      <c r="AR112" s="136">
        <v>0</v>
      </c>
      <c r="AS112" s="136">
        <v>0</v>
      </c>
      <c r="AT112" s="136">
        <v>0</v>
      </c>
      <c r="AU112" s="136">
        <v>0</v>
      </c>
      <c r="AV112" s="136">
        <v>0</v>
      </c>
      <c r="AW112" s="136">
        <v>0</v>
      </c>
      <c r="AX112" s="136">
        <v>0</v>
      </c>
      <c r="AY112" s="136">
        <v>0</v>
      </c>
      <c r="AZ112" s="136">
        <v>0</v>
      </c>
      <c r="BA112" s="136">
        <v>0</v>
      </c>
      <c r="BB112" s="136">
        <v>0</v>
      </c>
      <c r="BC112" s="136">
        <v>0</v>
      </c>
      <c r="BD112" s="136">
        <v>0</v>
      </c>
      <c r="BE112" s="136">
        <v>0</v>
      </c>
      <c r="BF112" s="136">
        <v>0</v>
      </c>
      <c r="BG112" s="136">
        <v>0</v>
      </c>
      <c r="BH112" s="136">
        <v>0</v>
      </c>
      <c r="BI112" s="136">
        <v>0</v>
      </c>
      <c r="BJ112" s="136">
        <v>0</v>
      </c>
      <c r="BK112" s="136">
        <v>0</v>
      </c>
      <c r="BL112" s="136">
        <v>0</v>
      </c>
      <c r="BM112" s="136">
        <v>0</v>
      </c>
      <c r="BN112" s="136">
        <v>0</v>
      </c>
      <c r="BO112" s="136">
        <v>0</v>
      </c>
      <c r="BP112" s="136">
        <v>0</v>
      </c>
      <c r="BQ112" s="136">
        <v>0</v>
      </c>
      <c r="BR112" s="136">
        <v>0</v>
      </c>
      <c r="BS112" s="136">
        <v>0</v>
      </c>
      <c r="BT112" s="136">
        <v>0</v>
      </c>
      <c r="BU112" s="136">
        <v>0</v>
      </c>
      <c r="BV112" s="136">
        <v>0</v>
      </c>
      <c r="BW112" s="136">
        <v>0</v>
      </c>
      <c r="BX112" s="136">
        <v>0</v>
      </c>
      <c r="BY112" s="136">
        <v>0</v>
      </c>
      <c r="BZ112" s="136">
        <v>0</v>
      </c>
      <c r="CA112" s="136">
        <v>0</v>
      </c>
    </row>
    <row r="113" spans="2:79">
      <c r="B113" s="20" t="s">
        <v>571</v>
      </c>
      <c r="C113" s="136">
        <f ca="1">'Sources &amp; Uses'!D37</f>
        <v>613037.1423642087</v>
      </c>
      <c r="D113" s="136"/>
      <c r="E113" s="263">
        <f ca="1">SUM(G113:CA113)</f>
        <v>613037.14236420929</v>
      </c>
      <c r="G113" s="136">
        <f>IF(AND(G6&gt;='Assumptions &amp; Inputs'!$D$18,'Assumptions &amp; Inputs'!$D$25&gt;=G6),('Sources &amp; Uses'!$D$37/('Assumptions &amp; Inputs'!$D$24+1)),0)</f>
        <v>0</v>
      </c>
      <c r="H113" s="136">
        <f ca="1">IF(AND(H6&gt;='Assumptions &amp; Inputs'!$D$18,'Assumptions &amp; Inputs'!$D$25&gt;=H6),('Sources &amp; Uses'!$D$37/('Assumptions &amp; Inputs'!$D$24+1)),0)</f>
        <v>43788.367311729191</v>
      </c>
      <c r="I113" s="136">
        <f ca="1">IF(AND(I6&gt;='Assumptions &amp; Inputs'!$D$18,'Assumptions &amp; Inputs'!$D$25&gt;=I6),('Sources &amp; Uses'!$D$37/('Assumptions &amp; Inputs'!$D$24+1)),0)</f>
        <v>43788.367311729191</v>
      </c>
      <c r="J113" s="136">
        <f ca="1">IF(AND(J6&gt;='Assumptions &amp; Inputs'!$D$18,'Assumptions &amp; Inputs'!$D$25&gt;=J6),('Sources &amp; Uses'!$D$37/('Assumptions &amp; Inputs'!$D$24+1)),0)</f>
        <v>43788.367311729191</v>
      </c>
      <c r="K113" s="136">
        <f ca="1">IF(AND(K6&gt;='Assumptions &amp; Inputs'!$D$18,'Assumptions &amp; Inputs'!$D$25&gt;=K6),('Sources &amp; Uses'!$D$37/('Assumptions &amp; Inputs'!$D$24+1)),0)</f>
        <v>43788.367311729191</v>
      </c>
      <c r="L113" s="136">
        <f ca="1">IF(AND(L6&gt;='Assumptions &amp; Inputs'!$D$18,'Assumptions &amp; Inputs'!$D$25&gt;=L6),('Sources &amp; Uses'!$D$37/('Assumptions &amp; Inputs'!$D$24+1)),0)</f>
        <v>43788.367311729191</v>
      </c>
      <c r="M113" s="136">
        <f ca="1">IF(AND(M6&gt;='Assumptions &amp; Inputs'!$D$18,'Assumptions &amp; Inputs'!$D$25&gt;=M6),('Sources &amp; Uses'!$D$37/('Assumptions &amp; Inputs'!$D$24+1)),0)</f>
        <v>43788.367311729191</v>
      </c>
      <c r="N113" s="136">
        <f ca="1">IF(AND(N6&gt;='Assumptions &amp; Inputs'!$D$18,'Assumptions &amp; Inputs'!$D$25&gt;=N6),('Sources &amp; Uses'!$D$37/('Assumptions &amp; Inputs'!$D$24+1)),0)</f>
        <v>43788.367311729191</v>
      </c>
      <c r="O113" s="136">
        <f ca="1">IF(AND(O6&gt;='Assumptions &amp; Inputs'!$D$18,'Assumptions &amp; Inputs'!$D$25&gt;=O6),('Sources &amp; Uses'!$D$37/('Assumptions &amp; Inputs'!$D$24+1)),0)</f>
        <v>43788.367311729191</v>
      </c>
      <c r="P113" s="136">
        <f ca="1">IF(AND(P6&gt;='Assumptions &amp; Inputs'!$D$18,'Assumptions &amp; Inputs'!$D$25&gt;=P6),('Sources &amp; Uses'!$D$37/('Assumptions &amp; Inputs'!$D$24+1)),0)</f>
        <v>43788.367311729191</v>
      </c>
      <c r="Q113" s="136">
        <f ca="1">IF(AND(Q6&gt;='Assumptions &amp; Inputs'!$D$18,'Assumptions &amp; Inputs'!$D$25&gt;=Q6),('Sources &amp; Uses'!$D$37/('Assumptions &amp; Inputs'!$D$24+1)),0)</f>
        <v>43788.367311729191</v>
      </c>
      <c r="R113" s="136">
        <f ca="1">IF(AND(R6&gt;='Assumptions &amp; Inputs'!$D$18,'Assumptions &amp; Inputs'!$D$25&gt;=R6),('Sources &amp; Uses'!$D$37/('Assumptions &amp; Inputs'!$D$24+1)),0)</f>
        <v>43788.367311729191</v>
      </c>
      <c r="S113" s="136">
        <f ca="1">IF(AND(S6&gt;='Assumptions &amp; Inputs'!$D$18,'Assumptions &amp; Inputs'!$D$25&gt;=S6),('Sources &amp; Uses'!$D$37/('Assumptions &amp; Inputs'!$D$24+1)),0)</f>
        <v>43788.367311729191</v>
      </c>
      <c r="T113" s="136">
        <f ca="1">IF(AND(T6&gt;='Assumptions &amp; Inputs'!$D$18,'Assumptions &amp; Inputs'!$D$25&gt;=T6),('Sources &amp; Uses'!$D$37/('Assumptions &amp; Inputs'!$D$24+1)),0)</f>
        <v>43788.367311729191</v>
      </c>
      <c r="U113" s="136">
        <f ca="1">IF(AND(U6&gt;='Assumptions &amp; Inputs'!$D$18,'Assumptions &amp; Inputs'!$D$25&gt;=U6),('Sources &amp; Uses'!$D$37/('Assumptions &amp; Inputs'!$D$24+1)),0)</f>
        <v>43788.367311729191</v>
      </c>
      <c r="V113" s="136">
        <f>IF(AND(V6&gt;='Assumptions &amp; Inputs'!$D$18,'Assumptions &amp; Inputs'!$D$25&gt;=V6),('Sources &amp; Uses'!$D$37/('Assumptions &amp; Inputs'!$D$24+1)),0)</f>
        <v>0</v>
      </c>
      <c r="W113" s="136">
        <f>IF(AND(W6&gt;='Assumptions &amp; Inputs'!$D$18,'Assumptions &amp; Inputs'!$D$25&gt;=W6),('Sources &amp; Uses'!$D$37/('Assumptions &amp; Inputs'!$D$24+1)),0)</f>
        <v>0</v>
      </c>
      <c r="X113" s="136">
        <f>IF(AND(X6&gt;='Assumptions &amp; Inputs'!$D$18,'Assumptions &amp; Inputs'!$D$25&gt;=X6),('Sources &amp; Uses'!$D$37/('Assumptions &amp; Inputs'!$D$24+1)),0)</f>
        <v>0</v>
      </c>
      <c r="Y113" s="136">
        <f>IF(AND(Y6&gt;='Assumptions &amp; Inputs'!$D$18,'Assumptions &amp; Inputs'!$D$25&gt;=Y6),('Sources &amp; Uses'!$D$37/('Assumptions &amp; Inputs'!$D$24+1)),0)</f>
        <v>0</v>
      </c>
      <c r="Z113" s="136">
        <f>IF(AND(Z6&gt;='Assumptions &amp; Inputs'!$D$18,'Assumptions &amp; Inputs'!$D$25&gt;=Z6),('Sources &amp; Uses'!$D$37/('Assumptions &amp; Inputs'!$D$24+1)),0)</f>
        <v>0</v>
      </c>
      <c r="AA113" s="136">
        <f>IF(AND(AA6&gt;='Assumptions &amp; Inputs'!$D$18,'Assumptions &amp; Inputs'!$D$25&gt;=AA6),('Sources &amp; Uses'!$D$37/('Assumptions &amp; Inputs'!$D$24+1)),0)</f>
        <v>0</v>
      </c>
      <c r="AB113" s="136">
        <f>IF(AND(AB6&gt;='Assumptions &amp; Inputs'!$D$18,'Assumptions &amp; Inputs'!$D$25&gt;=AB6),('Sources &amp; Uses'!$D$37/('Assumptions &amp; Inputs'!$D$24+1)),0)</f>
        <v>0</v>
      </c>
      <c r="AC113" s="136">
        <f>IF(AND(AC6&gt;='Assumptions &amp; Inputs'!$D$18,'Assumptions &amp; Inputs'!$D$25&gt;=AC6),('Sources &amp; Uses'!$D$37/('Assumptions &amp; Inputs'!$D$24+1)),0)</f>
        <v>0</v>
      </c>
      <c r="AD113" s="136">
        <f>IF(AND(AD6&gt;='Assumptions &amp; Inputs'!$D$18,'Assumptions &amp; Inputs'!$D$25&gt;=AD6),('Sources &amp; Uses'!$D$37/('Assumptions &amp; Inputs'!$D$24+1)),0)</f>
        <v>0</v>
      </c>
      <c r="AE113" s="136">
        <f>IF(AND(AE6&gt;='Assumptions &amp; Inputs'!$D$18,'Assumptions &amp; Inputs'!$D$25&gt;=AE6),('Sources &amp; Uses'!$D$37/('Assumptions &amp; Inputs'!$D$24+1)),0)</f>
        <v>0</v>
      </c>
      <c r="AF113" s="136">
        <f>IF(AND(AF6&gt;='Assumptions &amp; Inputs'!$D$18,'Assumptions &amp; Inputs'!$D$25&gt;=AF6),('Sources &amp; Uses'!$D$37/('Assumptions &amp; Inputs'!$D$24+1)),0)</f>
        <v>0</v>
      </c>
      <c r="AG113" s="136">
        <f>IF(AND(AG6&gt;='Assumptions &amp; Inputs'!$D$18,'Assumptions &amp; Inputs'!$D$25&gt;=AG6),('Sources &amp; Uses'!$D$37/('Assumptions &amp; Inputs'!$D$24+1)),0)</f>
        <v>0</v>
      </c>
      <c r="AH113" s="136">
        <f>IF(AND(AH6&gt;='Assumptions &amp; Inputs'!$D$18,'Assumptions &amp; Inputs'!$D$25&gt;=AH6),('Sources &amp; Uses'!$D$37/('Assumptions &amp; Inputs'!$D$24+1)),0)</f>
        <v>0</v>
      </c>
      <c r="AI113" s="136">
        <f>IF(AND(AI6&gt;='Assumptions &amp; Inputs'!$D$18,'Assumptions &amp; Inputs'!$D$25&gt;=AI6),('Sources &amp; Uses'!$D$37/('Assumptions &amp; Inputs'!$D$24+1)),0)</f>
        <v>0</v>
      </c>
      <c r="AJ113" s="136">
        <f>IF(AND(AJ6&gt;='Assumptions &amp; Inputs'!$D$18,'Assumptions &amp; Inputs'!$D$25&gt;=AJ6),('Sources &amp; Uses'!$D$37/('Assumptions &amp; Inputs'!$D$24+1)),0)</f>
        <v>0</v>
      </c>
      <c r="AK113" s="136">
        <f>IF(AND(AK6&gt;='Assumptions &amp; Inputs'!$D$18,'Assumptions &amp; Inputs'!$D$25&gt;=AK6),('Sources &amp; Uses'!$D$37/('Assumptions &amp; Inputs'!$D$24+1)),0)</f>
        <v>0</v>
      </c>
      <c r="AL113" s="136">
        <f>IF(AND(AL6&gt;='Assumptions &amp; Inputs'!$D$18,'Assumptions &amp; Inputs'!$D$25&gt;=AL6),('Sources &amp; Uses'!$D$37/('Assumptions &amp; Inputs'!$D$24+1)),0)</f>
        <v>0</v>
      </c>
      <c r="AM113" s="136">
        <f>IF(AND(AM6&gt;='Assumptions &amp; Inputs'!$D$18,'Assumptions &amp; Inputs'!$D$25&gt;=AM6),('Sources &amp; Uses'!$D$37/('Assumptions &amp; Inputs'!$D$24+1)),0)</f>
        <v>0</v>
      </c>
      <c r="AN113" s="136">
        <f>IF(AND(AN6&gt;='Assumptions &amp; Inputs'!$D$18,'Assumptions &amp; Inputs'!$D$25&gt;=AN6),('Sources &amp; Uses'!$D$37/('Assumptions &amp; Inputs'!$D$24+1)),0)</f>
        <v>0</v>
      </c>
      <c r="AO113" s="136">
        <f>IF(AND(AO6&gt;='Assumptions &amp; Inputs'!$D$18,'Assumptions &amp; Inputs'!$D$25&gt;=AO6),('Sources &amp; Uses'!$D$37/('Assumptions &amp; Inputs'!$D$24+1)),0)</f>
        <v>0</v>
      </c>
      <c r="AP113" s="136">
        <f>IF(AND(AP6&gt;='Assumptions &amp; Inputs'!$D$18,'Assumptions &amp; Inputs'!$D$25&gt;=AP6),('Sources &amp; Uses'!$D$37/('Assumptions &amp; Inputs'!$D$24+1)),0)</f>
        <v>0</v>
      </c>
      <c r="AQ113" s="136">
        <f>IF(AND(AQ6&gt;='Assumptions &amp; Inputs'!$D$18,'Assumptions &amp; Inputs'!$D$25&gt;=AQ6),('Sources &amp; Uses'!$D$37/('Assumptions &amp; Inputs'!$D$24+1)),0)</f>
        <v>0</v>
      </c>
      <c r="AR113" s="136">
        <f>IF(AND(AR6&gt;='Assumptions &amp; Inputs'!$D$18,'Assumptions &amp; Inputs'!$D$25&gt;=AR6),('Sources &amp; Uses'!$D$37/('Assumptions &amp; Inputs'!$D$24+1)),0)</f>
        <v>0</v>
      </c>
      <c r="AS113" s="136">
        <f>IF(AND(AS6&gt;='Assumptions &amp; Inputs'!$D$18,'Assumptions &amp; Inputs'!$D$25&gt;=AS6),('Sources &amp; Uses'!$D$37/('Assumptions &amp; Inputs'!$D$24+1)),0)</f>
        <v>0</v>
      </c>
      <c r="AT113" s="136">
        <f>IF(AND(AT6&gt;='Assumptions &amp; Inputs'!$D$18,'Assumptions &amp; Inputs'!$D$25&gt;=AT6),('Sources &amp; Uses'!$D$37/('Assumptions &amp; Inputs'!$D$24+1)),0)</f>
        <v>0</v>
      </c>
      <c r="AU113" s="136">
        <f>IF(AND(AU6&gt;='Assumptions &amp; Inputs'!$D$18,'Assumptions &amp; Inputs'!$D$25&gt;=AU6),('Sources &amp; Uses'!$D$37/('Assumptions &amp; Inputs'!$D$24+1)),0)</f>
        <v>0</v>
      </c>
      <c r="AV113" s="136">
        <f>IF(AND(AV6&gt;='Assumptions &amp; Inputs'!$D$18,'Assumptions &amp; Inputs'!$D$25&gt;=AV6),('Sources &amp; Uses'!$D$37/('Assumptions &amp; Inputs'!$D$24+1)),0)</f>
        <v>0</v>
      </c>
      <c r="AW113" s="136">
        <f>IF(AND(AW6&gt;='Assumptions &amp; Inputs'!$D$18,'Assumptions &amp; Inputs'!$D$25&gt;=AW6),('Sources &amp; Uses'!$D$37/('Assumptions &amp; Inputs'!$D$24+1)),0)</f>
        <v>0</v>
      </c>
      <c r="AX113" s="136">
        <f>IF(AND(AX6&gt;='Assumptions &amp; Inputs'!$D$18,'Assumptions &amp; Inputs'!$D$25&gt;=AX6),('Sources &amp; Uses'!$D$37/('Assumptions &amp; Inputs'!$D$24+1)),0)</f>
        <v>0</v>
      </c>
      <c r="AY113" s="136">
        <f>IF(AND(AY6&gt;='Assumptions &amp; Inputs'!$D$18,'Assumptions &amp; Inputs'!$D$25&gt;=AY6),('Sources &amp; Uses'!$D$37/('Assumptions &amp; Inputs'!$D$24+1)),0)</f>
        <v>0</v>
      </c>
      <c r="AZ113" s="136">
        <f>IF(AND(AZ6&gt;='Assumptions &amp; Inputs'!$D$18,'Assumptions &amp; Inputs'!$D$25&gt;=AZ6),('Sources &amp; Uses'!$D$37/('Assumptions &amp; Inputs'!$D$24+1)),0)</f>
        <v>0</v>
      </c>
      <c r="BA113" s="136">
        <f>IF(AND(BA6&gt;='Assumptions &amp; Inputs'!$D$18,'Assumptions &amp; Inputs'!$D$25&gt;=BA6),('Sources &amp; Uses'!$D$37/('Assumptions &amp; Inputs'!$D$24+1)),0)</f>
        <v>0</v>
      </c>
      <c r="BB113" s="136">
        <f>IF(AND(BB6&gt;='Assumptions &amp; Inputs'!$D$18,'Assumptions &amp; Inputs'!$D$25&gt;=BB6),('Sources &amp; Uses'!$D$37/('Assumptions &amp; Inputs'!$D$24+1)),0)</f>
        <v>0</v>
      </c>
      <c r="BC113" s="136">
        <f>IF(AND(BC6&gt;='Assumptions &amp; Inputs'!$D$18,'Assumptions &amp; Inputs'!$D$25&gt;=BC6),('Sources &amp; Uses'!$D$37/('Assumptions &amp; Inputs'!$D$24+1)),0)</f>
        <v>0</v>
      </c>
      <c r="BD113" s="136">
        <f>IF(AND(BD6&gt;='Assumptions &amp; Inputs'!$D$18,'Assumptions &amp; Inputs'!$D$25&gt;=BD6),('Sources &amp; Uses'!$D$37/('Assumptions &amp; Inputs'!$D$24+1)),0)</f>
        <v>0</v>
      </c>
      <c r="BE113" s="136">
        <f>IF(AND(BE6&gt;='Assumptions &amp; Inputs'!$D$18,'Assumptions &amp; Inputs'!$D$25&gt;=BE6),('Sources &amp; Uses'!$D$37/('Assumptions &amp; Inputs'!$D$24+1)),0)</f>
        <v>0</v>
      </c>
      <c r="BF113" s="136">
        <f>IF(AND(BF6&gt;='Assumptions &amp; Inputs'!$D$18,'Assumptions &amp; Inputs'!$D$25&gt;=BF6),('Sources &amp; Uses'!$D$37/('Assumptions &amp; Inputs'!$D$24+1)),0)</f>
        <v>0</v>
      </c>
      <c r="BG113" s="136">
        <f>IF(AND(BG6&gt;='Assumptions &amp; Inputs'!$D$18,'Assumptions &amp; Inputs'!$D$25&gt;=BG6),('Sources &amp; Uses'!$D$37/('Assumptions &amp; Inputs'!$D$24+1)),0)</f>
        <v>0</v>
      </c>
      <c r="BH113" s="136">
        <f>IF(AND(BH6&gt;='Assumptions &amp; Inputs'!$D$18,'Assumptions &amp; Inputs'!$D$25&gt;=BH6),('Sources &amp; Uses'!$D$37/('Assumptions &amp; Inputs'!$D$24+1)),0)</f>
        <v>0</v>
      </c>
      <c r="BI113" s="136">
        <f>IF(AND(BI6&gt;='Assumptions &amp; Inputs'!$D$18,'Assumptions &amp; Inputs'!$D$25&gt;=BI6),('Sources &amp; Uses'!$D$37/('Assumptions &amp; Inputs'!$D$24+1)),0)</f>
        <v>0</v>
      </c>
      <c r="BJ113" s="136">
        <f>IF(AND(BJ6&gt;='Assumptions &amp; Inputs'!$D$18,'Assumptions &amp; Inputs'!$D$25&gt;=BJ6),('Sources &amp; Uses'!$D$37/('Assumptions &amp; Inputs'!$D$24+1)),0)</f>
        <v>0</v>
      </c>
      <c r="BK113" s="136">
        <f>IF(AND(BK6&gt;='Assumptions &amp; Inputs'!$D$18,'Assumptions &amp; Inputs'!$D$25&gt;=BK6),('Sources &amp; Uses'!$D$37/('Assumptions &amp; Inputs'!$D$24+1)),0)</f>
        <v>0</v>
      </c>
      <c r="BL113" s="136">
        <f>IF(AND(BL6&gt;='Assumptions &amp; Inputs'!$D$18,'Assumptions &amp; Inputs'!$D$25&gt;=BL6),('Sources &amp; Uses'!$D$37/('Assumptions &amp; Inputs'!$D$24+1)),0)</f>
        <v>0</v>
      </c>
      <c r="BM113" s="136">
        <f>IF(AND(BM6&gt;='Assumptions &amp; Inputs'!$D$18,'Assumptions &amp; Inputs'!$D$25&gt;=BM6),('Sources &amp; Uses'!$D$37/('Assumptions &amp; Inputs'!$D$24+1)),0)</f>
        <v>0</v>
      </c>
      <c r="BN113" s="136">
        <f>IF(AND(BN6&gt;='Assumptions &amp; Inputs'!$D$18,'Assumptions &amp; Inputs'!$D$25&gt;=BN6),('Sources &amp; Uses'!$D$37/('Assumptions &amp; Inputs'!$D$24+1)),0)</f>
        <v>0</v>
      </c>
      <c r="BO113" s="136">
        <f>IF(AND(BO6&gt;='Assumptions &amp; Inputs'!$D$18,'Assumptions &amp; Inputs'!$D$25&gt;=BO6),('Sources &amp; Uses'!$D$37/('Assumptions &amp; Inputs'!$D$24+1)),0)</f>
        <v>0</v>
      </c>
      <c r="BP113" s="136">
        <f>IF(AND(BP6&gt;='Assumptions &amp; Inputs'!$D$18,'Assumptions &amp; Inputs'!$D$25&gt;=BP6),('Sources &amp; Uses'!$D$37/('Assumptions &amp; Inputs'!$D$24+1)),0)</f>
        <v>0</v>
      </c>
      <c r="BQ113" s="136">
        <f>IF(AND(BQ6&gt;='Assumptions &amp; Inputs'!$D$18,'Assumptions &amp; Inputs'!$D$25&gt;=BQ6),('Sources &amp; Uses'!$D$37/('Assumptions &amp; Inputs'!$D$24+1)),0)</f>
        <v>0</v>
      </c>
      <c r="BR113" s="136">
        <f>IF(AND(BR6&gt;='Assumptions &amp; Inputs'!$D$18,'Assumptions &amp; Inputs'!$D$25&gt;=BR6),('Sources &amp; Uses'!$D$37/('Assumptions &amp; Inputs'!$D$24+1)),0)</f>
        <v>0</v>
      </c>
      <c r="BS113" s="136">
        <f>IF(AND(BS6&gt;='Assumptions &amp; Inputs'!$D$18,'Assumptions &amp; Inputs'!$D$25&gt;=BS6),('Sources &amp; Uses'!$D$37/('Assumptions &amp; Inputs'!$D$24+1)),0)</f>
        <v>0</v>
      </c>
      <c r="BT113" s="136">
        <f>IF(AND(BT6&gt;='Assumptions &amp; Inputs'!$D$18,'Assumptions &amp; Inputs'!$D$25&gt;=BT6),('Sources &amp; Uses'!$D$37/('Assumptions &amp; Inputs'!$D$24+1)),0)</f>
        <v>0</v>
      </c>
      <c r="BU113" s="136">
        <f>IF(AND(BU6&gt;='Assumptions &amp; Inputs'!$D$18,'Assumptions &amp; Inputs'!$D$25&gt;=BU6),('Sources &amp; Uses'!$D$37/('Assumptions &amp; Inputs'!$D$24+1)),0)</f>
        <v>0</v>
      </c>
      <c r="BV113" s="136">
        <f>IF(AND(BV6&gt;='Assumptions &amp; Inputs'!$D$18,'Assumptions &amp; Inputs'!$D$25&gt;=BV6),('Sources &amp; Uses'!$D$37/('Assumptions &amp; Inputs'!$D$24+1)),0)</f>
        <v>0</v>
      </c>
      <c r="BW113" s="136">
        <f>IF(AND(BW6&gt;='Assumptions &amp; Inputs'!$D$18,'Assumptions &amp; Inputs'!$D$25&gt;=BW6),('Sources &amp; Uses'!$D$37/('Assumptions &amp; Inputs'!$D$24+1)),0)</f>
        <v>0</v>
      </c>
      <c r="BX113" s="136">
        <f>IF(AND(BX6&gt;='Assumptions &amp; Inputs'!$D$18,'Assumptions &amp; Inputs'!$D$25&gt;=BX6),('Sources &amp; Uses'!$D$37/('Assumptions &amp; Inputs'!$D$24+1)),0)</f>
        <v>0</v>
      </c>
      <c r="BY113" s="136">
        <f>IF(AND(BY6&gt;='Assumptions &amp; Inputs'!$D$18,'Assumptions &amp; Inputs'!$D$25&gt;=BY6),('Sources &amp; Uses'!$D$37/('Assumptions &amp; Inputs'!$D$24+1)),0)</f>
        <v>0</v>
      </c>
      <c r="BZ113" s="136">
        <f>IF(AND(BZ6&gt;='Assumptions &amp; Inputs'!$D$18,'Assumptions &amp; Inputs'!$D$25&gt;=BZ6),('Sources &amp; Uses'!$D$37/('Assumptions &amp; Inputs'!$D$24+1)),0)</f>
        <v>0</v>
      </c>
      <c r="CA113" s="136">
        <f>IF(AND(CA6&gt;='Assumptions &amp; Inputs'!$D$18,'Assumptions &amp; Inputs'!$D$25&gt;=CA6),('Sources &amp; Uses'!$D$37/('Assumptions &amp; Inputs'!$D$24+1)),0)</f>
        <v>0</v>
      </c>
    </row>
    <row r="114" spans="2:79">
      <c r="B114" s="20" t="s">
        <v>38</v>
      </c>
      <c r="C114" s="136">
        <f>'Sources &amp; Uses'!D31</f>
        <v>5100000</v>
      </c>
      <c r="D114" s="136"/>
      <c r="E114" s="263">
        <f t="shared" si="161"/>
        <v>5100000</v>
      </c>
      <c r="G114" s="136">
        <f>IF(AND(G6&gt;='Assumptions &amp; Inputs'!$D$18,'Assumptions &amp; Inputs'!$D$20&gt;=G6),'Sources &amp; Uses'!$D$31/'Assumptions &amp; Inputs'!$D$19,0)</f>
        <v>0</v>
      </c>
      <c r="H114" s="136">
        <f>IF(AND(H6&gt;='Assumptions &amp; Inputs'!$D$18,'Assumptions &amp; Inputs'!$D$20&gt;=H6),'Sources &amp; Uses'!$D$31/'Assumptions &amp; Inputs'!$D$19,0)</f>
        <v>637500</v>
      </c>
      <c r="I114" s="136">
        <f>IF(AND(I6&gt;='Assumptions &amp; Inputs'!$D$18,'Assumptions &amp; Inputs'!$D$20&gt;=I6),'Sources &amp; Uses'!$D$31/'Assumptions &amp; Inputs'!$D$19,0)</f>
        <v>637500</v>
      </c>
      <c r="J114" s="136">
        <f>IF(AND(J6&gt;='Assumptions &amp; Inputs'!$D$18,'Assumptions &amp; Inputs'!$D$20&gt;=J6),'Sources &amp; Uses'!$D$31/'Assumptions &amp; Inputs'!$D$19,0)</f>
        <v>637500</v>
      </c>
      <c r="K114" s="136">
        <f>IF(AND(K6&gt;='Assumptions &amp; Inputs'!$D$18,'Assumptions &amp; Inputs'!$D$20&gt;=K6),'Sources &amp; Uses'!$D$31/'Assumptions &amp; Inputs'!$D$19,0)</f>
        <v>637500</v>
      </c>
      <c r="L114" s="136">
        <f>IF(AND(L6&gt;='Assumptions &amp; Inputs'!$D$18,'Assumptions &amp; Inputs'!$D$20&gt;=L6),'Sources &amp; Uses'!$D$31/'Assumptions &amp; Inputs'!$D$19,0)</f>
        <v>637500</v>
      </c>
      <c r="M114" s="136">
        <f>IF(AND(M6&gt;='Assumptions &amp; Inputs'!$D$18,'Assumptions &amp; Inputs'!$D$20&gt;=M6),'Sources &amp; Uses'!$D$31/'Assumptions &amp; Inputs'!$D$19,0)</f>
        <v>637500</v>
      </c>
      <c r="N114" s="136">
        <f>IF(AND(N6&gt;='Assumptions &amp; Inputs'!$D$18,'Assumptions &amp; Inputs'!$D$20&gt;=N6),'Sources &amp; Uses'!$D$31/'Assumptions &amp; Inputs'!$D$19,0)</f>
        <v>637500</v>
      </c>
      <c r="O114" s="136">
        <f>IF(AND(O6&gt;='Assumptions &amp; Inputs'!$D$18,'Assumptions &amp; Inputs'!$D$20&gt;=O6),'Sources &amp; Uses'!$D$31/'Assumptions &amp; Inputs'!$D$19,0)</f>
        <v>637500</v>
      </c>
      <c r="P114" s="136">
        <f>IF(AND(P6&gt;='Assumptions &amp; Inputs'!$D$18,'Assumptions &amp; Inputs'!$D$20&gt;=P6),('Sources &amp; Uses'!$D$31/('Assumptions &amp; Inputs'!$D$19+1)),0)</f>
        <v>0</v>
      </c>
      <c r="Q114" s="136">
        <f>IF(AND(Q6&gt;='Assumptions &amp; Inputs'!$D$18,'Assumptions &amp; Inputs'!$D$20&gt;=Q6),('Sources &amp; Uses'!$D$31/('Assumptions &amp; Inputs'!$D$19+1)),0)</f>
        <v>0</v>
      </c>
      <c r="R114" s="136">
        <f>IF(AND(R6&gt;='Assumptions &amp; Inputs'!$D$18,'Assumptions &amp; Inputs'!$D$20&gt;=R6),('Sources &amp; Uses'!$D$31/('Assumptions &amp; Inputs'!$D$19+1)),0)</f>
        <v>0</v>
      </c>
      <c r="S114" s="136">
        <f>IF(AND(S6&gt;='Assumptions &amp; Inputs'!$D$18,'Assumptions &amp; Inputs'!$D$20&gt;=S6),('Sources &amp; Uses'!$D$31/('Assumptions &amp; Inputs'!$D$19+1)),0)</f>
        <v>0</v>
      </c>
      <c r="T114" s="136">
        <f>IF(AND(T6&gt;='Assumptions &amp; Inputs'!$D$18,'Assumptions &amp; Inputs'!$D$20&gt;=T6),('Sources &amp; Uses'!$D$31/('Assumptions &amp; Inputs'!$D$19+1)),0)</f>
        <v>0</v>
      </c>
      <c r="U114" s="136">
        <f>IF(AND(U6&gt;='Assumptions &amp; Inputs'!$D$18,'Assumptions &amp; Inputs'!$D$20&gt;=U6),('Sources &amp; Uses'!$D$31/('Assumptions &amp; Inputs'!$D$19+1)),0)</f>
        <v>0</v>
      </c>
      <c r="V114" s="136">
        <f>IF(AND(V6&gt;='Assumptions &amp; Inputs'!$D$18,'Assumptions &amp; Inputs'!$D$20&gt;=V6),('Sources &amp; Uses'!$D$31/('Assumptions &amp; Inputs'!$D$19+1)),0)</f>
        <v>0</v>
      </c>
      <c r="W114" s="136">
        <f>IF(AND(W6&gt;='Assumptions &amp; Inputs'!$D$18,'Assumptions &amp; Inputs'!$D$20&gt;=W6),('Sources &amp; Uses'!$D$31/('Assumptions &amp; Inputs'!$D$19+1)),0)</f>
        <v>0</v>
      </c>
      <c r="X114" s="136">
        <f>IF(AND(X6&gt;='Assumptions &amp; Inputs'!$D$18,'Assumptions &amp; Inputs'!$D$20&gt;=X6),('Sources &amp; Uses'!$D$31/('Assumptions &amp; Inputs'!$D$19+1)),0)</f>
        <v>0</v>
      </c>
      <c r="Y114" s="136">
        <f>IF(AND(Y6&gt;='Assumptions &amp; Inputs'!$D$18,'Assumptions &amp; Inputs'!$D$20&gt;=Y6),('Sources &amp; Uses'!$D$31/('Assumptions &amp; Inputs'!$D$19+1)),0)</f>
        <v>0</v>
      </c>
      <c r="Z114" s="136">
        <f>IF(AND(Z6&gt;='Assumptions &amp; Inputs'!$D$18,'Assumptions &amp; Inputs'!$D$20&gt;=Z6),('Sources &amp; Uses'!$D$31/('Assumptions &amp; Inputs'!$D$19+1)),0)</f>
        <v>0</v>
      </c>
      <c r="AA114" s="136">
        <f>IF(AND(AA6&gt;='Assumptions &amp; Inputs'!$D$18,'Assumptions &amp; Inputs'!$D$20&gt;=AA6),('Sources &amp; Uses'!$D$31/('Assumptions &amp; Inputs'!$D$19+1)),0)</f>
        <v>0</v>
      </c>
      <c r="AB114" s="136">
        <f>IF(AND(AB6&gt;='Assumptions &amp; Inputs'!$D$18,'Assumptions &amp; Inputs'!$D$20&gt;=AB6),('Sources &amp; Uses'!$D$31/('Assumptions &amp; Inputs'!$D$19+1)),0)</f>
        <v>0</v>
      </c>
      <c r="AC114" s="136">
        <f>IF(AND(AC6&gt;='Assumptions &amp; Inputs'!$D$18,'Assumptions &amp; Inputs'!$D$20&gt;=AC6),('Sources &amp; Uses'!$D$31/('Assumptions &amp; Inputs'!$D$19+1)),0)</f>
        <v>0</v>
      </c>
      <c r="AD114" s="136">
        <f>IF(AND(AD6&gt;='Assumptions &amp; Inputs'!$D$18,'Assumptions &amp; Inputs'!$D$20&gt;=AD6),('Sources &amp; Uses'!$D$31/('Assumptions &amp; Inputs'!$D$19+1)),0)</f>
        <v>0</v>
      </c>
      <c r="AE114" s="136">
        <f>IF(AND(AE6&gt;='Assumptions &amp; Inputs'!$D$18,'Assumptions &amp; Inputs'!$D$20&gt;=AE6),('Sources &amp; Uses'!$D$31/('Assumptions &amp; Inputs'!$D$19+1)),0)</f>
        <v>0</v>
      </c>
      <c r="AF114" s="136">
        <f>IF(AND(AF6&gt;='Assumptions &amp; Inputs'!$D$18,'Assumptions &amp; Inputs'!$D$20&gt;=AF6),('Sources &amp; Uses'!$D$31/('Assumptions &amp; Inputs'!$D$19+1)),0)</f>
        <v>0</v>
      </c>
      <c r="AG114" s="136">
        <f>IF(AND(AG6&gt;='Assumptions &amp; Inputs'!$D$18,'Assumptions &amp; Inputs'!$D$20&gt;=AG6),('Sources &amp; Uses'!$D$31/('Assumptions &amp; Inputs'!$D$19+1)),0)</f>
        <v>0</v>
      </c>
      <c r="AH114" s="136">
        <f>IF(AND(AH6&gt;='Assumptions &amp; Inputs'!$D$18,'Assumptions &amp; Inputs'!$D$20&gt;=AH6),('Sources &amp; Uses'!$D$31/('Assumptions &amp; Inputs'!$D$19+1)),0)</f>
        <v>0</v>
      </c>
      <c r="AI114" s="136">
        <f>IF(AND(AI6&gt;='Assumptions &amp; Inputs'!$D$18,'Assumptions &amp; Inputs'!$D$20&gt;=AI6),('Sources &amp; Uses'!$D$31/('Assumptions &amp; Inputs'!$D$19+1)),0)</f>
        <v>0</v>
      </c>
      <c r="AJ114" s="136">
        <f>IF(AND(AJ6&gt;='Assumptions &amp; Inputs'!$D$18,'Assumptions &amp; Inputs'!$D$20&gt;=AJ6),('Sources &amp; Uses'!$D$31/('Assumptions &amp; Inputs'!$D$19+1)),0)</f>
        <v>0</v>
      </c>
      <c r="AK114" s="136">
        <f>IF(AND(AK6&gt;='Assumptions &amp; Inputs'!$D$18,'Assumptions &amp; Inputs'!$D$20&gt;=AK6),('Sources &amp; Uses'!$D$31/('Assumptions &amp; Inputs'!$D$19+1)),0)</f>
        <v>0</v>
      </c>
      <c r="AL114" s="136">
        <f>IF(AND(AL6&gt;='Assumptions &amp; Inputs'!$D$18,'Assumptions &amp; Inputs'!$D$20&gt;=AL6),('Sources &amp; Uses'!$D$31/('Assumptions &amp; Inputs'!$D$19+1)),0)</f>
        <v>0</v>
      </c>
      <c r="AM114" s="136">
        <f>IF(AND(AM6&gt;='Assumptions &amp; Inputs'!$D$18,'Assumptions &amp; Inputs'!$D$20&gt;=AM6),('Sources &amp; Uses'!$D$31/('Assumptions &amp; Inputs'!$D$19+1)),0)</f>
        <v>0</v>
      </c>
      <c r="AN114" s="136">
        <f>IF(AND(AN6&gt;='Assumptions &amp; Inputs'!$D$18,'Assumptions &amp; Inputs'!$D$20&gt;=AN6),('Sources &amp; Uses'!$D$31/('Assumptions &amp; Inputs'!$D$19+1)),0)</f>
        <v>0</v>
      </c>
      <c r="AO114" s="136">
        <f>IF(AND(AO6&gt;='Assumptions &amp; Inputs'!$D$18,'Assumptions &amp; Inputs'!$D$20&gt;=AO6),('Sources &amp; Uses'!$D$31/('Assumptions &amp; Inputs'!$D$19+1)),0)</f>
        <v>0</v>
      </c>
      <c r="AP114" s="136">
        <f>IF(AND(AP6&gt;='Assumptions &amp; Inputs'!$D$18,'Assumptions &amp; Inputs'!$D$20&gt;=AP6),('Sources &amp; Uses'!$D$31/('Assumptions &amp; Inputs'!$D$19+1)),0)</f>
        <v>0</v>
      </c>
      <c r="AQ114" s="136">
        <f>IF(AND(AQ6&gt;='Assumptions &amp; Inputs'!$D$18,'Assumptions &amp; Inputs'!$D$20&gt;=AQ6),('Sources &amp; Uses'!$D$31/('Assumptions &amp; Inputs'!$D$19+1)),0)</f>
        <v>0</v>
      </c>
      <c r="AR114" s="136">
        <f>IF(AND(AR6&gt;='Assumptions &amp; Inputs'!$D$18,'Assumptions &amp; Inputs'!$D$20&gt;=AR6),('Sources &amp; Uses'!$D$31/('Assumptions &amp; Inputs'!$D$19+1)),0)</f>
        <v>0</v>
      </c>
      <c r="AS114" s="136">
        <f>IF(AND(AS6&gt;='Assumptions &amp; Inputs'!$D$18,'Assumptions &amp; Inputs'!$D$20&gt;=AS6),('Sources &amp; Uses'!$D$31/('Assumptions &amp; Inputs'!$D$19+1)),0)</f>
        <v>0</v>
      </c>
      <c r="AT114" s="136">
        <f>IF(AND(AT6&gt;='Assumptions &amp; Inputs'!$D$18,'Assumptions &amp; Inputs'!$D$20&gt;=AT6),('Sources &amp; Uses'!$D$31/('Assumptions &amp; Inputs'!$D$19+1)),0)</f>
        <v>0</v>
      </c>
      <c r="AU114" s="136">
        <f>IF(AND(AU6&gt;='Assumptions &amp; Inputs'!$D$18,'Assumptions &amp; Inputs'!$D$20&gt;=AU6),('Sources &amp; Uses'!$D$31/('Assumptions &amp; Inputs'!$D$19+1)),0)</f>
        <v>0</v>
      </c>
      <c r="AV114" s="136">
        <f>IF(AND(AV6&gt;='Assumptions &amp; Inputs'!$D$18,'Assumptions &amp; Inputs'!$D$20&gt;=AV6),('Sources &amp; Uses'!$D$31/('Assumptions &amp; Inputs'!$D$19+1)),0)</f>
        <v>0</v>
      </c>
      <c r="AW114" s="136">
        <f>IF(AND(AW6&gt;='Assumptions &amp; Inputs'!$D$18,'Assumptions &amp; Inputs'!$D$20&gt;=AW6),('Sources &amp; Uses'!$D$31/('Assumptions &amp; Inputs'!$D$19+1)),0)</f>
        <v>0</v>
      </c>
      <c r="AX114" s="136">
        <f>IF(AND(AX6&gt;='Assumptions &amp; Inputs'!$D$18,'Assumptions &amp; Inputs'!$D$20&gt;=AX6),('Sources &amp; Uses'!$D$31/('Assumptions &amp; Inputs'!$D$19+1)),0)</f>
        <v>0</v>
      </c>
      <c r="AY114" s="136">
        <f>IF(AND(AY6&gt;='Assumptions &amp; Inputs'!$D$18,'Assumptions &amp; Inputs'!$D$20&gt;=AY6),('Sources &amp; Uses'!$D$31/('Assumptions &amp; Inputs'!$D$19+1)),0)</f>
        <v>0</v>
      </c>
      <c r="AZ114" s="136">
        <f>IF(AND(AZ6&gt;='Assumptions &amp; Inputs'!$D$18,'Assumptions &amp; Inputs'!$D$20&gt;=AZ6),('Sources &amp; Uses'!$D$31/('Assumptions &amp; Inputs'!$D$19+1)),0)</f>
        <v>0</v>
      </c>
      <c r="BA114" s="136">
        <f>IF(AND(BA6&gt;='Assumptions &amp; Inputs'!$D$18,'Assumptions &amp; Inputs'!$D$20&gt;=BA6),('Sources &amp; Uses'!$D$31/('Assumptions &amp; Inputs'!$D$19+1)),0)</f>
        <v>0</v>
      </c>
      <c r="BB114" s="136">
        <f>IF(AND(BB6&gt;='Assumptions &amp; Inputs'!$D$18,'Assumptions &amp; Inputs'!$D$20&gt;=BB6),('Sources &amp; Uses'!$D$31/('Assumptions &amp; Inputs'!$D$19+1)),0)</f>
        <v>0</v>
      </c>
      <c r="BC114" s="136">
        <f>IF(AND(BC6&gt;='Assumptions &amp; Inputs'!$D$18,'Assumptions &amp; Inputs'!$D$20&gt;=BC6),('Sources &amp; Uses'!$D$31/('Assumptions &amp; Inputs'!$D$19+1)),0)</f>
        <v>0</v>
      </c>
      <c r="BD114" s="136">
        <f>IF(AND(BD6&gt;='Assumptions &amp; Inputs'!$D$18,'Assumptions &amp; Inputs'!$D$20&gt;=BD6),('Sources &amp; Uses'!$D$31/('Assumptions &amp; Inputs'!$D$19+1)),0)</f>
        <v>0</v>
      </c>
      <c r="BE114" s="136">
        <f>IF(AND(BE6&gt;='Assumptions &amp; Inputs'!$D$18,'Assumptions &amp; Inputs'!$D$20&gt;=BE6),('Sources &amp; Uses'!$D$31/('Assumptions &amp; Inputs'!$D$19+1)),0)</f>
        <v>0</v>
      </c>
      <c r="BF114" s="136">
        <f>IF(AND(BF6&gt;='Assumptions &amp; Inputs'!$D$18,'Assumptions &amp; Inputs'!$D$20&gt;=BF6),('Sources &amp; Uses'!$D$31/('Assumptions &amp; Inputs'!$D$19+1)),0)</f>
        <v>0</v>
      </c>
      <c r="BG114" s="136">
        <f>IF(AND(BG6&gt;='Assumptions &amp; Inputs'!$D$18,'Assumptions &amp; Inputs'!$D$20&gt;=BG6),('Sources &amp; Uses'!$D$31/('Assumptions &amp; Inputs'!$D$19+1)),0)</f>
        <v>0</v>
      </c>
      <c r="BH114" s="136">
        <f>IF(AND(BH6&gt;='Assumptions &amp; Inputs'!$D$18,'Assumptions &amp; Inputs'!$D$20&gt;=BH6),('Sources &amp; Uses'!$D$31/('Assumptions &amp; Inputs'!$D$19+1)),0)</f>
        <v>0</v>
      </c>
      <c r="BI114" s="136">
        <f>IF(AND(BI6&gt;='Assumptions &amp; Inputs'!$D$18,'Assumptions &amp; Inputs'!$D$20&gt;=BI6),('Sources &amp; Uses'!$D$31/('Assumptions &amp; Inputs'!$D$19+1)),0)</f>
        <v>0</v>
      </c>
      <c r="BJ114" s="136">
        <f>IF(AND(BJ6&gt;='Assumptions &amp; Inputs'!$D$18,'Assumptions &amp; Inputs'!$D$20&gt;=BJ6),('Sources &amp; Uses'!$D$31/('Assumptions &amp; Inputs'!$D$19+1)),0)</f>
        <v>0</v>
      </c>
      <c r="BK114" s="136">
        <f>IF(AND(BK6&gt;='Assumptions &amp; Inputs'!$D$18,'Assumptions &amp; Inputs'!$D$20&gt;=BK6),('Sources &amp; Uses'!$D$31/('Assumptions &amp; Inputs'!$D$19+1)),0)</f>
        <v>0</v>
      </c>
      <c r="BL114" s="136">
        <f>IF(AND(BL6&gt;='Assumptions &amp; Inputs'!$D$18,'Assumptions &amp; Inputs'!$D$20&gt;=BL6),('Sources &amp; Uses'!$D$31/('Assumptions &amp; Inputs'!$D$19+1)),0)</f>
        <v>0</v>
      </c>
      <c r="BM114" s="136">
        <f>IF(AND(BM6&gt;='Assumptions &amp; Inputs'!$D$18,'Assumptions &amp; Inputs'!$D$20&gt;=BM6),('Sources &amp; Uses'!$D$31/('Assumptions &amp; Inputs'!$D$19+1)),0)</f>
        <v>0</v>
      </c>
      <c r="BN114" s="136">
        <f>IF(AND(BN6&gt;='Assumptions &amp; Inputs'!$D$18,'Assumptions &amp; Inputs'!$D$20&gt;=BN6),('Sources &amp; Uses'!$D$31/('Assumptions &amp; Inputs'!$D$19+1)),0)</f>
        <v>0</v>
      </c>
      <c r="BO114" s="136">
        <f>IF(AND(BO6&gt;='Assumptions &amp; Inputs'!$D$18,'Assumptions &amp; Inputs'!$D$20&gt;=BO6),('Sources &amp; Uses'!$D$31/('Assumptions &amp; Inputs'!$D$19+1)),0)</f>
        <v>0</v>
      </c>
      <c r="BP114" s="136">
        <f>IF(AND(BP6&gt;='Assumptions &amp; Inputs'!$D$18,'Assumptions &amp; Inputs'!$D$20&gt;=BP6),('Sources &amp; Uses'!$D$31/('Assumptions &amp; Inputs'!$D$19+1)),0)</f>
        <v>0</v>
      </c>
      <c r="BQ114" s="136">
        <f>IF(AND(BQ6&gt;='Assumptions &amp; Inputs'!$D$18,'Assumptions &amp; Inputs'!$D$20&gt;=BQ6),('Sources &amp; Uses'!$D$31/('Assumptions &amp; Inputs'!$D$19+1)),0)</f>
        <v>0</v>
      </c>
      <c r="BR114" s="136">
        <f>IF(AND(BR6&gt;='Assumptions &amp; Inputs'!$D$18,'Assumptions &amp; Inputs'!$D$20&gt;=BR6),('Sources &amp; Uses'!$D$31/('Assumptions &amp; Inputs'!$D$19+1)),0)</f>
        <v>0</v>
      </c>
      <c r="BS114" s="136">
        <f>IF(AND(BS6&gt;='Assumptions &amp; Inputs'!$D$18,'Assumptions &amp; Inputs'!$D$20&gt;=BS6),('Sources &amp; Uses'!$D$31/('Assumptions &amp; Inputs'!$D$19+1)),0)</f>
        <v>0</v>
      </c>
      <c r="BT114" s="136">
        <f>IF(AND(BT6&gt;='Assumptions &amp; Inputs'!$D$18,'Assumptions &amp; Inputs'!$D$20&gt;=BT6),('Sources &amp; Uses'!$D$31/('Assumptions &amp; Inputs'!$D$19+1)),0)</f>
        <v>0</v>
      </c>
      <c r="BU114" s="136">
        <f>IF(AND(BU6&gt;='Assumptions &amp; Inputs'!$D$18,'Assumptions &amp; Inputs'!$D$20&gt;=BU6),('Sources &amp; Uses'!$D$31/('Assumptions &amp; Inputs'!$D$19+1)),0)</f>
        <v>0</v>
      </c>
      <c r="BV114" s="136">
        <f>IF(AND(BV6&gt;='Assumptions &amp; Inputs'!$D$18,'Assumptions &amp; Inputs'!$D$20&gt;=BV6),('Sources &amp; Uses'!$D$31/('Assumptions &amp; Inputs'!$D$19+1)),0)</f>
        <v>0</v>
      </c>
      <c r="BW114" s="136">
        <f>IF(AND(BW6&gt;='Assumptions &amp; Inputs'!$D$18,'Assumptions &amp; Inputs'!$D$20&gt;=BW6),('Sources &amp; Uses'!$D$31/('Assumptions &amp; Inputs'!$D$19+1)),0)</f>
        <v>0</v>
      </c>
      <c r="BX114" s="136">
        <f>IF(AND(BX6&gt;='Assumptions &amp; Inputs'!$D$18,'Assumptions &amp; Inputs'!$D$20&gt;=BX6),('Sources &amp; Uses'!$D$31/('Assumptions &amp; Inputs'!$D$19+1)),0)</f>
        <v>0</v>
      </c>
      <c r="BY114" s="136">
        <f>IF(AND(BY6&gt;='Assumptions &amp; Inputs'!$D$18,'Assumptions &amp; Inputs'!$D$20&gt;=BY6),('Sources &amp; Uses'!$D$31/('Assumptions &amp; Inputs'!$D$19+1)),0)</f>
        <v>0</v>
      </c>
      <c r="BZ114" s="136">
        <f>IF(AND(BZ6&gt;='Assumptions &amp; Inputs'!$D$18,'Assumptions &amp; Inputs'!$D$20&gt;=BZ6),('Sources &amp; Uses'!$D$31/('Assumptions &amp; Inputs'!$D$19+1)),0)</f>
        <v>0</v>
      </c>
      <c r="CA114" s="136">
        <f>IF(AND(CA6&gt;='Assumptions &amp; Inputs'!$D$18,'Assumptions &amp; Inputs'!$D$20&gt;=CA6),('Sources &amp; Uses'!$D$31/('Assumptions &amp; Inputs'!$D$19+1)),0)</f>
        <v>0</v>
      </c>
    </row>
    <row r="115" spans="2:79">
      <c r="B115" s="20" t="s">
        <v>39</v>
      </c>
      <c r="C115" s="136">
        <f>'Sources &amp; Uses'!D32</f>
        <v>5460000</v>
      </c>
      <c r="D115" s="136"/>
      <c r="E115" s="263">
        <f t="shared" si="161"/>
        <v>5460000</v>
      </c>
      <c r="G115" s="136">
        <f>IF(AND(G6&gt;='Assumptions &amp; Inputs'!$D$23,'Assumptions &amp; Inputs'!$D$20&gt;=G6),'Sources &amp; Uses'!$D$32/'Assumptions &amp; Inputs'!$D$24,0)</f>
        <v>0</v>
      </c>
      <c r="H115" s="136">
        <f>IF(AND(H6&gt;='Assumptions &amp; Inputs'!$D$23,'Assumptions &amp; Inputs'!$D$25&gt;=H6),'Sources &amp; Uses'!$D$32/('Assumptions &amp; Inputs'!$D$24+1),0)</f>
        <v>390000</v>
      </c>
      <c r="I115" s="136">
        <f>IF(AND(I6&gt;='Assumptions &amp; Inputs'!$D$23,'Assumptions &amp; Inputs'!$D$25&gt;=I6),'Sources &amp; Uses'!$D$32/('Assumptions &amp; Inputs'!$D$24+1),0)</f>
        <v>390000</v>
      </c>
      <c r="J115" s="136">
        <f>IF(AND(J6&gt;='Assumptions &amp; Inputs'!$D$23,'Assumptions &amp; Inputs'!$D$25&gt;=J6),'Sources &amp; Uses'!$D$32/('Assumptions &amp; Inputs'!$D$24+1),0)</f>
        <v>390000</v>
      </c>
      <c r="K115" s="136">
        <f>IF(AND(K6&gt;='Assumptions &amp; Inputs'!$D$23,'Assumptions &amp; Inputs'!$D$25&gt;=K6),'Sources &amp; Uses'!$D$32/('Assumptions &amp; Inputs'!$D$24+1),0)</f>
        <v>390000</v>
      </c>
      <c r="L115" s="136">
        <f>IF(AND(L6&gt;='Assumptions &amp; Inputs'!$D$23,'Assumptions &amp; Inputs'!$D$25&gt;=L6),'Sources &amp; Uses'!$D$32/('Assumptions &amp; Inputs'!$D$24+1),0)</f>
        <v>390000</v>
      </c>
      <c r="M115" s="136">
        <f>IF(AND(M6&gt;='Assumptions &amp; Inputs'!$D$23,'Assumptions &amp; Inputs'!$D$25&gt;=M6),'Sources &amp; Uses'!$D$32/('Assumptions &amp; Inputs'!$D$24+1),0)</f>
        <v>390000</v>
      </c>
      <c r="N115" s="136">
        <f>IF(AND(N6&gt;='Assumptions &amp; Inputs'!$D$23,'Assumptions &amp; Inputs'!$D$25&gt;=N6),'Sources &amp; Uses'!$D$32/('Assumptions &amp; Inputs'!$D$24+1),0)</f>
        <v>390000</v>
      </c>
      <c r="O115" s="136">
        <f>IF(AND(O6&gt;='Assumptions &amp; Inputs'!$D$23,'Assumptions &amp; Inputs'!$D$25&gt;=O6),'Sources &amp; Uses'!$D$32/('Assumptions &amp; Inputs'!$D$24+1),0)</f>
        <v>390000</v>
      </c>
      <c r="P115" s="136">
        <f>IF(AND(P6&gt;='Assumptions &amp; Inputs'!$D$23,'Assumptions &amp; Inputs'!$D$25&gt;=P6),'Sources &amp; Uses'!$D$32/('Assumptions &amp; Inputs'!$D$24+1),0)</f>
        <v>390000</v>
      </c>
      <c r="Q115" s="136">
        <f>IF(AND(Q6&gt;='Assumptions &amp; Inputs'!$D$23,'Assumptions &amp; Inputs'!$D$25&gt;=Q6),'Sources &amp; Uses'!$D$32/('Assumptions &amp; Inputs'!$D$24+1),0)</f>
        <v>390000</v>
      </c>
      <c r="R115" s="136">
        <f>IF(AND(R6&gt;='Assumptions &amp; Inputs'!$D$23,'Assumptions &amp; Inputs'!$D$25&gt;=R6),'Sources &amp; Uses'!$D$32/('Assumptions &amp; Inputs'!$D$24+1),0)</f>
        <v>390000</v>
      </c>
      <c r="S115" s="136">
        <f>IF(AND(S6&gt;='Assumptions &amp; Inputs'!$D$23,'Assumptions &amp; Inputs'!$D$25&gt;=S6),'Sources &amp; Uses'!$D$32/('Assumptions &amp; Inputs'!$D$24+1),0)</f>
        <v>390000</v>
      </c>
      <c r="T115" s="136">
        <f>IF(AND(T6&gt;='Assumptions &amp; Inputs'!$D$23,'Assumptions &amp; Inputs'!$D$25&gt;=T6),'Sources &amp; Uses'!$D$32/('Assumptions &amp; Inputs'!$D$24+1),0)</f>
        <v>390000</v>
      </c>
      <c r="U115" s="136">
        <f>IF(AND(U6&gt;='Assumptions &amp; Inputs'!$D$23,'Assumptions &amp; Inputs'!$D$25&gt;=U6),'Sources &amp; Uses'!$D$32/('Assumptions &amp; Inputs'!$D$24+1),0)</f>
        <v>390000</v>
      </c>
      <c r="V115" s="136">
        <f>IF(AND(V6&gt;='Assumptions &amp; Inputs'!$D$23,'Assumptions &amp; Inputs'!$D$25&gt;=V6),'Sources &amp; Uses'!$D$32/('Assumptions &amp; Inputs'!$D$24+1),0)</f>
        <v>0</v>
      </c>
      <c r="W115" s="136">
        <f>IF(AND(W6&gt;='Assumptions &amp; Inputs'!$D$23,'Assumptions &amp; Inputs'!$D$25&gt;=W6),'Sources &amp; Uses'!$D$32/('Assumptions &amp; Inputs'!$D$24+1),0)</f>
        <v>0</v>
      </c>
      <c r="X115" s="136">
        <f>IF(AND(X6&gt;='Assumptions &amp; Inputs'!$D$23,'Assumptions &amp; Inputs'!$D$25&gt;=X6),'Sources &amp; Uses'!$D$32/('Assumptions &amp; Inputs'!$D$24+1),0)</f>
        <v>0</v>
      </c>
      <c r="Y115" s="136">
        <f>IF(AND(Y6&gt;='Assumptions &amp; Inputs'!$D$23,'Assumptions &amp; Inputs'!$D$25&gt;=Y6),'Sources &amp; Uses'!$D$32/('Assumptions &amp; Inputs'!$D$24+1),0)</f>
        <v>0</v>
      </c>
      <c r="Z115" s="136">
        <f>IF(AND(Z6&gt;='Assumptions &amp; Inputs'!$D$23,'Assumptions &amp; Inputs'!$D$25&gt;=Z6),'Sources &amp; Uses'!$D$32/('Assumptions &amp; Inputs'!$D$24+1),0)</f>
        <v>0</v>
      </c>
      <c r="AA115" s="136">
        <f>IF(AND(AA6&gt;='Assumptions &amp; Inputs'!$D$23,'Assumptions &amp; Inputs'!$D$25&gt;=AA6),'Sources &amp; Uses'!$D$32/('Assumptions &amp; Inputs'!$D$24+1),0)</f>
        <v>0</v>
      </c>
      <c r="AB115" s="136">
        <f>IF(AND(AB6&gt;='Assumptions &amp; Inputs'!$D$23,'Assumptions &amp; Inputs'!$D$25&gt;=AB6),'Sources &amp; Uses'!$D$32/('Assumptions &amp; Inputs'!$D$24+1),0)</f>
        <v>0</v>
      </c>
      <c r="AC115" s="136">
        <f>IF(AND(AC6&gt;='Assumptions &amp; Inputs'!$D$23,'Assumptions &amp; Inputs'!$D$25&gt;=AC6),'Sources &amp; Uses'!$D$32/('Assumptions &amp; Inputs'!$D$24+1),0)</f>
        <v>0</v>
      </c>
      <c r="AD115" s="136">
        <f>IF(AND(AD6&gt;='Assumptions &amp; Inputs'!$D$23,'Assumptions &amp; Inputs'!$D$25&gt;=AD6),'Sources &amp; Uses'!$D$32/('Assumptions &amp; Inputs'!$D$24+1),0)</f>
        <v>0</v>
      </c>
      <c r="AE115" s="136">
        <f>IF(AND(AE6&gt;='Assumptions &amp; Inputs'!$D$23,'Assumptions &amp; Inputs'!$D$25&gt;=AE6),'Sources &amp; Uses'!$D$32/('Assumptions &amp; Inputs'!$D$24+1),0)</f>
        <v>0</v>
      </c>
      <c r="AF115" s="136">
        <f>IF(AND(AF6&gt;='Assumptions &amp; Inputs'!$D$23,'Assumptions &amp; Inputs'!$D$25&gt;=AF6),'Sources &amp; Uses'!$D$32/('Assumptions &amp; Inputs'!$D$24+1),0)</f>
        <v>0</v>
      </c>
      <c r="AG115" s="136">
        <f>IF(AND(AG6&gt;='Assumptions &amp; Inputs'!$D$23,'Assumptions &amp; Inputs'!$D$25&gt;=AG6),'Sources &amp; Uses'!$D$32/('Assumptions &amp; Inputs'!$D$24+1),0)</f>
        <v>0</v>
      </c>
      <c r="AH115" s="136">
        <f>IF(AND(AH6&gt;='Assumptions &amp; Inputs'!$D$23,'Assumptions &amp; Inputs'!$D$25&gt;=AH6),'Sources &amp; Uses'!$D$32/('Assumptions &amp; Inputs'!$D$24+1),0)</f>
        <v>0</v>
      </c>
      <c r="AI115" s="136">
        <f>IF(AND(AI6&gt;='Assumptions &amp; Inputs'!$D$23,'Assumptions &amp; Inputs'!$D$25&gt;=AI6),'Sources &amp; Uses'!$D$32/('Assumptions &amp; Inputs'!$D$24+1),0)</f>
        <v>0</v>
      </c>
      <c r="AJ115" s="136">
        <f>IF(AND(AJ6&gt;='Assumptions &amp; Inputs'!$D$23,'Assumptions &amp; Inputs'!$D$25&gt;=AJ6),'Sources &amp; Uses'!$D$32/('Assumptions &amp; Inputs'!$D$24+1),0)</f>
        <v>0</v>
      </c>
      <c r="AK115" s="136">
        <f>IF(AND(AK6&gt;='Assumptions &amp; Inputs'!$D$23,'Assumptions &amp; Inputs'!$D$25&gt;=AK6),'Sources &amp; Uses'!$D$32/('Assumptions &amp; Inputs'!$D$24+1),0)</f>
        <v>0</v>
      </c>
      <c r="AL115" s="136">
        <f>IF(AND(AL6&gt;='Assumptions &amp; Inputs'!$D$23,'Assumptions &amp; Inputs'!$D$25&gt;=AL6),'Sources &amp; Uses'!$D$32/('Assumptions &amp; Inputs'!$D$24+1),0)</f>
        <v>0</v>
      </c>
      <c r="AM115" s="136">
        <f>IF(AND(AM6&gt;='Assumptions &amp; Inputs'!$D$23,'Assumptions &amp; Inputs'!$D$25&gt;=AM6),'Sources &amp; Uses'!$D$32/('Assumptions &amp; Inputs'!$D$24+1),0)</f>
        <v>0</v>
      </c>
      <c r="AN115" s="136">
        <f>IF(AND(AN6&gt;='Assumptions &amp; Inputs'!$D$23,'Assumptions &amp; Inputs'!$D$25&gt;=AN6),'Sources &amp; Uses'!$D$32/('Assumptions &amp; Inputs'!$D$24+1),0)</f>
        <v>0</v>
      </c>
      <c r="AO115" s="136">
        <f>IF(AND(AO6&gt;='Assumptions &amp; Inputs'!$D$23,'Assumptions &amp; Inputs'!$D$25&gt;=AO6),'Sources &amp; Uses'!$D$32/('Assumptions &amp; Inputs'!$D$24+1),0)</f>
        <v>0</v>
      </c>
      <c r="AP115" s="136">
        <f>IF(AND(AP6&gt;='Assumptions &amp; Inputs'!$D$23,'Assumptions &amp; Inputs'!$D$25&gt;=AP6),'Sources &amp; Uses'!$D$32/('Assumptions &amp; Inputs'!$D$24+1),0)</f>
        <v>0</v>
      </c>
      <c r="AQ115" s="136">
        <f>IF(AND(AQ6&gt;='Assumptions &amp; Inputs'!$D$23,'Assumptions &amp; Inputs'!$D$25&gt;=AQ6),'Sources &amp; Uses'!$D$32/('Assumptions &amp; Inputs'!$D$24+1),0)</f>
        <v>0</v>
      </c>
      <c r="AR115" s="136">
        <f>IF(AND(AR6&gt;='Assumptions &amp; Inputs'!$D$23,'Assumptions &amp; Inputs'!$D$25&gt;=AR6),'Sources &amp; Uses'!$D$32/('Assumptions &amp; Inputs'!$D$24+1),0)</f>
        <v>0</v>
      </c>
      <c r="AS115" s="136">
        <f>IF(AND(AS6&gt;='Assumptions &amp; Inputs'!$D$23,'Assumptions &amp; Inputs'!$D$25&gt;=AS6),'Sources &amp; Uses'!$D$32/('Assumptions &amp; Inputs'!$D$24+1),0)</f>
        <v>0</v>
      </c>
      <c r="AT115" s="136">
        <f>IF(AND(AT6&gt;='Assumptions &amp; Inputs'!$D$23,'Assumptions &amp; Inputs'!$D$25&gt;=AT6),'Sources &amp; Uses'!$D$32/('Assumptions &amp; Inputs'!$D$24+1),0)</f>
        <v>0</v>
      </c>
      <c r="AU115" s="136">
        <f>IF(AND(AU6&gt;='Assumptions &amp; Inputs'!$D$23,'Assumptions &amp; Inputs'!$D$25&gt;=AU6),'Sources &amp; Uses'!$D$32/('Assumptions &amp; Inputs'!$D$24+1),0)</f>
        <v>0</v>
      </c>
      <c r="AV115" s="136">
        <f>IF(AND(AV6&gt;='Assumptions &amp; Inputs'!$D$23,'Assumptions &amp; Inputs'!$D$25&gt;=AV6),'Sources &amp; Uses'!$D$32/('Assumptions &amp; Inputs'!$D$24+1),0)</f>
        <v>0</v>
      </c>
      <c r="AW115" s="136">
        <f>IF(AND(AW6&gt;='Assumptions &amp; Inputs'!$D$23,'Assumptions &amp; Inputs'!$D$25&gt;=AW6),'Sources &amp; Uses'!$D$32/('Assumptions &amp; Inputs'!$D$24+1),0)</f>
        <v>0</v>
      </c>
      <c r="AX115" s="136">
        <f>IF(AND(AX6&gt;='Assumptions &amp; Inputs'!$D$23,'Assumptions &amp; Inputs'!$D$25&gt;=AX6),'Sources &amp; Uses'!$D$32/('Assumptions &amp; Inputs'!$D$24+1),0)</f>
        <v>0</v>
      </c>
      <c r="AY115" s="136">
        <f>IF(AND(AY6&gt;='Assumptions &amp; Inputs'!$D$23,'Assumptions &amp; Inputs'!$D$25&gt;=AY6),'Sources &amp; Uses'!$D$32/('Assumptions &amp; Inputs'!$D$24+1),0)</f>
        <v>0</v>
      </c>
      <c r="AZ115" s="136">
        <f>IF(AND(AZ6&gt;='Assumptions &amp; Inputs'!$D$23,'Assumptions &amp; Inputs'!$D$25&gt;=AZ6),'Sources &amp; Uses'!$D$32/('Assumptions &amp; Inputs'!$D$24+1),0)</f>
        <v>0</v>
      </c>
      <c r="BA115" s="136">
        <f>IF(AND(BA6&gt;='Assumptions &amp; Inputs'!$D$23,'Assumptions &amp; Inputs'!$D$25&gt;=BA6),'Sources &amp; Uses'!$D$32/('Assumptions &amp; Inputs'!$D$24+1),0)</f>
        <v>0</v>
      </c>
      <c r="BB115" s="136">
        <f>IF(AND(BB6&gt;='Assumptions &amp; Inputs'!$D$23,'Assumptions &amp; Inputs'!$D$25&gt;=BB6),'Sources &amp; Uses'!$D$32/('Assumptions &amp; Inputs'!$D$24+1),0)</f>
        <v>0</v>
      </c>
      <c r="BC115" s="136">
        <f>IF(AND(BC6&gt;='Assumptions &amp; Inputs'!$D$23,'Assumptions &amp; Inputs'!$D$25&gt;=BC6),'Sources &amp; Uses'!$D$32/('Assumptions &amp; Inputs'!$D$24+1),0)</f>
        <v>0</v>
      </c>
      <c r="BD115" s="136">
        <f>IF(AND(BD6&gt;='Assumptions &amp; Inputs'!$D$23,'Assumptions &amp; Inputs'!$D$25&gt;=BD6),'Sources &amp; Uses'!$D$32/('Assumptions &amp; Inputs'!$D$24+1),0)</f>
        <v>0</v>
      </c>
      <c r="BE115" s="136">
        <f>IF(AND(BE6&gt;='Assumptions &amp; Inputs'!$D$23,'Assumptions &amp; Inputs'!$D$25&gt;=BE6),'Sources &amp; Uses'!$D$32/('Assumptions &amp; Inputs'!$D$24+1),0)</f>
        <v>0</v>
      </c>
      <c r="BF115" s="136">
        <f>IF(AND(BF6&gt;='Assumptions &amp; Inputs'!$D$23,'Assumptions &amp; Inputs'!$D$25&gt;=BF6),'Sources &amp; Uses'!$D$32/('Assumptions &amp; Inputs'!$D$24+1),0)</f>
        <v>0</v>
      </c>
      <c r="BG115" s="136">
        <f>IF(AND(BG6&gt;='Assumptions &amp; Inputs'!$D$23,'Assumptions &amp; Inputs'!$D$25&gt;=BG6),'Sources &amp; Uses'!$D$32/('Assumptions &amp; Inputs'!$D$24+1),0)</f>
        <v>0</v>
      </c>
      <c r="BH115" s="136">
        <f>IF(AND(BH6&gt;='Assumptions &amp; Inputs'!$D$23,'Assumptions &amp; Inputs'!$D$25&gt;=BH6),'Sources &amp; Uses'!$D$32/('Assumptions &amp; Inputs'!$D$24+1),0)</f>
        <v>0</v>
      </c>
      <c r="BI115" s="136">
        <f>IF(AND(BI6&gt;='Assumptions &amp; Inputs'!$D$23,'Assumptions &amp; Inputs'!$D$25&gt;=BI6),'Sources &amp; Uses'!$D$32/('Assumptions &amp; Inputs'!$D$24+1),0)</f>
        <v>0</v>
      </c>
      <c r="BJ115" s="136">
        <f>IF(AND(BJ6&gt;='Assumptions &amp; Inputs'!$D$23,'Assumptions &amp; Inputs'!$D$25&gt;=BJ6),'Sources &amp; Uses'!$D$32/('Assumptions &amp; Inputs'!$D$24+1),0)</f>
        <v>0</v>
      </c>
      <c r="BK115" s="136">
        <f>IF(AND(BK6&gt;='Assumptions &amp; Inputs'!$D$23,'Assumptions &amp; Inputs'!$D$25&gt;=BK6),'Sources &amp; Uses'!$D$32/('Assumptions &amp; Inputs'!$D$24+1),0)</f>
        <v>0</v>
      </c>
      <c r="BL115" s="136">
        <f>IF(AND(BL6&gt;='Assumptions &amp; Inputs'!$D$23,'Assumptions &amp; Inputs'!$D$25&gt;=BL6),'Sources &amp; Uses'!$D$32/('Assumptions &amp; Inputs'!$D$24+1),0)</f>
        <v>0</v>
      </c>
      <c r="BM115" s="136">
        <f>IF(AND(BM6&gt;='Assumptions &amp; Inputs'!$D$23,'Assumptions &amp; Inputs'!$D$25&gt;=BM6),'Sources &amp; Uses'!$D$32/('Assumptions &amp; Inputs'!$D$24+1),0)</f>
        <v>0</v>
      </c>
      <c r="BN115" s="136">
        <f>IF(AND(BN6&gt;='Assumptions &amp; Inputs'!$D$23,'Assumptions &amp; Inputs'!$D$25&gt;=BN6),'Sources &amp; Uses'!$D$32/('Assumptions &amp; Inputs'!$D$24+1),0)</f>
        <v>0</v>
      </c>
      <c r="BO115" s="136">
        <f>IF(AND(BO6&gt;='Assumptions &amp; Inputs'!$D$23,'Assumptions &amp; Inputs'!$D$25&gt;=BO6),'Sources &amp; Uses'!$D$32/('Assumptions &amp; Inputs'!$D$24+1),0)</f>
        <v>0</v>
      </c>
      <c r="BP115" s="136">
        <f>IF(AND(BP6&gt;='Assumptions &amp; Inputs'!$D$23,'Assumptions &amp; Inputs'!$D$25&gt;=BP6),'Sources &amp; Uses'!$D$32/('Assumptions &amp; Inputs'!$D$24+1),0)</f>
        <v>0</v>
      </c>
      <c r="BQ115" s="136">
        <f>IF(AND(BQ6&gt;='Assumptions &amp; Inputs'!$D$23,'Assumptions &amp; Inputs'!$D$25&gt;=BQ6),'Sources &amp; Uses'!$D$32/('Assumptions &amp; Inputs'!$D$24+1),0)</f>
        <v>0</v>
      </c>
      <c r="BR115" s="136">
        <f>IF(AND(BR6&gt;='Assumptions &amp; Inputs'!$D$23,'Assumptions &amp; Inputs'!$D$25&gt;=BR6),'Sources &amp; Uses'!$D$32/('Assumptions &amp; Inputs'!$D$24+1),0)</f>
        <v>0</v>
      </c>
      <c r="BS115" s="136">
        <f>IF(AND(BS6&gt;='Assumptions &amp; Inputs'!$D$23,'Assumptions &amp; Inputs'!$D$25&gt;=BS6),'Sources &amp; Uses'!$D$32/('Assumptions &amp; Inputs'!$D$24+1),0)</f>
        <v>0</v>
      </c>
      <c r="BT115" s="136">
        <f>IF(AND(BT6&gt;='Assumptions &amp; Inputs'!$D$23,'Assumptions &amp; Inputs'!$D$25&gt;=BT6),'Sources &amp; Uses'!$D$32/('Assumptions &amp; Inputs'!$D$24+1),0)</f>
        <v>0</v>
      </c>
      <c r="BU115" s="136">
        <f>IF(AND(BU6&gt;='Assumptions &amp; Inputs'!$D$23,'Assumptions &amp; Inputs'!$D$25&gt;=BU6),'Sources &amp; Uses'!$D$32/('Assumptions &amp; Inputs'!$D$24+1),0)</f>
        <v>0</v>
      </c>
      <c r="BV115" s="136">
        <f>IF(AND(BV6&gt;='Assumptions &amp; Inputs'!$D$23,'Assumptions &amp; Inputs'!$D$25&gt;=BV6),'Sources &amp; Uses'!$D$32/('Assumptions &amp; Inputs'!$D$24+1),0)</f>
        <v>0</v>
      </c>
      <c r="BW115" s="136">
        <f>IF(AND(BW6&gt;='Assumptions &amp; Inputs'!$D$23,'Assumptions &amp; Inputs'!$D$25&gt;=BW6),'Sources &amp; Uses'!$D$32/('Assumptions &amp; Inputs'!$D$24+1),0)</f>
        <v>0</v>
      </c>
      <c r="BX115" s="136">
        <f>IF(AND(BX6&gt;='Assumptions &amp; Inputs'!$D$23,'Assumptions &amp; Inputs'!$D$25&gt;=BX6),'Sources &amp; Uses'!$D$32/('Assumptions &amp; Inputs'!$D$24+1),0)</f>
        <v>0</v>
      </c>
      <c r="BY115" s="136">
        <f>IF(AND(BY6&gt;='Assumptions &amp; Inputs'!$D$23,'Assumptions &amp; Inputs'!$D$25&gt;=BY6),'Sources &amp; Uses'!$D$32/('Assumptions &amp; Inputs'!$D$24+1),0)</f>
        <v>0</v>
      </c>
      <c r="BZ115" s="136">
        <f>IF(AND(BZ6&gt;='Assumptions &amp; Inputs'!$D$23,'Assumptions &amp; Inputs'!$D$25&gt;=BZ6),'Sources &amp; Uses'!$D$32/('Assumptions &amp; Inputs'!$D$24+1),0)</f>
        <v>0</v>
      </c>
      <c r="CA115" s="136">
        <f>IF(AND(CA6&gt;='Assumptions &amp; Inputs'!$D$23,'Assumptions &amp; Inputs'!$D$25&gt;=CA6),'Sources &amp; Uses'!$D$32/('Assumptions &amp; Inputs'!$D$24+1),0)</f>
        <v>0</v>
      </c>
    </row>
    <row r="116" spans="2:79">
      <c r="B116" s="20" t="s">
        <v>565</v>
      </c>
      <c r="C116" s="136">
        <f>SUM('Sources &amp; Uses'!D33,'Sources &amp; Uses'!D45)</f>
        <v>460000</v>
      </c>
      <c r="D116" s="136"/>
      <c r="E116" s="263">
        <f t="shared" si="161"/>
        <v>460000</v>
      </c>
      <c r="G116" s="136">
        <f>IF(G6='Assumptions &amp; Inputs'!$D50,$C116,0)</f>
        <v>0</v>
      </c>
      <c r="H116" s="136">
        <f>IF(H6='Assumptions &amp; Inputs'!$D50,$C116,0)</f>
        <v>0</v>
      </c>
      <c r="I116" s="136">
        <f>IF(I6='Assumptions &amp; Inputs'!$D50,$C116,0)</f>
        <v>0</v>
      </c>
      <c r="J116" s="136">
        <f>IF(J6='Assumptions &amp; Inputs'!$D50,$C116,0)</f>
        <v>0</v>
      </c>
      <c r="K116" s="136">
        <f>IF(K6='Assumptions &amp; Inputs'!$D50,$C116,0)</f>
        <v>0</v>
      </c>
      <c r="L116" s="136">
        <f>IF(L6='Assumptions &amp; Inputs'!$D50,$C116,0)</f>
        <v>0</v>
      </c>
      <c r="M116" s="136">
        <f>IF(M6='Assumptions &amp; Inputs'!$D50,$C116,0)</f>
        <v>0</v>
      </c>
      <c r="N116" s="136">
        <f>IF(N6='Assumptions &amp; Inputs'!$D50,$C116,0)</f>
        <v>0</v>
      </c>
      <c r="O116" s="136">
        <f>IF(O6='Assumptions &amp; Inputs'!$D50,$C116,0)</f>
        <v>0</v>
      </c>
      <c r="P116" s="136">
        <f>IF(P6='Assumptions &amp; Inputs'!$D50,$C116,0)</f>
        <v>0</v>
      </c>
      <c r="Q116" s="136">
        <f>IF(Q6='Assumptions &amp; Inputs'!$D50,$C116,0)</f>
        <v>0</v>
      </c>
      <c r="R116" s="136">
        <f>IF(R6='Assumptions &amp; Inputs'!$D50,$C116,0)</f>
        <v>0</v>
      </c>
      <c r="S116" s="136">
        <f>IF(S6='Assumptions &amp; Inputs'!$D50,$C116,0)</f>
        <v>0</v>
      </c>
      <c r="T116" s="136">
        <f>IF(T6='Assumptions &amp; Inputs'!$D50,$C116,0)</f>
        <v>0</v>
      </c>
      <c r="U116" s="136">
        <f>IF(U6='Assumptions &amp; Inputs'!$D50,$C116,0)</f>
        <v>0</v>
      </c>
      <c r="V116" s="136">
        <f>IF(V6='Assumptions &amp; Inputs'!$D50,$C116,0)</f>
        <v>0</v>
      </c>
      <c r="W116" s="136">
        <f>IF(W6='Assumptions &amp; Inputs'!$D50,$C116,0)</f>
        <v>0</v>
      </c>
      <c r="X116" s="136">
        <f>IF(X6='Assumptions &amp; Inputs'!$D50,$C116,0)</f>
        <v>0</v>
      </c>
      <c r="Y116" s="136">
        <f>IF(Y6='Assumptions &amp; Inputs'!$D50,$C116,0)</f>
        <v>0</v>
      </c>
      <c r="Z116" s="136">
        <f>IF(Z6='Assumptions &amp; Inputs'!$D50,$C116,0)</f>
        <v>0</v>
      </c>
      <c r="AA116" s="136">
        <f>IF(AA6='Assumptions &amp; Inputs'!$D50,$C116,0)</f>
        <v>0</v>
      </c>
      <c r="AB116" s="136">
        <f>IF(AB6='Assumptions &amp; Inputs'!$D50,$C116,0)</f>
        <v>0</v>
      </c>
      <c r="AC116" s="136">
        <f>IF(AC6='Assumptions &amp; Inputs'!$D50,$C116,0)</f>
        <v>0</v>
      </c>
      <c r="AD116" s="136">
        <f>IF(AD6='Assumptions &amp; Inputs'!$D50,$C116,0)</f>
        <v>0</v>
      </c>
      <c r="AE116" s="136">
        <f>IF(AE6='Assumptions &amp; Inputs'!$D50,$C116,0)</f>
        <v>0</v>
      </c>
      <c r="AF116" s="136">
        <f>IF(AF6='Assumptions &amp; Inputs'!$D50,$C116,0)</f>
        <v>0</v>
      </c>
      <c r="AG116" s="136">
        <f>IF(AG6='Assumptions &amp; Inputs'!$D50,$C116,0)</f>
        <v>0</v>
      </c>
      <c r="AH116" s="136">
        <f>IF(AH6='Assumptions &amp; Inputs'!$D50,$C116,0)</f>
        <v>0</v>
      </c>
      <c r="AI116" s="136">
        <f>IF(AI6='Assumptions &amp; Inputs'!$D50,$C116,0)</f>
        <v>0</v>
      </c>
      <c r="AJ116" s="136">
        <f>IF(AJ6='Assumptions &amp; Inputs'!$D50,$C116,0)</f>
        <v>0</v>
      </c>
      <c r="AK116" s="136">
        <f>IF(AK6='Assumptions &amp; Inputs'!$D50,$C116,0)</f>
        <v>0</v>
      </c>
      <c r="AL116" s="136">
        <f>IF(AL6='Assumptions &amp; Inputs'!$D50,$C116,0)</f>
        <v>0</v>
      </c>
      <c r="AM116" s="136">
        <f>IF(AM6='Assumptions &amp; Inputs'!$D50,$C116,0)</f>
        <v>0</v>
      </c>
      <c r="AN116" s="136">
        <f>IF(AN6='Assumptions &amp; Inputs'!$D50,$C116,0)</f>
        <v>0</v>
      </c>
      <c r="AO116" s="136">
        <f>IF(AO6='Assumptions &amp; Inputs'!$D50,$C116,0)</f>
        <v>0</v>
      </c>
      <c r="AP116" s="136">
        <f>IF(AP6='Assumptions &amp; Inputs'!$D50,$C116,0)</f>
        <v>0</v>
      </c>
      <c r="AQ116" s="136">
        <f>IF(AQ6='Assumptions &amp; Inputs'!$D50,$C116,0)</f>
        <v>460000</v>
      </c>
      <c r="AR116" s="136">
        <f>IF(AR6='Assumptions &amp; Inputs'!$D50,$C116,0)</f>
        <v>0</v>
      </c>
      <c r="AS116" s="136">
        <f>IF(AS6='Assumptions &amp; Inputs'!$D50,$C116,0)</f>
        <v>0</v>
      </c>
      <c r="AT116" s="136">
        <f>IF(AT6='Assumptions &amp; Inputs'!$D50,$C116,0)</f>
        <v>0</v>
      </c>
      <c r="AU116" s="136">
        <f>IF(AU6='Assumptions &amp; Inputs'!$D50,$C116,0)</f>
        <v>0</v>
      </c>
      <c r="AV116" s="136">
        <f>IF(AV6='Assumptions &amp; Inputs'!$D50,$C116,0)</f>
        <v>0</v>
      </c>
      <c r="AW116" s="136">
        <f>IF(AW6='Assumptions &amp; Inputs'!$D50,$C116,0)</f>
        <v>0</v>
      </c>
      <c r="AX116" s="136">
        <f>IF(AX6='Assumptions &amp; Inputs'!$D50,$C116,0)</f>
        <v>0</v>
      </c>
      <c r="AY116" s="136">
        <f>IF(AY6='Assumptions &amp; Inputs'!$D50,$C116,0)</f>
        <v>0</v>
      </c>
      <c r="AZ116" s="136">
        <f>IF(AZ6='Assumptions &amp; Inputs'!$D50,$C116,0)</f>
        <v>0</v>
      </c>
      <c r="BA116" s="136">
        <f>IF(BA6='Assumptions &amp; Inputs'!$D50,$C116,0)</f>
        <v>0</v>
      </c>
      <c r="BB116" s="136">
        <f>IF(BB6='Assumptions &amp; Inputs'!$D50,$C116,0)</f>
        <v>0</v>
      </c>
      <c r="BC116" s="136">
        <f>IF(BC6='Assumptions &amp; Inputs'!$D50,$C116,0)</f>
        <v>0</v>
      </c>
      <c r="BD116" s="136">
        <f>IF(BD6='Assumptions &amp; Inputs'!$D50,$C116,0)</f>
        <v>0</v>
      </c>
      <c r="BE116" s="136">
        <f>IF(BE6='Assumptions &amp; Inputs'!$D50,$C116,0)</f>
        <v>0</v>
      </c>
      <c r="BF116" s="136">
        <f>IF(BF6='Assumptions &amp; Inputs'!$D50,$C116,0)</f>
        <v>0</v>
      </c>
      <c r="BG116" s="136">
        <f>IF(BG6='Assumptions &amp; Inputs'!$D50,$C116,0)</f>
        <v>0</v>
      </c>
      <c r="BH116" s="136">
        <f>IF(BH6='Assumptions &amp; Inputs'!$D50,$C116,0)</f>
        <v>0</v>
      </c>
      <c r="BI116" s="136">
        <f>IF(BI6='Assumptions &amp; Inputs'!$D50,$C116,0)</f>
        <v>0</v>
      </c>
      <c r="BJ116" s="136">
        <f>IF(BJ6='Assumptions &amp; Inputs'!$D50,$C116,0)</f>
        <v>0</v>
      </c>
      <c r="BK116" s="136">
        <f>IF(BK6='Assumptions &amp; Inputs'!$D50,$C116,0)</f>
        <v>0</v>
      </c>
      <c r="BL116" s="136">
        <f>IF(BL6='Assumptions &amp; Inputs'!$D50,$C116,0)</f>
        <v>0</v>
      </c>
      <c r="BM116" s="136">
        <f>IF(BM6='Assumptions &amp; Inputs'!$D50,$C116,0)</f>
        <v>0</v>
      </c>
      <c r="BN116" s="136">
        <f>IF(BN6='Assumptions &amp; Inputs'!$D50,$C116,0)</f>
        <v>0</v>
      </c>
      <c r="BO116" s="136">
        <f>IF(BO6='Assumptions &amp; Inputs'!$D50,$C116,0)</f>
        <v>0</v>
      </c>
      <c r="BP116" s="136">
        <f>IF(BP6='Assumptions &amp; Inputs'!$D50,$C116,0)</f>
        <v>0</v>
      </c>
      <c r="BQ116" s="136">
        <f>IF(BQ6='Assumptions &amp; Inputs'!$D50,$C116,0)</f>
        <v>0</v>
      </c>
      <c r="BR116" s="136">
        <f>IF(BR6='Assumptions &amp; Inputs'!$D50,$C116,0)</f>
        <v>0</v>
      </c>
      <c r="BS116" s="136">
        <f>IF(BS6='Assumptions &amp; Inputs'!$D50,$C116,0)</f>
        <v>0</v>
      </c>
      <c r="BT116" s="136">
        <f>IF(BT6='Assumptions &amp; Inputs'!$D50,$C116,0)</f>
        <v>0</v>
      </c>
      <c r="BU116" s="136">
        <f>IF(BU6='Assumptions &amp; Inputs'!$D50,$C116,0)</f>
        <v>0</v>
      </c>
      <c r="BV116" s="136">
        <f>IF(BV6='Assumptions &amp; Inputs'!$D50,$C116,0)</f>
        <v>0</v>
      </c>
      <c r="BW116" s="136">
        <f>IF(BW6='Assumptions &amp; Inputs'!$D50,$C116,0)</f>
        <v>0</v>
      </c>
      <c r="BX116" s="136">
        <f>IF(BX6='Assumptions &amp; Inputs'!$D50,$C116,0)</f>
        <v>0</v>
      </c>
      <c r="BY116" s="136">
        <f>IF(BY6='Assumptions &amp; Inputs'!$D50,$C116,0)</f>
        <v>0</v>
      </c>
      <c r="BZ116" s="136">
        <f>IF(BZ6='Assumptions &amp; Inputs'!$D50,$C116,0)</f>
        <v>0</v>
      </c>
      <c r="CA116" s="136">
        <f>IF(CA6='Assumptions &amp; Inputs'!$D50,$C116,0)</f>
        <v>0</v>
      </c>
    </row>
    <row r="117" spans="2:79">
      <c r="B117" s="20" t="s">
        <v>40</v>
      </c>
      <c r="C117" s="136">
        <f>SUM('Sources &amp; Uses'!D38:D39,'Sources &amp; Uses'!D46)</f>
        <v>433375</v>
      </c>
      <c r="D117" s="136"/>
      <c r="E117" s="263">
        <f t="shared" si="161"/>
        <v>433375</v>
      </c>
      <c r="G117" s="136">
        <v>0</v>
      </c>
      <c r="H117" s="136">
        <f>SUM('Sources &amp; Uses'!D38:D39,'Sources &amp; Uses'!D46)</f>
        <v>433375</v>
      </c>
      <c r="I117" s="136">
        <v>0</v>
      </c>
      <c r="J117" s="136">
        <v>0</v>
      </c>
      <c r="K117" s="136">
        <v>0</v>
      </c>
      <c r="L117" s="136">
        <v>0</v>
      </c>
      <c r="M117" s="136">
        <v>0</v>
      </c>
      <c r="N117" s="136">
        <v>0</v>
      </c>
      <c r="O117" s="136">
        <v>0</v>
      </c>
      <c r="P117" s="136">
        <v>0</v>
      </c>
      <c r="Q117" s="136">
        <v>0</v>
      </c>
      <c r="R117" s="136">
        <v>0</v>
      </c>
      <c r="S117" s="136">
        <v>0</v>
      </c>
      <c r="T117" s="136">
        <v>0</v>
      </c>
      <c r="U117" s="136">
        <v>0</v>
      </c>
      <c r="V117" s="136">
        <v>0</v>
      </c>
      <c r="W117" s="136">
        <v>0</v>
      </c>
      <c r="X117" s="136">
        <v>0</v>
      </c>
      <c r="Y117" s="136">
        <v>0</v>
      </c>
      <c r="Z117" s="136">
        <v>0</v>
      </c>
      <c r="AA117" s="136">
        <v>0</v>
      </c>
      <c r="AB117" s="136">
        <v>0</v>
      </c>
      <c r="AC117" s="136">
        <v>0</v>
      </c>
      <c r="AD117" s="136">
        <v>0</v>
      </c>
      <c r="AE117" s="136">
        <v>0</v>
      </c>
      <c r="AF117" s="136">
        <v>0</v>
      </c>
      <c r="AG117" s="136">
        <v>0</v>
      </c>
      <c r="AH117" s="136">
        <v>0</v>
      </c>
      <c r="AI117" s="136">
        <v>0</v>
      </c>
      <c r="AJ117" s="136">
        <v>0</v>
      </c>
      <c r="AK117" s="136">
        <v>0</v>
      </c>
      <c r="AL117" s="136">
        <v>0</v>
      </c>
      <c r="AM117" s="136">
        <v>0</v>
      </c>
      <c r="AN117" s="136">
        <v>0</v>
      </c>
      <c r="AO117" s="136">
        <v>0</v>
      </c>
      <c r="AP117" s="136">
        <v>0</v>
      </c>
      <c r="AQ117" s="136">
        <v>0</v>
      </c>
      <c r="AR117" s="136">
        <v>0</v>
      </c>
      <c r="AS117" s="136">
        <v>0</v>
      </c>
      <c r="AT117" s="136">
        <v>0</v>
      </c>
      <c r="AU117" s="136">
        <v>0</v>
      </c>
      <c r="AV117" s="136">
        <v>0</v>
      </c>
      <c r="AW117" s="136">
        <v>0</v>
      </c>
      <c r="AX117" s="136">
        <v>0</v>
      </c>
      <c r="AY117" s="136">
        <v>0</v>
      </c>
      <c r="AZ117" s="136">
        <v>0</v>
      </c>
      <c r="BA117" s="136">
        <v>0</v>
      </c>
      <c r="BB117" s="136">
        <v>0</v>
      </c>
      <c r="BC117" s="136">
        <v>0</v>
      </c>
      <c r="BD117" s="136">
        <v>0</v>
      </c>
      <c r="BE117" s="136">
        <v>0</v>
      </c>
      <c r="BF117" s="136">
        <v>0</v>
      </c>
      <c r="BG117" s="136">
        <v>0</v>
      </c>
      <c r="BH117" s="136">
        <v>0</v>
      </c>
      <c r="BI117" s="136">
        <v>0</v>
      </c>
      <c r="BJ117" s="136">
        <v>0</v>
      </c>
      <c r="BK117" s="136">
        <v>0</v>
      </c>
      <c r="BL117" s="136">
        <v>0</v>
      </c>
      <c r="BM117" s="136">
        <v>0</v>
      </c>
      <c r="BN117" s="136">
        <v>0</v>
      </c>
      <c r="BO117" s="136">
        <v>0</v>
      </c>
      <c r="BP117" s="136">
        <v>0</v>
      </c>
      <c r="BQ117" s="136">
        <v>0</v>
      </c>
      <c r="BR117" s="136">
        <v>0</v>
      </c>
      <c r="BS117" s="136">
        <v>0</v>
      </c>
      <c r="BT117" s="136">
        <v>0</v>
      </c>
      <c r="BU117" s="136">
        <v>0</v>
      </c>
      <c r="BV117" s="136">
        <v>0</v>
      </c>
      <c r="BW117" s="136">
        <v>0</v>
      </c>
      <c r="BX117" s="136">
        <v>0</v>
      </c>
      <c r="BY117" s="136">
        <v>0</v>
      </c>
      <c r="BZ117" s="136">
        <v>0</v>
      </c>
      <c r="CA117" s="136">
        <v>0</v>
      </c>
    </row>
    <row r="118" spans="2:79">
      <c r="B118" s="14" t="s">
        <v>41</v>
      </c>
      <c r="C118" s="136">
        <f ca="1">'Sources &amp; Uses'!M23</f>
        <v>990725.6726025528</v>
      </c>
      <c r="D118" s="136"/>
      <c r="E118" s="263">
        <f t="shared" ca="1" si="161"/>
        <v>990725.67260253755</v>
      </c>
      <c r="G118" s="136">
        <f>G155</f>
        <v>0</v>
      </c>
      <c r="H118" s="136">
        <f ca="1">H155</f>
        <v>0</v>
      </c>
      <c r="I118" s="136">
        <f ca="1">I155</f>
        <v>5570.9774179840997</v>
      </c>
      <c r="J118" s="136">
        <f t="shared" ref="J118:BU118" ca="1" si="162">J155</f>
        <v>13254.447407255851</v>
      </c>
      <c r="K118" s="136">
        <f t="shared" ca="1" si="162"/>
        <v>20987.353073787886</v>
      </c>
      <c r="L118" s="136">
        <f t="shared" ca="1" si="162"/>
        <v>28770.012488216202</v>
      </c>
      <c r="M118" s="136">
        <f t="shared" ca="1" si="162"/>
        <v>36602.74576765285</v>
      </c>
      <c r="N118" s="136">
        <f t="shared" ca="1" si="162"/>
        <v>44485.875088853019</v>
      </c>
      <c r="O118" s="136">
        <f t="shared" ca="1" si="162"/>
        <v>52419.724701466839</v>
      </c>
      <c r="P118" s="136">
        <f t="shared" ca="1" si="162"/>
        <v>60404.620941376459</v>
      </c>
      <c r="Q118" s="136">
        <f t="shared" ca="1" si="162"/>
        <v>64436.860428281907</v>
      </c>
      <c r="R118" s="136">
        <f t="shared" ca="1" si="162"/>
        <v>68457.774453541831</v>
      </c>
      <c r="S118" s="136">
        <f t="shared" ca="1" si="162"/>
        <v>72460.49975077252</v>
      </c>
      <c r="T118" s="136">
        <f t="shared" ca="1" si="162"/>
        <v>76449.552648457146</v>
      </c>
      <c r="U118" s="136">
        <f t="shared" ca="1" si="162"/>
        <v>0</v>
      </c>
      <c r="V118" s="136">
        <f t="shared" ca="1" si="162"/>
        <v>83729.849452298949</v>
      </c>
      <c r="W118" s="136">
        <f t="shared" ca="1" si="162"/>
        <v>76457.938298654728</v>
      </c>
      <c r="X118" s="136">
        <f t="shared" ca="1" si="162"/>
        <v>68482.839182062075</v>
      </c>
      <c r="Y118" s="136">
        <f t="shared" ca="1" si="162"/>
        <v>59123.141275068381</v>
      </c>
      <c r="Z118" s="136">
        <f t="shared" ca="1" si="162"/>
        <v>49331.885443046303</v>
      </c>
      <c r="AA118" s="136">
        <f t="shared" ca="1" si="162"/>
        <v>37492.550182853949</v>
      </c>
      <c r="AB118" s="136">
        <f t="shared" ca="1" si="162"/>
        <v>28570.160114470411</v>
      </c>
      <c r="AC118" s="136">
        <f t="shared" ca="1" si="162"/>
        <v>21599.894822581526</v>
      </c>
      <c r="AD118" s="136">
        <f t="shared" ca="1" si="162"/>
        <v>14291.824917460341</v>
      </c>
      <c r="AE118" s="136">
        <f t="shared" ca="1" si="162"/>
        <v>7345.144746391059</v>
      </c>
      <c r="AF118" s="136">
        <f t="shared" ca="1" si="162"/>
        <v>0</v>
      </c>
      <c r="AG118" s="136">
        <f t="shared" ca="1" si="162"/>
        <v>0</v>
      </c>
      <c r="AH118" s="136">
        <f t="shared" ca="1" si="162"/>
        <v>0</v>
      </c>
      <c r="AI118" s="136">
        <f t="shared" ca="1" si="162"/>
        <v>0</v>
      </c>
      <c r="AJ118" s="136">
        <f t="shared" ca="1" si="162"/>
        <v>0</v>
      </c>
      <c r="AK118" s="136">
        <f t="shared" ca="1" si="162"/>
        <v>0</v>
      </c>
      <c r="AL118" s="136">
        <f t="shared" ca="1" si="162"/>
        <v>0</v>
      </c>
      <c r="AM118" s="136">
        <f t="shared" ca="1" si="162"/>
        <v>0</v>
      </c>
      <c r="AN118" s="136">
        <f t="shared" ca="1" si="162"/>
        <v>0</v>
      </c>
      <c r="AO118" s="136">
        <f t="shared" ca="1" si="162"/>
        <v>0</v>
      </c>
      <c r="AP118" s="136">
        <f t="shared" ca="1" si="162"/>
        <v>0</v>
      </c>
      <c r="AQ118" s="136">
        <f t="shared" ca="1" si="162"/>
        <v>0</v>
      </c>
      <c r="AR118" s="136">
        <f t="shared" ca="1" si="162"/>
        <v>0</v>
      </c>
      <c r="AS118" s="136">
        <f t="shared" ca="1" si="162"/>
        <v>0</v>
      </c>
      <c r="AT118" s="136">
        <f t="shared" ca="1" si="162"/>
        <v>0</v>
      </c>
      <c r="AU118" s="136">
        <f t="shared" ca="1" si="162"/>
        <v>0</v>
      </c>
      <c r="AV118" s="136">
        <f t="shared" ca="1" si="162"/>
        <v>0</v>
      </c>
      <c r="AW118" s="136">
        <f t="shared" ca="1" si="162"/>
        <v>0</v>
      </c>
      <c r="AX118" s="136">
        <f t="shared" ca="1" si="162"/>
        <v>0</v>
      </c>
      <c r="AY118" s="136">
        <f t="shared" ca="1" si="162"/>
        <v>0</v>
      </c>
      <c r="AZ118" s="136">
        <f t="shared" ca="1" si="162"/>
        <v>0</v>
      </c>
      <c r="BA118" s="136">
        <f t="shared" ca="1" si="162"/>
        <v>0</v>
      </c>
      <c r="BB118" s="136">
        <f t="shared" ca="1" si="162"/>
        <v>0</v>
      </c>
      <c r="BC118" s="136">
        <f t="shared" ca="1" si="162"/>
        <v>0</v>
      </c>
      <c r="BD118" s="136">
        <f t="shared" ca="1" si="162"/>
        <v>0</v>
      </c>
      <c r="BE118" s="136">
        <f t="shared" ca="1" si="162"/>
        <v>0</v>
      </c>
      <c r="BF118" s="136">
        <f t="shared" ca="1" si="162"/>
        <v>0</v>
      </c>
      <c r="BG118" s="136">
        <f t="shared" ca="1" si="162"/>
        <v>0</v>
      </c>
      <c r="BH118" s="136">
        <f t="shared" ca="1" si="162"/>
        <v>0</v>
      </c>
      <c r="BI118" s="136">
        <f t="shared" ca="1" si="162"/>
        <v>0</v>
      </c>
      <c r="BJ118" s="136">
        <f t="shared" ca="1" si="162"/>
        <v>0</v>
      </c>
      <c r="BK118" s="136">
        <f t="shared" ca="1" si="162"/>
        <v>0</v>
      </c>
      <c r="BL118" s="136">
        <f t="shared" ca="1" si="162"/>
        <v>0</v>
      </c>
      <c r="BM118" s="136">
        <f t="shared" ca="1" si="162"/>
        <v>0</v>
      </c>
      <c r="BN118" s="136">
        <f t="shared" ca="1" si="162"/>
        <v>0</v>
      </c>
      <c r="BO118" s="136">
        <f t="shared" ca="1" si="162"/>
        <v>0</v>
      </c>
      <c r="BP118" s="136">
        <f t="shared" ca="1" si="162"/>
        <v>0</v>
      </c>
      <c r="BQ118" s="136">
        <f t="shared" ca="1" si="162"/>
        <v>0</v>
      </c>
      <c r="BR118" s="136">
        <f t="shared" ca="1" si="162"/>
        <v>0</v>
      </c>
      <c r="BS118" s="136">
        <f t="shared" ca="1" si="162"/>
        <v>0</v>
      </c>
      <c r="BT118" s="136">
        <f t="shared" ca="1" si="162"/>
        <v>0</v>
      </c>
      <c r="BU118" s="136">
        <f t="shared" ca="1" si="162"/>
        <v>0</v>
      </c>
      <c r="BV118" s="136">
        <f t="shared" ref="BV118:CA118" ca="1" si="163">BV155</f>
        <v>0</v>
      </c>
      <c r="BW118" s="136">
        <f t="shared" ca="1" si="163"/>
        <v>0</v>
      </c>
      <c r="BX118" s="136">
        <f t="shared" ca="1" si="163"/>
        <v>0</v>
      </c>
      <c r="BY118" s="136">
        <f t="shared" ca="1" si="163"/>
        <v>0</v>
      </c>
      <c r="BZ118" s="136">
        <f t="shared" ca="1" si="163"/>
        <v>0</v>
      </c>
      <c r="CA118" s="136">
        <f t="shared" ca="1" si="163"/>
        <v>0</v>
      </c>
    </row>
    <row r="119" spans="2:79">
      <c r="B119" s="273">
        <f>'Assumptions &amp; Inputs'!J23</f>
        <v>15</v>
      </c>
      <c r="C119" s="378">
        <f>'Sources &amp; Uses'!D43</f>
        <v>459000</v>
      </c>
      <c r="D119" s="136"/>
      <c r="E119" s="263">
        <f t="shared" si="161"/>
        <v>459000</v>
      </c>
      <c r="G119" s="136">
        <v>0</v>
      </c>
      <c r="H119" s="136">
        <f t="shared" ref="H119:AM119" si="164">IF(H6&gt;$B$119,0,$C$119/$B$119)</f>
        <v>30600</v>
      </c>
      <c r="I119" s="136">
        <f t="shared" si="164"/>
        <v>30600</v>
      </c>
      <c r="J119" s="136">
        <f t="shared" si="164"/>
        <v>30600</v>
      </c>
      <c r="K119" s="136">
        <f t="shared" si="164"/>
        <v>30600</v>
      </c>
      <c r="L119" s="136">
        <f t="shared" si="164"/>
        <v>30600</v>
      </c>
      <c r="M119" s="136">
        <f t="shared" si="164"/>
        <v>30600</v>
      </c>
      <c r="N119" s="136">
        <f t="shared" si="164"/>
        <v>30600</v>
      </c>
      <c r="O119" s="136">
        <f t="shared" si="164"/>
        <v>30600</v>
      </c>
      <c r="P119" s="136">
        <f t="shared" si="164"/>
        <v>30600</v>
      </c>
      <c r="Q119" s="136">
        <f t="shared" si="164"/>
        <v>30600</v>
      </c>
      <c r="R119" s="136">
        <f t="shared" si="164"/>
        <v>30600</v>
      </c>
      <c r="S119" s="136">
        <f t="shared" si="164"/>
        <v>30600</v>
      </c>
      <c r="T119" s="136">
        <f t="shared" si="164"/>
        <v>30600</v>
      </c>
      <c r="U119" s="136">
        <f t="shared" si="164"/>
        <v>30600</v>
      </c>
      <c r="V119" s="136">
        <f t="shared" si="164"/>
        <v>30600</v>
      </c>
      <c r="W119" s="136">
        <f t="shared" si="164"/>
        <v>0</v>
      </c>
      <c r="X119" s="136">
        <f t="shared" si="164"/>
        <v>0</v>
      </c>
      <c r="Y119" s="136">
        <f t="shared" si="164"/>
        <v>0</v>
      </c>
      <c r="Z119" s="136">
        <f t="shared" si="164"/>
        <v>0</v>
      </c>
      <c r="AA119" s="136">
        <f t="shared" si="164"/>
        <v>0</v>
      </c>
      <c r="AB119" s="136">
        <f t="shared" si="164"/>
        <v>0</v>
      </c>
      <c r="AC119" s="136">
        <f t="shared" si="164"/>
        <v>0</v>
      </c>
      <c r="AD119" s="136">
        <f t="shared" si="164"/>
        <v>0</v>
      </c>
      <c r="AE119" s="136">
        <f t="shared" si="164"/>
        <v>0</v>
      </c>
      <c r="AF119" s="136">
        <f t="shared" si="164"/>
        <v>0</v>
      </c>
      <c r="AG119" s="136">
        <f t="shared" si="164"/>
        <v>0</v>
      </c>
      <c r="AH119" s="136">
        <f t="shared" si="164"/>
        <v>0</v>
      </c>
      <c r="AI119" s="136">
        <f t="shared" si="164"/>
        <v>0</v>
      </c>
      <c r="AJ119" s="136">
        <f t="shared" si="164"/>
        <v>0</v>
      </c>
      <c r="AK119" s="136">
        <f t="shared" si="164"/>
        <v>0</v>
      </c>
      <c r="AL119" s="136">
        <f t="shared" si="164"/>
        <v>0</v>
      </c>
      <c r="AM119" s="136">
        <f t="shared" si="164"/>
        <v>0</v>
      </c>
      <c r="AN119" s="136">
        <f t="shared" ref="AN119:BS119" si="165">IF(AN6&gt;$B$119,0,$C$119/$B$119)</f>
        <v>0</v>
      </c>
      <c r="AO119" s="136">
        <f t="shared" si="165"/>
        <v>0</v>
      </c>
      <c r="AP119" s="136">
        <f t="shared" si="165"/>
        <v>0</v>
      </c>
      <c r="AQ119" s="136">
        <f t="shared" si="165"/>
        <v>0</v>
      </c>
      <c r="AR119" s="136">
        <f t="shared" si="165"/>
        <v>0</v>
      </c>
      <c r="AS119" s="136">
        <f t="shared" si="165"/>
        <v>0</v>
      </c>
      <c r="AT119" s="136">
        <f t="shared" si="165"/>
        <v>0</v>
      </c>
      <c r="AU119" s="136">
        <f t="shared" si="165"/>
        <v>0</v>
      </c>
      <c r="AV119" s="136">
        <f t="shared" si="165"/>
        <v>0</v>
      </c>
      <c r="AW119" s="136">
        <f t="shared" si="165"/>
        <v>0</v>
      </c>
      <c r="AX119" s="136">
        <f t="shared" si="165"/>
        <v>0</v>
      </c>
      <c r="AY119" s="136">
        <f t="shared" si="165"/>
        <v>0</v>
      </c>
      <c r="AZ119" s="136">
        <f t="shared" si="165"/>
        <v>0</v>
      </c>
      <c r="BA119" s="136">
        <f t="shared" si="165"/>
        <v>0</v>
      </c>
      <c r="BB119" s="136">
        <f t="shared" si="165"/>
        <v>0</v>
      </c>
      <c r="BC119" s="136">
        <f t="shared" si="165"/>
        <v>0</v>
      </c>
      <c r="BD119" s="136">
        <f t="shared" si="165"/>
        <v>0</v>
      </c>
      <c r="BE119" s="136">
        <f t="shared" si="165"/>
        <v>0</v>
      </c>
      <c r="BF119" s="136">
        <f t="shared" si="165"/>
        <v>0</v>
      </c>
      <c r="BG119" s="136">
        <f t="shared" si="165"/>
        <v>0</v>
      </c>
      <c r="BH119" s="136">
        <f t="shared" si="165"/>
        <v>0</v>
      </c>
      <c r="BI119" s="136">
        <f t="shared" si="165"/>
        <v>0</v>
      </c>
      <c r="BJ119" s="136">
        <f t="shared" si="165"/>
        <v>0</v>
      </c>
      <c r="BK119" s="136">
        <f t="shared" si="165"/>
        <v>0</v>
      </c>
      <c r="BL119" s="136">
        <f t="shared" si="165"/>
        <v>0</v>
      </c>
      <c r="BM119" s="136">
        <f t="shared" si="165"/>
        <v>0</v>
      </c>
      <c r="BN119" s="136">
        <f t="shared" si="165"/>
        <v>0</v>
      </c>
      <c r="BO119" s="136">
        <f t="shared" si="165"/>
        <v>0</v>
      </c>
      <c r="BP119" s="136">
        <f t="shared" si="165"/>
        <v>0</v>
      </c>
      <c r="BQ119" s="136">
        <f t="shared" si="165"/>
        <v>0</v>
      </c>
      <c r="BR119" s="136">
        <f t="shared" si="165"/>
        <v>0</v>
      </c>
      <c r="BS119" s="136">
        <f t="shared" si="165"/>
        <v>0</v>
      </c>
      <c r="BT119" s="136">
        <f t="shared" ref="BT119:CA119" si="166">IF(BT6&gt;$B$119,0,$C$119/$B$119)</f>
        <v>0</v>
      </c>
      <c r="BU119" s="136">
        <f t="shared" si="166"/>
        <v>0</v>
      </c>
      <c r="BV119" s="136">
        <f t="shared" si="166"/>
        <v>0</v>
      </c>
      <c r="BW119" s="136">
        <f t="shared" si="166"/>
        <v>0</v>
      </c>
      <c r="BX119" s="136">
        <f t="shared" si="166"/>
        <v>0</v>
      </c>
      <c r="BY119" s="136">
        <f t="shared" si="166"/>
        <v>0</v>
      </c>
      <c r="BZ119" s="136">
        <f t="shared" si="166"/>
        <v>0</v>
      </c>
      <c r="CA119" s="136">
        <f t="shared" si="166"/>
        <v>0</v>
      </c>
    </row>
    <row r="120" spans="2:79">
      <c r="B120" s="14" t="s">
        <v>42</v>
      </c>
      <c r="C120" s="136">
        <f ca="1">'Sources &amp; Uses'!D44</f>
        <v>179287.18636908074</v>
      </c>
      <c r="D120" s="136"/>
      <c r="E120" s="263">
        <f t="shared" ca="1" si="161"/>
        <v>179287.18636908074</v>
      </c>
      <c r="G120" s="136">
        <f t="shared" ref="G120:AL120" si="167">G103</f>
        <v>11830.518608414241</v>
      </c>
      <c r="H120" s="136">
        <f t="shared" si="167"/>
        <v>11830.518608414241</v>
      </c>
      <c r="I120" s="136">
        <f t="shared" si="167"/>
        <v>11830.518608414241</v>
      </c>
      <c r="J120" s="136">
        <f t="shared" si="167"/>
        <v>11830.518608414241</v>
      </c>
      <c r="K120" s="136">
        <f t="shared" si="167"/>
        <v>11830.518608414241</v>
      </c>
      <c r="L120" s="136">
        <f t="shared" si="167"/>
        <v>11830.518608414241</v>
      </c>
      <c r="M120" s="136">
        <f t="shared" si="167"/>
        <v>11830.518608414241</v>
      </c>
      <c r="N120" s="136">
        <f t="shared" si="167"/>
        <v>11830.518608414241</v>
      </c>
      <c r="O120" s="136">
        <f t="shared" si="167"/>
        <v>11830.518608414241</v>
      </c>
      <c r="P120" s="136">
        <f t="shared" si="167"/>
        <v>27009.555327329974</v>
      </c>
      <c r="Q120" s="136">
        <f t="shared" si="167"/>
        <v>21217.072034933328</v>
      </c>
      <c r="R120" s="136">
        <f t="shared" si="167"/>
        <v>14369.200765424699</v>
      </c>
      <c r="S120" s="136">
        <f t="shared" si="167"/>
        <v>8241.462169802322</v>
      </c>
      <c r="T120" s="136">
        <f t="shared" si="167"/>
        <v>1975.2285958622451</v>
      </c>
      <c r="U120" s="136">
        <f t="shared" ca="1" si="167"/>
        <v>0</v>
      </c>
      <c r="V120" s="136">
        <f t="shared" ca="1" si="167"/>
        <v>0</v>
      </c>
      <c r="W120" s="136">
        <f t="shared" ca="1" si="167"/>
        <v>0</v>
      </c>
      <c r="X120" s="136">
        <f t="shared" ca="1" si="167"/>
        <v>0</v>
      </c>
      <c r="Y120" s="136">
        <f t="shared" ca="1" si="167"/>
        <v>0</v>
      </c>
      <c r="Z120" s="136">
        <f t="shared" ca="1" si="167"/>
        <v>0</v>
      </c>
      <c r="AA120" s="136">
        <f t="shared" ca="1" si="167"/>
        <v>0</v>
      </c>
      <c r="AB120" s="136">
        <f t="shared" ca="1" si="167"/>
        <v>0</v>
      </c>
      <c r="AC120" s="136">
        <f t="shared" ca="1" si="167"/>
        <v>0</v>
      </c>
      <c r="AD120" s="136">
        <f t="shared" ca="1" si="167"/>
        <v>0</v>
      </c>
      <c r="AE120" s="136">
        <f t="shared" ca="1" si="167"/>
        <v>0</v>
      </c>
      <c r="AF120" s="136">
        <f t="shared" ca="1" si="167"/>
        <v>0</v>
      </c>
      <c r="AG120" s="136">
        <f t="shared" ca="1" si="167"/>
        <v>0</v>
      </c>
      <c r="AH120" s="136">
        <f t="shared" ca="1" si="167"/>
        <v>0</v>
      </c>
      <c r="AI120" s="136">
        <f t="shared" ca="1" si="167"/>
        <v>0</v>
      </c>
      <c r="AJ120" s="136">
        <f t="shared" ca="1" si="167"/>
        <v>0</v>
      </c>
      <c r="AK120" s="136">
        <f t="shared" ca="1" si="167"/>
        <v>0</v>
      </c>
      <c r="AL120" s="136">
        <f t="shared" ca="1" si="167"/>
        <v>0</v>
      </c>
      <c r="AM120" s="136">
        <f t="shared" ref="AM120:BR120" ca="1" si="168">AM103</f>
        <v>0</v>
      </c>
      <c r="AN120" s="136">
        <f t="shared" ca="1" si="168"/>
        <v>0</v>
      </c>
      <c r="AO120" s="136">
        <f t="shared" ca="1" si="168"/>
        <v>0</v>
      </c>
      <c r="AP120" s="136">
        <f t="shared" ca="1" si="168"/>
        <v>0</v>
      </c>
      <c r="AQ120" s="136">
        <f t="shared" ca="1" si="168"/>
        <v>0</v>
      </c>
      <c r="AR120" s="136">
        <f t="shared" ca="1" si="168"/>
        <v>0</v>
      </c>
      <c r="AS120" s="136">
        <f t="shared" ca="1" si="168"/>
        <v>0</v>
      </c>
      <c r="AT120" s="136">
        <f t="shared" ca="1" si="168"/>
        <v>0</v>
      </c>
      <c r="AU120" s="136">
        <f t="shared" ca="1" si="168"/>
        <v>0</v>
      </c>
      <c r="AV120" s="136">
        <f t="shared" ca="1" si="168"/>
        <v>0</v>
      </c>
      <c r="AW120" s="136">
        <f t="shared" ca="1" si="168"/>
        <v>0</v>
      </c>
      <c r="AX120" s="136">
        <f t="shared" ca="1" si="168"/>
        <v>0</v>
      </c>
      <c r="AY120" s="136">
        <f t="shared" ca="1" si="168"/>
        <v>0</v>
      </c>
      <c r="AZ120" s="136">
        <f t="shared" ca="1" si="168"/>
        <v>0</v>
      </c>
      <c r="BA120" s="136">
        <f t="shared" ca="1" si="168"/>
        <v>0</v>
      </c>
      <c r="BB120" s="136">
        <f t="shared" ca="1" si="168"/>
        <v>0</v>
      </c>
      <c r="BC120" s="136">
        <f t="shared" si="168"/>
        <v>0</v>
      </c>
      <c r="BD120" s="136">
        <f t="shared" si="168"/>
        <v>0</v>
      </c>
      <c r="BE120" s="136">
        <f t="shared" si="168"/>
        <v>0</v>
      </c>
      <c r="BF120" s="136">
        <f t="shared" si="168"/>
        <v>0</v>
      </c>
      <c r="BG120" s="136">
        <f t="shared" si="168"/>
        <v>0</v>
      </c>
      <c r="BH120" s="136">
        <f t="shared" si="168"/>
        <v>0</v>
      </c>
      <c r="BI120" s="136">
        <f t="shared" si="168"/>
        <v>0</v>
      </c>
      <c r="BJ120" s="136">
        <f t="shared" si="168"/>
        <v>0</v>
      </c>
      <c r="BK120" s="136">
        <f t="shared" si="168"/>
        <v>0</v>
      </c>
      <c r="BL120" s="136">
        <f t="shared" si="168"/>
        <v>0</v>
      </c>
      <c r="BM120" s="136">
        <f t="shared" si="168"/>
        <v>0</v>
      </c>
      <c r="BN120" s="136">
        <f t="shared" si="168"/>
        <v>0</v>
      </c>
      <c r="BO120" s="136">
        <f t="shared" si="168"/>
        <v>0</v>
      </c>
      <c r="BP120" s="136">
        <f t="shared" si="168"/>
        <v>0</v>
      </c>
      <c r="BQ120" s="136">
        <f t="shared" si="168"/>
        <v>0</v>
      </c>
      <c r="BR120" s="136">
        <f t="shared" si="168"/>
        <v>0</v>
      </c>
      <c r="BS120" s="136">
        <f t="shared" ref="BS120:CA120" si="169">BS103</f>
        <v>0</v>
      </c>
      <c r="BT120" s="136">
        <f t="shared" si="169"/>
        <v>0</v>
      </c>
      <c r="BU120" s="136">
        <f t="shared" si="169"/>
        <v>0</v>
      </c>
      <c r="BV120" s="136">
        <f t="shared" si="169"/>
        <v>0</v>
      </c>
      <c r="BW120" s="136">
        <f t="shared" si="169"/>
        <v>0</v>
      </c>
      <c r="BX120" s="136">
        <f t="shared" si="169"/>
        <v>0</v>
      </c>
      <c r="BY120" s="136">
        <f t="shared" si="169"/>
        <v>0</v>
      </c>
      <c r="BZ120" s="136">
        <f t="shared" si="169"/>
        <v>0</v>
      </c>
      <c r="CA120" s="136">
        <f t="shared" si="169"/>
        <v>0</v>
      </c>
    </row>
    <row r="121" spans="2:79">
      <c r="B121" s="274">
        <f>'Assumptions &amp; Inputs'!J22</f>
        <v>18</v>
      </c>
      <c r="C121" s="136">
        <f>'Sources &amp; Uses'!D47</f>
        <v>75362</v>
      </c>
      <c r="D121" s="136"/>
      <c r="E121" s="263">
        <f>SUM(G121:CA121)</f>
        <v>75362.000000000029</v>
      </c>
      <c r="G121" s="136">
        <v>0</v>
      </c>
      <c r="H121" s="136">
        <f>IF(H6&lt;=$B$121,'Sources &amp; Uses'!$D$47/$B$121,0)</f>
        <v>4186.7777777777774</v>
      </c>
      <c r="I121" s="136">
        <f>IF(I6&lt;=$B$121,'Sources &amp; Uses'!$D$47/$B$121,0)</f>
        <v>4186.7777777777774</v>
      </c>
      <c r="J121" s="136">
        <f>IF(J6&lt;=$B$121,'Sources &amp; Uses'!$D$47/$B$121,0)</f>
        <v>4186.7777777777774</v>
      </c>
      <c r="K121" s="136">
        <f>IF(K6&lt;=$B$121,'Sources &amp; Uses'!$D$47/$B$121,0)</f>
        <v>4186.7777777777774</v>
      </c>
      <c r="L121" s="136">
        <f>IF(L6&lt;=$B$121,'Sources &amp; Uses'!$D$47/$B$121,0)</f>
        <v>4186.7777777777774</v>
      </c>
      <c r="M121" s="136">
        <f>IF(M6&lt;=$B$121,'Sources &amp; Uses'!$D$47/$B$121,0)</f>
        <v>4186.7777777777774</v>
      </c>
      <c r="N121" s="136">
        <f>IF(N6&lt;=$B$121,'Sources &amp; Uses'!$D$47/$B$121,0)</f>
        <v>4186.7777777777774</v>
      </c>
      <c r="O121" s="136">
        <f>IF(O6&lt;=$B$121,'Sources &amp; Uses'!$D$47/$B$121,0)</f>
        <v>4186.7777777777774</v>
      </c>
      <c r="P121" s="136">
        <f>IF(P6&lt;=$B$121,'Sources &amp; Uses'!$D$47/$B$121,0)</f>
        <v>4186.7777777777774</v>
      </c>
      <c r="Q121" s="136">
        <f>IF(Q6&lt;=$B$121,'Sources &amp; Uses'!$D$47/$B$121,0)</f>
        <v>4186.7777777777774</v>
      </c>
      <c r="R121" s="136">
        <f>IF(R6&lt;=$B$121,'Sources &amp; Uses'!$D$47/$B$121,0)</f>
        <v>4186.7777777777774</v>
      </c>
      <c r="S121" s="136">
        <f>IF(S6&lt;=$B$121,'Sources &amp; Uses'!$D$47/$B$121,0)</f>
        <v>4186.7777777777774</v>
      </c>
      <c r="T121" s="136">
        <f>IF(T6&lt;=$B$121,'Sources &amp; Uses'!$D$47/$B$121,0)</f>
        <v>4186.7777777777774</v>
      </c>
      <c r="U121" s="136">
        <f>IF(U6&lt;=$B$121,'Sources &amp; Uses'!$D$47/$B$121,0)</f>
        <v>4186.7777777777774</v>
      </c>
      <c r="V121" s="136">
        <f>IF(V6&lt;=$B$121,'Sources &amp; Uses'!$D$47/$B$121,0)</f>
        <v>4186.7777777777774</v>
      </c>
      <c r="W121" s="136">
        <f>IF(W6&lt;=$B$121,'Sources &amp; Uses'!$D$47/$B$121,0)</f>
        <v>4186.7777777777774</v>
      </c>
      <c r="X121" s="136">
        <f>IF(X6&lt;=$B$121,'Sources &amp; Uses'!$D$47/$B$121,0)</f>
        <v>4186.7777777777774</v>
      </c>
      <c r="Y121" s="136">
        <f>IF(Y6&lt;=$B$121,'Sources &amp; Uses'!$D$47/$B$121,0)</f>
        <v>4186.7777777777774</v>
      </c>
      <c r="Z121" s="136">
        <f>IF(Z6&lt;=$B$121,'Sources &amp; Uses'!$D$47/$B$121,0)</f>
        <v>0</v>
      </c>
      <c r="AA121" s="136">
        <f>IF(AA6&lt;=$B$121,'Sources &amp; Uses'!$D$47/$B$121,0)</f>
        <v>0</v>
      </c>
      <c r="AB121" s="136">
        <f>IF(AB6&lt;=$B$121,'Sources &amp; Uses'!$D$47/$B$121,0)</f>
        <v>0</v>
      </c>
      <c r="AC121" s="136">
        <f>IF(AC6&lt;=$B$121,'Sources &amp; Uses'!$D$47/$B$121,0)</f>
        <v>0</v>
      </c>
      <c r="AD121" s="136">
        <f>IF(AD6&lt;=$B$121,'Sources &amp; Uses'!$D$47/$B$121,0)</f>
        <v>0</v>
      </c>
      <c r="AE121" s="136">
        <f>IF(AE6&lt;=$B$121,'Sources &amp; Uses'!$D$47/$B$121,0)</f>
        <v>0</v>
      </c>
      <c r="AF121" s="136">
        <f>IF(AF6&lt;=$B$121,'Sources &amp; Uses'!$D$47/$B$121,0)</f>
        <v>0</v>
      </c>
      <c r="AG121" s="136">
        <f>IF(AG6&lt;=$B$121,'Sources &amp; Uses'!$D$47/$B$121,0)</f>
        <v>0</v>
      </c>
      <c r="AH121" s="136">
        <f>IF(AH6&lt;=$B$121,'Sources &amp; Uses'!$D$47/$B$121,0)</f>
        <v>0</v>
      </c>
      <c r="AI121" s="136">
        <f>IF(AI6&lt;=$B$121,'Sources &amp; Uses'!$D$47/$B$121,0)</f>
        <v>0</v>
      </c>
      <c r="AJ121" s="136">
        <f>IF(AJ6&lt;=$B$121,'Sources &amp; Uses'!$D$47/$B$121,0)</f>
        <v>0</v>
      </c>
      <c r="AK121" s="136">
        <f>IF(AK6&lt;=$B$121,'Sources &amp; Uses'!$D$47/$B$121,0)</f>
        <v>0</v>
      </c>
      <c r="AL121" s="136">
        <f>IF(AL6&lt;=$B$121,'Sources &amp; Uses'!$D$47/$B$121,0)</f>
        <v>0</v>
      </c>
      <c r="AM121" s="136">
        <f>IF(AM6&lt;=$B$121,'Sources &amp; Uses'!$D$47/$B$121,0)</f>
        <v>0</v>
      </c>
      <c r="AN121" s="136">
        <f>IF(AN6&lt;=$B$121,'Sources &amp; Uses'!$D$47/$B$121,0)</f>
        <v>0</v>
      </c>
      <c r="AO121" s="136">
        <f>IF(AO6&lt;=$B$121,'Sources &amp; Uses'!$D$47/$B$121,0)</f>
        <v>0</v>
      </c>
      <c r="AP121" s="136">
        <f>IF(AP6&lt;=$B$121,'Sources &amp; Uses'!$D$47/$B$121,0)</f>
        <v>0</v>
      </c>
      <c r="AQ121" s="136">
        <f>IF(AQ6&lt;=$B$121,'Sources &amp; Uses'!$D$47/$B$121,0)</f>
        <v>0</v>
      </c>
      <c r="AR121" s="136">
        <f>IF(AR6&lt;=$B$121,'Sources &amp; Uses'!$D$47/$B$121,0)</f>
        <v>0</v>
      </c>
      <c r="AS121" s="136">
        <f>IF(AS6&lt;=$B$121,'Sources &amp; Uses'!$D$47/$B$121,0)</f>
        <v>0</v>
      </c>
      <c r="AT121" s="136">
        <f>IF(AT6&lt;=$B$121,'Sources &amp; Uses'!$D$47/$B$121,0)</f>
        <v>0</v>
      </c>
      <c r="AU121" s="136">
        <f>IF(AU6&lt;=$B$121,'Sources &amp; Uses'!$D$47/$B$121,0)</f>
        <v>0</v>
      </c>
      <c r="AV121" s="136">
        <f>IF(AV6&lt;=$B$121,'Sources &amp; Uses'!$D$47/$B$121,0)</f>
        <v>0</v>
      </c>
      <c r="AW121" s="136">
        <f>IF(AW6&lt;=$B$121,'Sources &amp; Uses'!$D$47/$B$121,0)</f>
        <v>0</v>
      </c>
      <c r="AX121" s="136">
        <f>IF(AX6&lt;=$B$121,'Sources &amp; Uses'!$D$47/$B$121,0)</f>
        <v>0</v>
      </c>
      <c r="AY121" s="136">
        <f>IF(AY6&lt;=$B$121,'Sources &amp; Uses'!$D$47/$B$121,0)</f>
        <v>0</v>
      </c>
      <c r="AZ121" s="136">
        <f>IF(AZ6&lt;=$B$121,'Sources &amp; Uses'!$D$47/$B$121,0)</f>
        <v>0</v>
      </c>
      <c r="BA121" s="136">
        <f>IF(BA6&lt;=$B$121,'Sources &amp; Uses'!$D$47/$B$121,0)</f>
        <v>0</v>
      </c>
      <c r="BB121" s="136">
        <f>IF(BB6&lt;=$B$121,'Sources &amp; Uses'!$D$47/$B$121,0)</f>
        <v>0</v>
      </c>
      <c r="BC121" s="136">
        <f>IF(BC6&lt;=$B$121,'Sources &amp; Uses'!$D$47/$B$121,0)</f>
        <v>0</v>
      </c>
      <c r="BD121" s="136">
        <f>IF(BD6&lt;=$B$121,'Sources &amp; Uses'!$D$47/$B$121,0)</f>
        <v>0</v>
      </c>
      <c r="BE121" s="136">
        <f>IF(BE6&lt;=$B$121,'Sources &amp; Uses'!$D$47/$B$121,0)</f>
        <v>0</v>
      </c>
      <c r="BF121" s="136">
        <f>IF(BF6&lt;=$B$121,'Sources &amp; Uses'!$D$47/$B$121,0)</f>
        <v>0</v>
      </c>
      <c r="BG121" s="136">
        <f>IF(BG6&lt;=$B$121,'Sources &amp; Uses'!$D$47/$B$121,0)</f>
        <v>0</v>
      </c>
      <c r="BH121" s="136">
        <f>IF(BH6&lt;=$B$121,'Sources &amp; Uses'!$D$47/$B$121,0)</f>
        <v>0</v>
      </c>
      <c r="BI121" s="136">
        <f>IF(BI6&lt;=$B$121,'Sources &amp; Uses'!$D$47/$B$121,0)</f>
        <v>0</v>
      </c>
      <c r="BJ121" s="136">
        <f>IF(BJ6&lt;=$B$121,'Sources &amp; Uses'!$D$47/$B$121,0)</f>
        <v>0</v>
      </c>
      <c r="BK121" s="136">
        <f>IF(BK6&lt;=$B$121,'Sources &amp; Uses'!$D$47/$B$121,0)</f>
        <v>0</v>
      </c>
      <c r="BL121" s="136">
        <f>IF(BL6&lt;=$B$121,'Sources &amp; Uses'!$D$47/$B$121,0)</f>
        <v>0</v>
      </c>
      <c r="BM121" s="136">
        <f>IF(BM6&lt;=$B$121,'Sources &amp; Uses'!$D$47/$B$121,0)</f>
        <v>0</v>
      </c>
      <c r="BN121" s="136">
        <f>IF(BN6&lt;=$B$121,'Sources &amp; Uses'!$D$47/$B$121,0)</f>
        <v>0</v>
      </c>
      <c r="BO121" s="136">
        <f>IF(BO6&lt;=$B$121,'Sources &amp; Uses'!$D$47/$B$121,0)</f>
        <v>0</v>
      </c>
      <c r="BP121" s="136">
        <f>IF(BP6&lt;=$B$121,'Sources &amp; Uses'!$D$47/$B$121,0)</f>
        <v>0</v>
      </c>
      <c r="BQ121" s="136">
        <f>IF(BQ6&lt;=$B$121,'Sources &amp; Uses'!$D$47/$B$121,0)</f>
        <v>0</v>
      </c>
      <c r="BR121" s="136">
        <f>IF(BR6&lt;=$B$121,'Sources &amp; Uses'!$D$47/$B$121,0)</f>
        <v>0</v>
      </c>
      <c r="BS121" s="136">
        <f>IF(BS6&lt;=$B$121,'Sources &amp; Uses'!$D$47/$B$121,0)</f>
        <v>0</v>
      </c>
      <c r="BT121" s="136">
        <f>IF(BT6&lt;=$B$121,'Sources &amp; Uses'!$D$47/$B$121,0)</f>
        <v>0</v>
      </c>
      <c r="BU121" s="136">
        <f>IF(BU6&lt;=$B$121,'Sources &amp; Uses'!$D$47/$B$121,0)</f>
        <v>0</v>
      </c>
      <c r="BV121" s="136">
        <f>IF(BV6&lt;=$B$121,'Sources &amp; Uses'!$D$47/$B$121,0)</f>
        <v>0</v>
      </c>
      <c r="BW121" s="136">
        <f>IF(BW6&lt;=$B$121,'Sources &amp; Uses'!$D$47/$B$121,0)</f>
        <v>0</v>
      </c>
      <c r="BX121" s="136">
        <f>IF(BX6&lt;=$B$121,'Sources &amp; Uses'!$D$47/$B$121,0)</f>
        <v>0</v>
      </c>
      <c r="BY121" s="136">
        <f>IF(BY6&lt;=$B$121,'Sources &amp; Uses'!$D$47/$B$121,0)</f>
        <v>0</v>
      </c>
      <c r="BZ121" s="136">
        <f>IF(BZ6&lt;=$B$121,'Sources &amp; Uses'!$D$47/$B$121,0)</f>
        <v>0</v>
      </c>
      <c r="CA121" s="136">
        <f>IF(CA6&lt;=$B$121,'Sources &amp; Uses'!$D$47/$B$121,0)</f>
        <v>0</v>
      </c>
    </row>
    <row r="122" spans="2:79">
      <c r="B122" s="276">
        <f>'Assumptions &amp; Inputs'!J25</f>
        <v>24</v>
      </c>
      <c r="C122" s="136">
        <f ca="1">SUM('Sources &amp; Uses'!D34,'Sources &amp; Uses'!D48)</f>
        <v>1697178.7001335833</v>
      </c>
      <c r="D122" s="136"/>
      <c r="E122" s="263">
        <f t="shared" ca="1" si="161"/>
        <v>1697178.700133584</v>
      </c>
      <c r="G122" s="136">
        <v>0</v>
      </c>
      <c r="H122" s="136">
        <f t="shared" ref="H122:AM122" ca="1" si="170">IF(H6&lt;=$B$122,$C$122/$B$122,0)</f>
        <v>70715.779172232636</v>
      </c>
      <c r="I122" s="136">
        <f t="shared" ca="1" si="170"/>
        <v>70715.779172232636</v>
      </c>
      <c r="J122" s="136">
        <f t="shared" ca="1" si="170"/>
        <v>70715.779172232636</v>
      </c>
      <c r="K122" s="136">
        <f t="shared" ca="1" si="170"/>
        <v>70715.779172232636</v>
      </c>
      <c r="L122" s="136">
        <f t="shared" ca="1" si="170"/>
        <v>70715.779172232636</v>
      </c>
      <c r="M122" s="136">
        <f t="shared" ca="1" si="170"/>
        <v>70715.779172232636</v>
      </c>
      <c r="N122" s="136">
        <f t="shared" ca="1" si="170"/>
        <v>70715.779172232636</v>
      </c>
      <c r="O122" s="136">
        <f t="shared" ca="1" si="170"/>
        <v>70715.779172232636</v>
      </c>
      <c r="P122" s="136">
        <f t="shared" ca="1" si="170"/>
        <v>70715.779172232636</v>
      </c>
      <c r="Q122" s="136">
        <f t="shared" ca="1" si="170"/>
        <v>70715.779172232636</v>
      </c>
      <c r="R122" s="136">
        <f t="shared" ca="1" si="170"/>
        <v>70715.779172232636</v>
      </c>
      <c r="S122" s="136">
        <f t="shared" ca="1" si="170"/>
        <v>70715.779172232636</v>
      </c>
      <c r="T122" s="136">
        <f t="shared" ca="1" si="170"/>
        <v>70715.779172232636</v>
      </c>
      <c r="U122" s="136">
        <f t="shared" ca="1" si="170"/>
        <v>70715.779172232636</v>
      </c>
      <c r="V122" s="136">
        <f t="shared" ca="1" si="170"/>
        <v>70715.779172232636</v>
      </c>
      <c r="W122" s="136">
        <f t="shared" ca="1" si="170"/>
        <v>70715.779172232636</v>
      </c>
      <c r="X122" s="136">
        <f t="shared" ca="1" si="170"/>
        <v>70715.779172232636</v>
      </c>
      <c r="Y122" s="136">
        <f t="shared" ca="1" si="170"/>
        <v>70715.779172232636</v>
      </c>
      <c r="Z122" s="136">
        <f t="shared" ca="1" si="170"/>
        <v>70715.779172232636</v>
      </c>
      <c r="AA122" s="136">
        <f t="shared" ca="1" si="170"/>
        <v>70715.779172232636</v>
      </c>
      <c r="AB122" s="136">
        <f t="shared" ca="1" si="170"/>
        <v>70715.779172232636</v>
      </c>
      <c r="AC122" s="136">
        <f t="shared" ca="1" si="170"/>
        <v>70715.779172232636</v>
      </c>
      <c r="AD122" s="136">
        <f t="shared" ca="1" si="170"/>
        <v>70715.779172232636</v>
      </c>
      <c r="AE122" s="136">
        <f t="shared" ca="1" si="170"/>
        <v>70715.779172232636</v>
      </c>
      <c r="AF122" s="136">
        <f t="shared" si="170"/>
        <v>0</v>
      </c>
      <c r="AG122" s="136">
        <f t="shared" si="170"/>
        <v>0</v>
      </c>
      <c r="AH122" s="136">
        <f t="shared" si="170"/>
        <v>0</v>
      </c>
      <c r="AI122" s="136">
        <f t="shared" si="170"/>
        <v>0</v>
      </c>
      <c r="AJ122" s="136">
        <f t="shared" si="170"/>
        <v>0</v>
      </c>
      <c r="AK122" s="136">
        <f t="shared" si="170"/>
        <v>0</v>
      </c>
      <c r="AL122" s="136">
        <f t="shared" si="170"/>
        <v>0</v>
      </c>
      <c r="AM122" s="136">
        <f t="shared" si="170"/>
        <v>0</v>
      </c>
      <c r="AN122" s="136">
        <f t="shared" ref="AN122:BS122" si="171">IF(AN6&lt;=$B$122,$C$122/$B$122,0)</f>
        <v>0</v>
      </c>
      <c r="AO122" s="136">
        <f t="shared" si="171"/>
        <v>0</v>
      </c>
      <c r="AP122" s="136">
        <f t="shared" si="171"/>
        <v>0</v>
      </c>
      <c r="AQ122" s="136">
        <f t="shared" si="171"/>
        <v>0</v>
      </c>
      <c r="AR122" s="136">
        <f t="shared" si="171"/>
        <v>0</v>
      </c>
      <c r="AS122" s="136">
        <f t="shared" si="171"/>
        <v>0</v>
      </c>
      <c r="AT122" s="136">
        <f t="shared" si="171"/>
        <v>0</v>
      </c>
      <c r="AU122" s="136">
        <f t="shared" si="171"/>
        <v>0</v>
      </c>
      <c r="AV122" s="136">
        <f t="shared" si="171"/>
        <v>0</v>
      </c>
      <c r="AW122" s="136">
        <f t="shared" si="171"/>
        <v>0</v>
      </c>
      <c r="AX122" s="136">
        <f t="shared" si="171"/>
        <v>0</v>
      </c>
      <c r="AY122" s="136">
        <f t="shared" si="171"/>
        <v>0</v>
      </c>
      <c r="AZ122" s="136">
        <f t="shared" si="171"/>
        <v>0</v>
      </c>
      <c r="BA122" s="136">
        <f t="shared" si="171"/>
        <v>0</v>
      </c>
      <c r="BB122" s="136">
        <f t="shared" si="171"/>
        <v>0</v>
      </c>
      <c r="BC122" s="136">
        <f t="shared" si="171"/>
        <v>0</v>
      </c>
      <c r="BD122" s="136">
        <f t="shared" si="171"/>
        <v>0</v>
      </c>
      <c r="BE122" s="136">
        <f t="shared" si="171"/>
        <v>0</v>
      </c>
      <c r="BF122" s="136">
        <f t="shared" si="171"/>
        <v>0</v>
      </c>
      <c r="BG122" s="136">
        <f t="shared" si="171"/>
        <v>0</v>
      </c>
      <c r="BH122" s="136">
        <f t="shared" si="171"/>
        <v>0</v>
      </c>
      <c r="BI122" s="136">
        <f t="shared" si="171"/>
        <v>0</v>
      </c>
      <c r="BJ122" s="136">
        <f t="shared" si="171"/>
        <v>0</v>
      </c>
      <c r="BK122" s="136">
        <f t="shared" si="171"/>
        <v>0</v>
      </c>
      <c r="BL122" s="136">
        <f t="shared" si="171"/>
        <v>0</v>
      </c>
      <c r="BM122" s="136">
        <f t="shared" si="171"/>
        <v>0</v>
      </c>
      <c r="BN122" s="136">
        <f t="shared" si="171"/>
        <v>0</v>
      </c>
      <c r="BO122" s="136">
        <f t="shared" si="171"/>
        <v>0</v>
      </c>
      <c r="BP122" s="136">
        <f t="shared" si="171"/>
        <v>0</v>
      </c>
      <c r="BQ122" s="136">
        <f t="shared" si="171"/>
        <v>0</v>
      </c>
      <c r="BR122" s="136">
        <f t="shared" si="171"/>
        <v>0</v>
      </c>
      <c r="BS122" s="136">
        <f t="shared" si="171"/>
        <v>0</v>
      </c>
      <c r="BT122" s="136">
        <f t="shared" ref="BT122:CA122" si="172">IF(BT6&lt;=$B$122,$C$122/$B$122,0)</f>
        <v>0</v>
      </c>
      <c r="BU122" s="136">
        <f t="shared" si="172"/>
        <v>0</v>
      </c>
      <c r="BV122" s="136">
        <f t="shared" si="172"/>
        <v>0</v>
      </c>
      <c r="BW122" s="136">
        <f t="shared" si="172"/>
        <v>0</v>
      </c>
      <c r="BX122" s="136">
        <f t="shared" si="172"/>
        <v>0</v>
      </c>
      <c r="BY122" s="136">
        <f t="shared" si="172"/>
        <v>0</v>
      </c>
      <c r="BZ122" s="136">
        <f t="shared" si="172"/>
        <v>0</v>
      </c>
      <c r="CA122" s="136">
        <f t="shared" si="172"/>
        <v>0</v>
      </c>
    </row>
    <row r="123" spans="2:79">
      <c r="B123" s="253" t="s">
        <v>45</v>
      </c>
      <c r="C123" s="255">
        <f ca="1">SUM(C110:C122)</f>
        <v>21626965.701469425</v>
      </c>
      <c r="D123" s="255"/>
      <c r="E123" s="264">
        <f ca="1">SUM(E110:E122)</f>
        <v>21626965.701469414</v>
      </c>
      <c r="F123" s="254"/>
      <c r="G123" s="277">
        <f t="shared" ref="G123:AL123" si="173">SUM(G110:G122)</f>
        <v>6170830.5186084146</v>
      </c>
      <c r="H123" s="277">
        <f t="shared" ca="1" si="173"/>
        <v>1621996.4428701538</v>
      </c>
      <c r="I123" s="277">
        <f t="shared" ca="1" si="173"/>
        <v>1194192.4202881379</v>
      </c>
      <c r="J123" s="277">
        <f t="shared" ca="1" si="173"/>
        <v>1201875.8902774097</v>
      </c>
      <c r="K123" s="277">
        <f t="shared" ca="1" si="173"/>
        <v>1209608.7959439417</v>
      </c>
      <c r="L123" s="277">
        <f t="shared" ca="1" si="173"/>
        <v>1217391.45535837</v>
      </c>
      <c r="M123" s="277">
        <f t="shared" ca="1" si="173"/>
        <v>1225224.1886378066</v>
      </c>
      <c r="N123" s="277">
        <f t="shared" ca="1" si="173"/>
        <v>1233107.3179590069</v>
      </c>
      <c r="O123" s="277">
        <f t="shared" ca="1" si="173"/>
        <v>1241041.1675716206</v>
      </c>
      <c r="P123" s="277">
        <f t="shared" ca="1" si="173"/>
        <v>626705.10053044604</v>
      </c>
      <c r="Q123" s="277">
        <f t="shared" ca="1" si="173"/>
        <v>624944.85672495479</v>
      </c>
      <c r="R123" s="277">
        <f t="shared" ca="1" si="173"/>
        <v>622117.89948070608</v>
      </c>
      <c r="S123" s="277">
        <f t="shared" ca="1" si="173"/>
        <v>619992.88618231437</v>
      </c>
      <c r="T123" s="277">
        <f t="shared" ca="1" si="173"/>
        <v>617715.70550605899</v>
      </c>
      <c r="U123" s="277">
        <f t="shared" ca="1" si="173"/>
        <v>539290.92426173959</v>
      </c>
      <c r="V123" s="277">
        <f t="shared" ca="1" si="173"/>
        <v>189232.40640230937</v>
      </c>
      <c r="W123" s="277">
        <f t="shared" ca="1" si="173"/>
        <v>151360.49524866516</v>
      </c>
      <c r="X123" s="277">
        <f t="shared" ca="1" si="173"/>
        <v>143385.39613207249</v>
      </c>
      <c r="Y123" s="277">
        <f t="shared" ca="1" si="173"/>
        <v>134025.69822507881</v>
      </c>
      <c r="Z123" s="277">
        <f t="shared" ca="1" si="173"/>
        <v>120047.66461527895</v>
      </c>
      <c r="AA123" s="277">
        <f t="shared" ca="1" si="173"/>
        <v>108208.32935508658</v>
      </c>
      <c r="AB123" s="277">
        <f t="shared" ca="1" si="173"/>
        <v>99285.93928670304</v>
      </c>
      <c r="AC123" s="277">
        <f t="shared" ca="1" si="173"/>
        <v>92315.673994814162</v>
      </c>
      <c r="AD123" s="277">
        <f t="shared" ca="1" si="173"/>
        <v>85007.604089692977</v>
      </c>
      <c r="AE123" s="277">
        <f t="shared" ca="1" si="173"/>
        <v>78060.923918623695</v>
      </c>
      <c r="AF123" s="277">
        <f t="shared" ca="1" si="173"/>
        <v>0</v>
      </c>
      <c r="AG123" s="277">
        <f t="shared" ca="1" si="173"/>
        <v>0</v>
      </c>
      <c r="AH123" s="277">
        <f t="shared" ca="1" si="173"/>
        <v>0</v>
      </c>
      <c r="AI123" s="277">
        <f t="shared" ca="1" si="173"/>
        <v>0</v>
      </c>
      <c r="AJ123" s="277">
        <f t="shared" ca="1" si="173"/>
        <v>0</v>
      </c>
      <c r="AK123" s="277">
        <f t="shared" ca="1" si="173"/>
        <v>0</v>
      </c>
      <c r="AL123" s="277">
        <f t="shared" ca="1" si="173"/>
        <v>0</v>
      </c>
      <c r="AM123" s="277">
        <f t="shared" ref="AM123:BR123" ca="1" si="174">SUM(AM110:AM122)</f>
        <v>0</v>
      </c>
      <c r="AN123" s="277">
        <f t="shared" ca="1" si="174"/>
        <v>0</v>
      </c>
      <c r="AO123" s="277">
        <f t="shared" ca="1" si="174"/>
        <v>0</v>
      </c>
      <c r="AP123" s="277">
        <f t="shared" ca="1" si="174"/>
        <v>0</v>
      </c>
      <c r="AQ123" s="277">
        <f t="shared" ca="1" si="174"/>
        <v>460000</v>
      </c>
      <c r="AR123" s="277">
        <f t="shared" ca="1" si="174"/>
        <v>0</v>
      </c>
      <c r="AS123" s="277">
        <f t="shared" ca="1" si="174"/>
        <v>0</v>
      </c>
      <c r="AT123" s="277">
        <f t="shared" ca="1" si="174"/>
        <v>0</v>
      </c>
      <c r="AU123" s="277">
        <f t="shared" ca="1" si="174"/>
        <v>0</v>
      </c>
      <c r="AV123" s="277">
        <f t="shared" ca="1" si="174"/>
        <v>0</v>
      </c>
      <c r="AW123" s="277">
        <f t="shared" ca="1" si="174"/>
        <v>0</v>
      </c>
      <c r="AX123" s="277">
        <f t="shared" ca="1" si="174"/>
        <v>0</v>
      </c>
      <c r="AY123" s="277">
        <f t="shared" ca="1" si="174"/>
        <v>0</v>
      </c>
      <c r="AZ123" s="277">
        <f t="shared" ca="1" si="174"/>
        <v>0</v>
      </c>
      <c r="BA123" s="277">
        <f t="shared" ca="1" si="174"/>
        <v>0</v>
      </c>
      <c r="BB123" s="277">
        <f t="shared" ca="1" si="174"/>
        <v>0</v>
      </c>
      <c r="BC123" s="277">
        <f t="shared" ca="1" si="174"/>
        <v>0</v>
      </c>
      <c r="BD123" s="277">
        <f t="shared" ca="1" si="174"/>
        <v>0</v>
      </c>
      <c r="BE123" s="277">
        <f t="shared" ca="1" si="174"/>
        <v>0</v>
      </c>
      <c r="BF123" s="277">
        <f t="shared" ca="1" si="174"/>
        <v>0</v>
      </c>
      <c r="BG123" s="277">
        <f t="shared" ca="1" si="174"/>
        <v>0</v>
      </c>
      <c r="BH123" s="277">
        <f t="shared" ca="1" si="174"/>
        <v>0</v>
      </c>
      <c r="BI123" s="277">
        <f t="shared" ca="1" si="174"/>
        <v>0</v>
      </c>
      <c r="BJ123" s="277">
        <f t="shared" ca="1" si="174"/>
        <v>0</v>
      </c>
      <c r="BK123" s="277">
        <f t="shared" ca="1" si="174"/>
        <v>0</v>
      </c>
      <c r="BL123" s="277">
        <f t="shared" ca="1" si="174"/>
        <v>0</v>
      </c>
      <c r="BM123" s="277">
        <f t="shared" ca="1" si="174"/>
        <v>0</v>
      </c>
      <c r="BN123" s="277">
        <f t="shared" ca="1" si="174"/>
        <v>0</v>
      </c>
      <c r="BO123" s="277">
        <f t="shared" ca="1" si="174"/>
        <v>0</v>
      </c>
      <c r="BP123" s="277">
        <f t="shared" ca="1" si="174"/>
        <v>0</v>
      </c>
      <c r="BQ123" s="277">
        <f t="shared" ca="1" si="174"/>
        <v>0</v>
      </c>
      <c r="BR123" s="277">
        <f t="shared" ca="1" si="174"/>
        <v>0</v>
      </c>
      <c r="BS123" s="277">
        <f t="shared" ref="BS123:CA123" ca="1" si="175">SUM(BS110:BS122)</f>
        <v>0</v>
      </c>
      <c r="BT123" s="277">
        <f t="shared" ca="1" si="175"/>
        <v>0</v>
      </c>
      <c r="BU123" s="277">
        <f t="shared" ca="1" si="175"/>
        <v>0</v>
      </c>
      <c r="BV123" s="277">
        <f t="shared" ca="1" si="175"/>
        <v>0</v>
      </c>
      <c r="BW123" s="277">
        <f t="shared" ca="1" si="175"/>
        <v>0</v>
      </c>
      <c r="BX123" s="277">
        <f t="shared" ca="1" si="175"/>
        <v>0</v>
      </c>
      <c r="BY123" s="277">
        <f t="shared" ca="1" si="175"/>
        <v>0</v>
      </c>
      <c r="BZ123" s="277">
        <f t="shared" ca="1" si="175"/>
        <v>0</v>
      </c>
      <c r="CA123" s="277">
        <f t="shared" ca="1" si="175"/>
        <v>0</v>
      </c>
    </row>
    <row r="124" spans="2:79">
      <c r="B124" s="21" t="s">
        <v>46</v>
      </c>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36"/>
      <c r="AX124" s="136"/>
      <c r="AY124" s="136"/>
      <c r="AZ124" s="136"/>
      <c r="BA124" s="136"/>
      <c r="BB124" s="136"/>
      <c r="BC124" s="136"/>
      <c r="BD124" s="136"/>
      <c r="BE124" s="136"/>
      <c r="BF124" s="136"/>
      <c r="BG124" s="136"/>
      <c r="BH124" s="136"/>
      <c r="BI124" s="136"/>
      <c r="BJ124" s="136"/>
      <c r="BK124" s="136"/>
      <c r="BL124" s="136"/>
      <c r="BM124" s="136"/>
      <c r="BN124" s="136"/>
      <c r="BO124" s="136"/>
      <c r="BP124" s="136"/>
      <c r="BQ124" s="136"/>
      <c r="BR124" s="136"/>
      <c r="BS124" s="136"/>
      <c r="BT124" s="136"/>
      <c r="BU124" s="136"/>
      <c r="BV124" s="136"/>
      <c r="BW124" s="136"/>
      <c r="BX124" s="136"/>
      <c r="BY124" s="136"/>
      <c r="BZ124" s="136"/>
      <c r="CA124" s="136"/>
    </row>
    <row r="125" spans="2:79">
      <c r="B125" s="22"/>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36"/>
      <c r="AX125" s="136"/>
      <c r="AY125" s="136"/>
      <c r="AZ125" s="136"/>
      <c r="BA125" s="136"/>
      <c r="BB125" s="136"/>
      <c r="BC125" s="136"/>
      <c r="BD125" s="136"/>
      <c r="BE125" s="136"/>
      <c r="BF125" s="136"/>
      <c r="BG125" s="136"/>
      <c r="BH125" s="136"/>
      <c r="BI125" s="136"/>
      <c r="BJ125" s="136"/>
      <c r="BK125" s="136"/>
      <c r="BL125" s="136"/>
      <c r="BM125" s="136"/>
      <c r="BN125" s="136"/>
      <c r="BO125" s="136"/>
      <c r="BP125" s="136"/>
      <c r="BQ125" s="136"/>
      <c r="BR125" s="136"/>
      <c r="BS125" s="136"/>
      <c r="BT125" s="136"/>
      <c r="BU125" s="136"/>
      <c r="BV125" s="136"/>
      <c r="BW125" s="136"/>
      <c r="BX125" s="136"/>
      <c r="BY125" s="136"/>
      <c r="BZ125" s="136"/>
      <c r="CA125" s="136"/>
    </row>
    <row r="126" spans="2:79">
      <c r="B126" s="256" t="s">
        <v>47</v>
      </c>
      <c r="C126" s="262"/>
      <c r="D126" s="262"/>
      <c r="E126" s="282">
        <f ca="1">SUM(G126:CA126)</f>
        <v>21792520.597241271</v>
      </c>
      <c r="F126" s="106"/>
      <c r="G126" s="278">
        <f>IF(SUM(F100:$G100)&gt;0,0,G86-G88+G100+G118+G119-G123)</f>
        <v>-6182661.0372168291</v>
      </c>
      <c r="H126" s="278">
        <f ca="1">IF(SUM(G100:$G100)&gt;0,0,H86-H88+H100+H118+H119-H123)</f>
        <v>-1603226.9614785681</v>
      </c>
      <c r="I126" s="278">
        <f ca="1">IF(SUM($G100:H100)&gt;0,0,I86-I88+I100+I118+I119-I123)</f>
        <v>-1169851.9614785679</v>
      </c>
      <c r="J126" s="278">
        <f ca="1">IF(SUM($G100:I100)&gt;0,0,J86-J88+J100+J118+J119-J123)</f>
        <v>-1169851.9614785681</v>
      </c>
      <c r="K126" s="278">
        <f ca="1">IF(SUM($G100:J100)&gt;0,0,K86-K88+K100+K118+K119-K123)</f>
        <v>-1169851.9614785681</v>
      </c>
      <c r="L126" s="278">
        <f ca="1">IF(SUM($G100:K100)&gt;0,0,L86-L88+L100+L118+L119-L123)</f>
        <v>-1169851.9614785679</v>
      </c>
      <c r="M126" s="278">
        <f ca="1">IF(SUM($G100:L100)&gt;0,0,M86-M88+M100+M118+M119-M123)</f>
        <v>-1169851.9614785679</v>
      </c>
      <c r="N126" s="278">
        <f ca="1">IF(SUM($G100:M100)&gt;0,0,N86-N88+N100+N118+N119-N123)</f>
        <v>-1169851.9614785681</v>
      </c>
      <c r="O126" s="278">
        <f ca="1">IF(SUM($G100:N100)&gt;0,0,O86-O88+O100+O118+O119-O123)</f>
        <v>-1169851.9614785679</v>
      </c>
      <c r="P126" s="278">
        <f ca="1">IF(SUM($G100:O100)&gt;0,0,P86-P88+P100+P118+P119-P123)</f>
        <v>-562710.03491639951</v>
      </c>
      <c r="Q126" s="278">
        <f ca="1">IF(SUM($G100:P100)&gt;0,0,Q86-Q88+Q100+Q118+Q119-Q123)</f>
        <v>-551125.06833160622</v>
      </c>
      <c r="R126" s="278">
        <f ca="1">IF(SUM($G100:Q100)&gt;0,0,R86-R88+R100+R118+R119-R123)</f>
        <v>-537429.32579258899</v>
      </c>
      <c r="S126" s="278">
        <f ca="1">IF(SUM($G100:R100)&gt;0,0,S86-S88+S100+S118+S119-S123)</f>
        <v>-525173.84860134416</v>
      </c>
      <c r="T126" s="278">
        <f ca="1">IF(SUM($G100:S100)&gt;0,0,T86-T88+T100+T118+T119-T123)</f>
        <v>-512641.3814534641</v>
      </c>
      <c r="U126" s="278">
        <f ca="1">IF(SUM($G100:T100)&gt;0,0,U86-U88+U100+U118+U119-U123)</f>
        <v>-506862.65719062544</v>
      </c>
      <c r="V126" s="278">
        <f ca="1">IF(SUM($G100:U100)&gt;0,0,V86-V88+V100+V118+V119-V123)</f>
        <v>-74738.638260453357</v>
      </c>
      <c r="W126" s="278">
        <f ca="1">IF(SUM($G100:V100)&gt;0,0,W86-W88+W100+W118+W119-W123)</f>
        <v>-66249.200106228658</v>
      </c>
      <c r="X126" s="278">
        <f ca="1">IF(SUM($G100:W100)&gt;0,0,X86-X88+X100+X118+X119-X123)</f>
        <v>-57300.243005741402</v>
      </c>
      <c r="Y126" s="278">
        <f ca="1">IF(SUM($G100:X100)&gt;0,0,Y86-Y88+Y100+Y118+Y119-Y123)</f>
        <v>-47017.999142699467</v>
      </c>
      <c r="Z126" s="278">
        <f ca="1">IF(SUM($G100:Y100)&gt;0,0,Z86-Z88+Z100+Z118+Z119-Z123)</f>
        <v>-32177.640155005385</v>
      </c>
      <c r="AA126" s="278">
        <f ca="1">IF(SUM($G100:Z100)&gt;0,0,AA86-AA88+AA100+AA118+AA119-AA123)</f>
        <v>-19565.914606042672</v>
      </c>
      <c r="AB126" s="278">
        <f ca="1">IF(SUM($G100:AA100)&gt;0,0,AB86-AB88+AB100+AB118+AB119-AB123)</f>
        <v>-9947.3088884349272</v>
      </c>
      <c r="AC126" s="278">
        <f ca="1">IF(SUM($G100:AB100)&gt;0,0,AC86-AC88+AC100+AC118+AC119-AC123)</f>
        <v>-2338.2348736746644</v>
      </c>
      <c r="AD126" s="278">
        <f ca="1">IF(SUM($G100:AC100)&gt;0,0,AD86-AD88+AD100+AD118+AD119-AD123)</f>
        <v>5563.7968575556879</v>
      </c>
      <c r="AE126" s="278">
        <f ca="1">IF(SUM($G100:AD100)&gt;0,0,AE86-AE88+AE100+AE118+AE119-AE123)</f>
        <v>13057.418512919176</v>
      </c>
      <c r="AF126" s="278">
        <f ca="1">IF(SUM($G100:AE100)&gt;0,0,AF86-AF88+AF100+AF118+AF119-AF123)</f>
        <v>90506.319908383826</v>
      </c>
      <c r="AG126" s="278">
        <f ca="1">IF(SUM($G100:AF100)&gt;0,0,AG86-AG88+AG100+AG118+AG119-AG123)</f>
        <v>98040.876016175011</v>
      </c>
      <c r="AH126" s="278">
        <f ca="1">IF(SUM($G100:AG100)&gt;0,0,AH86-AH88+AH100+AH118+AH119-AH123)</f>
        <v>104356.25803163166</v>
      </c>
      <c r="AI126" s="278">
        <f ca="1">IF(SUM($G100:AH100)&gt;0,0,AI86-AI88+AI100+AI118+AI119-AI123)</f>
        <v>112024.69863367551</v>
      </c>
      <c r="AJ126" s="278">
        <f ca="1">IF(SUM($G100:AI100)&gt;0,0,AJ86-AJ88+AJ100+AJ118+AJ119-AJ123)</f>
        <v>119405.27758337119</v>
      </c>
      <c r="AK126" s="278">
        <f ca="1">IF(SUM($G100:AJ100)&gt;0,0,AK86-AK88+AK100+AK118+AK119-AK123)</f>
        <v>137359.81909107303</v>
      </c>
      <c r="AL126" s="278">
        <f ca="1">IF(SUM($G100:AK100)&gt;0,0,AL86-AL88+AL100+AL118+AL119-AL123)</f>
        <v>146243.37123149037</v>
      </c>
      <c r="AM126" s="278">
        <f ca="1">IF(SUM($G100:AL100)&gt;0,0,AM86-AM88+AM100+AM118+AM119-AM123)</f>
        <v>152200.79104841067</v>
      </c>
      <c r="AN126" s="278">
        <f ca="1">IF(SUM($G100:AM100)&gt;0,0,AN86-AN88+AN100+AN118+AN119-AN123)</f>
        <v>133397.37074423602</v>
      </c>
      <c r="AO126" s="278">
        <f ca="1">IF(SUM($G100:AN100)&gt;0,0,AO86-AO88+AO100+AO118+AO119-AO123)</f>
        <v>133973.37317483668</v>
      </c>
      <c r="AP126" s="278">
        <f ca="1">IF(SUM($G100:AO100)&gt;0,0,AP86-AP88+AP100+AP118+AP119-AP123)</f>
        <v>133746.12312035754</v>
      </c>
      <c r="AQ126" s="278">
        <f ca="1">IF(SUM($G100:AP100)&gt;0,0,AQ86-AQ88+AQ100+AQ118+AQ119-AQ123)</f>
        <v>-318439.97327951249</v>
      </c>
      <c r="AR126" s="278">
        <f ca="1">IF(SUM($G100:AQ100)&gt;0,0,AR86-AR88+AR100+AR118+AR119-AR123)</f>
        <v>143983.672317986</v>
      </c>
      <c r="AS126" s="278">
        <f ca="1">IF(SUM($G100:AR100)&gt;0,0,AS86-AS88+AS100+AS118+AS119-AS123)</f>
        <v>146484.18312909742</v>
      </c>
      <c r="AT126" s="278">
        <f ca="1">IF(SUM($G100:AS100)&gt;0,0,AT86-AT88+AT100+AT118+AT119-AT123)</f>
        <v>149188.51719103832</v>
      </c>
      <c r="AU126" s="278">
        <f ca="1">IF(SUM($G100:AT100)&gt;0,0,AU86-AU88+AU100+AU118+AU119-AU123)</f>
        <v>152203.73836650129</v>
      </c>
      <c r="AV126" s="278">
        <f ca="1">IF(SUM($G100:AU100)&gt;0,0,AV86-AV88+AV100+AV118+AV119-AV123)</f>
        <v>155873.30138448303</v>
      </c>
      <c r="AW126" s="278">
        <f ca="1">IF(SUM($G100:AV100)&gt;0,0,AW86-AW88+AW100+AW118+AW119-AW123)</f>
        <v>158202.61816919767</v>
      </c>
      <c r="AX126" s="278">
        <f ca="1">IF(SUM($G100:AW100)&gt;0,0,AX86-AX88+AX100+AX118+AX119-AX123)</f>
        <v>159911.08109085905</v>
      </c>
      <c r="AY126" s="278">
        <f ca="1">IF(SUM($G100:AX100)&gt;0,0,AY86-AY88+AY100+AY118+AY119-AY123)</f>
        <v>161472.54454468281</v>
      </c>
      <c r="AZ126" s="278">
        <f ca="1">IF(SUM($G100:AY100)&gt;0,0,AZ86-AZ88+AZ100+AZ118+AZ119-AZ123)</f>
        <v>160772.7537616544</v>
      </c>
      <c r="BA126" s="278">
        <f ca="1">IF(SUM($G100:AZ100)&gt;0,0,BA86-BA88+BA100+BA118+BA119-BA123)</f>
        <v>160527.08656163252</v>
      </c>
      <c r="BB126" s="278">
        <f ca="1">IF(SUM($G100:BA100)&gt;0,0,BB86-BB88+BB100+BB118+BB119-BB123)</f>
        <v>159568.46040805746</v>
      </c>
      <c r="BC126" s="278">
        <f ca="1">IF(SUM($G100:BB100)&gt;0,0,BC86-BC88+BC100+BC118+BC119-BC123)</f>
        <v>38503026.34401118</v>
      </c>
      <c r="BD126" s="278">
        <f>IF(SUM($G100:BC100)&gt;0,0,BD86-BD88+BD100+BD118+BD119-BD123)</f>
        <v>0</v>
      </c>
      <c r="BE126" s="278">
        <f>IF(SUM($G100:BD100)&gt;0,0,BE86-BE88+BE100+BE118+BE119-BE123)</f>
        <v>0</v>
      </c>
      <c r="BF126" s="278">
        <f>IF(SUM($G100:BE100)&gt;0,0,BF86-BF88+BF100+BF118+BF119-BF123)</f>
        <v>0</v>
      </c>
      <c r="BG126" s="278">
        <f>IF(SUM($G100:BF100)&gt;0,0,BG86-BG88+BG100+BG118+BG119-BG123)</f>
        <v>0</v>
      </c>
      <c r="BH126" s="278">
        <f>IF(SUM($G100:BG100)&gt;0,0,BH86-BH88+BH100+BH118+BH119-BH123)</f>
        <v>0</v>
      </c>
      <c r="BI126" s="278">
        <f>IF(SUM($G100:BH100)&gt;0,0,BI86-BI88+BI100+BI118+BI119-BI123)</f>
        <v>0</v>
      </c>
      <c r="BJ126" s="278">
        <f>IF(SUM($G100:BI100)&gt;0,0,BJ86-BJ88+BJ100+BJ118+BJ119-BJ123)</f>
        <v>0</v>
      </c>
      <c r="BK126" s="278">
        <f>IF(SUM($G100:BJ100)&gt;0,0,BK86-BK88+BK100+BK118+BK119-BK123)</f>
        <v>0</v>
      </c>
      <c r="BL126" s="278">
        <f>IF(SUM($G100:BK100)&gt;0,0,BL86-BL88+BL100+BL118+BL119-BL123)</f>
        <v>0</v>
      </c>
      <c r="BM126" s="278">
        <f>IF(SUM($G100:BL100)&gt;0,0,BM86-BM88+BM100+BM118+BM119-BM123)</f>
        <v>0</v>
      </c>
      <c r="BN126" s="278">
        <f>IF(SUM($G100:BM100)&gt;0,0,BN86-BN88+BN100+BN118+BN119-BN123)</f>
        <v>0</v>
      </c>
      <c r="BO126" s="278">
        <f>IF(SUM($G100:BN100)&gt;0,0,BO86-BO88+BO100+BO118+BO119-BO123)</f>
        <v>0</v>
      </c>
      <c r="BP126" s="278">
        <f>IF(SUM($G100:BO100)&gt;0,0,BP86-BP88+BP100+BP118+BP119-BP123)</f>
        <v>0</v>
      </c>
      <c r="BQ126" s="278">
        <f>IF(SUM($G100:BP100)&gt;0,0,BQ86-BQ88+BQ100+BQ118+BQ119-BQ123)</f>
        <v>0</v>
      </c>
      <c r="BR126" s="278">
        <f>IF(SUM($G100:BQ100)&gt;0,0,BR86-BR88+BR100+BR118+BR119-BR123)</f>
        <v>0</v>
      </c>
      <c r="BS126" s="278">
        <f>IF(SUM($G100:BR100)&gt;0,0,BS86-BS88+BS100+BS118+BS119-BS123)</f>
        <v>0</v>
      </c>
      <c r="BT126" s="278">
        <f>IF(SUM($G100:BS100)&gt;0,0,BT86-BT88+BT100+BT118+BT119-BT123)</f>
        <v>0</v>
      </c>
      <c r="BU126" s="278">
        <f>IF(SUM($G100:BT100)&gt;0,0,BU86-BU88+BU100+BU118+BU119-BU123)</f>
        <v>0</v>
      </c>
      <c r="BV126" s="278">
        <f>IF(SUM($G100:BU100)&gt;0,0,BV86-BV88+BV100+BV118+BV119-BV123)</f>
        <v>0</v>
      </c>
      <c r="BW126" s="278">
        <f>IF(SUM($G100:BV100)&gt;0,0,BW86-BW88+BW100+BW118+BW119-BW123)</f>
        <v>0</v>
      </c>
      <c r="BX126" s="278">
        <f>IF(SUM($G100:BW100)&gt;0,0,BX86-BX88+BX100+BX118+BX119-BX123)</f>
        <v>0</v>
      </c>
      <c r="BY126" s="278">
        <f>IF(SUM($G100:BX100)&gt;0,0,BY86-BY88+BY100+BY118+BY119-BY123)</f>
        <v>0</v>
      </c>
      <c r="BZ126" s="278">
        <f>IF(SUM($G100:BY100)&gt;0,0,BZ86-BZ88+BZ100+BZ118+BZ119-BZ123)</f>
        <v>0</v>
      </c>
      <c r="CA126" s="278">
        <f>IF(SUM($G100:BZ100)&gt;0,0,CA86-CA88+CA100+CA118+CA119-CA123)</f>
        <v>0</v>
      </c>
    </row>
    <row r="127" spans="2:79">
      <c r="B127" s="257" t="s">
        <v>48</v>
      </c>
      <c r="C127" s="105"/>
      <c r="D127" s="105"/>
      <c r="E127" s="283">
        <f ca="1">SUM(G127:CA127)</f>
        <v>-20177240.02886688</v>
      </c>
      <c r="F127" s="105"/>
      <c r="G127" s="279">
        <f>-G123+G118+G119</f>
        <v>-6170830.5186084146</v>
      </c>
      <c r="H127" s="279">
        <f t="shared" ref="H127:BS127" ca="1" si="176">-H123+H118+H119</f>
        <v>-1591396.4428701538</v>
      </c>
      <c r="I127" s="279">
        <f t="shared" ca="1" si="176"/>
        <v>-1158021.4428701538</v>
      </c>
      <c r="J127" s="279">
        <f t="shared" ca="1" si="176"/>
        <v>-1158021.4428701538</v>
      </c>
      <c r="K127" s="279">
        <f t="shared" ca="1" si="176"/>
        <v>-1158021.4428701538</v>
      </c>
      <c r="L127" s="279">
        <f t="shared" ca="1" si="176"/>
        <v>-1158021.4428701538</v>
      </c>
      <c r="M127" s="279">
        <f t="shared" ca="1" si="176"/>
        <v>-1158021.4428701538</v>
      </c>
      <c r="N127" s="279">
        <f t="shared" ca="1" si="176"/>
        <v>-1158021.4428701538</v>
      </c>
      <c r="O127" s="279">
        <f t="shared" ca="1" si="176"/>
        <v>-1158021.4428701538</v>
      </c>
      <c r="P127" s="279">
        <f t="shared" ca="1" si="176"/>
        <v>-535700.47958906961</v>
      </c>
      <c r="Q127" s="279">
        <f t="shared" ca="1" si="176"/>
        <v>-529907.99629667285</v>
      </c>
      <c r="R127" s="279">
        <f t="shared" ca="1" si="176"/>
        <v>-523060.12502716423</v>
      </c>
      <c r="S127" s="279">
        <f t="shared" ca="1" si="176"/>
        <v>-516932.38643154188</v>
      </c>
      <c r="T127" s="279">
        <f t="shared" ca="1" si="176"/>
        <v>-510666.15285760188</v>
      </c>
      <c r="U127" s="279">
        <f t="shared" ca="1" si="176"/>
        <v>-508690.92426173959</v>
      </c>
      <c r="V127" s="279">
        <f t="shared" ca="1" si="176"/>
        <v>-74902.556950010417</v>
      </c>
      <c r="W127" s="279">
        <f t="shared" ca="1" si="176"/>
        <v>-74902.556950010432</v>
      </c>
      <c r="X127" s="279">
        <f t="shared" ca="1" si="176"/>
        <v>-74902.556950010417</v>
      </c>
      <c r="Y127" s="279">
        <f t="shared" ca="1" si="176"/>
        <v>-74902.556950010432</v>
      </c>
      <c r="Z127" s="279">
        <f t="shared" ca="1" si="176"/>
        <v>-70715.779172232636</v>
      </c>
      <c r="AA127" s="279">
        <f t="shared" ca="1" si="176"/>
        <v>-70715.779172232636</v>
      </c>
      <c r="AB127" s="279">
        <f t="shared" ca="1" si="176"/>
        <v>-70715.779172232636</v>
      </c>
      <c r="AC127" s="279">
        <f t="shared" ca="1" si="176"/>
        <v>-70715.779172232636</v>
      </c>
      <c r="AD127" s="279">
        <f t="shared" ca="1" si="176"/>
        <v>-70715.779172232636</v>
      </c>
      <c r="AE127" s="279">
        <f t="shared" ca="1" si="176"/>
        <v>-70715.779172232636</v>
      </c>
      <c r="AF127" s="279">
        <f t="shared" ca="1" si="176"/>
        <v>0</v>
      </c>
      <c r="AG127" s="279">
        <f t="shared" ca="1" si="176"/>
        <v>0</v>
      </c>
      <c r="AH127" s="279">
        <f t="shared" ca="1" si="176"/>
        <v>0</v>
      </c>
      <c r="AI127" s="279">
        <f t="shared" ca="1" si="176"/>
        <v>0</v>
      </c>
      <c r="AJ127" s="279">
        <f t="shared" ca="1" si="176"/>
        <v>0</v>
      </c>
      <c r="AK127" s="279">
        <f t="shared" ca="1" si="176"/>
        <v>0</v>
      </c>
      <c r="AL127" s="279">
        <f t="shared" ca="1" si="176"/>
        <v>0</v>
      </c>
      <c r="AM127" s="279">
        <f t="shared" ca="1" si="176"/>
        <v>0</v>
      </c>
      <c r="AN127" s="279">
        <f t="shared" ca="1" si="176"/>
        <v>0</v>
      </c>
      <c r="AO127" s="279">
        <f t="shared" ca="1" si="176"/>
        <v>0</v>
      </c>
      <c r="AP127" s="279">
        <f t="shared" ca="1" si="176"/>
        <v>0</v>
      </c>
      <c r="AQ127" s="279">
        <f t="shared" ca="1" si="176"/>
        <v>-460000</v>
      </c>
      <c r="AR127" s="279">
        <f t="shared" ca="1" si="176"/>
        <v>0</v>
      </c>
      <c r="AS127" s="279">
        <f t="shared" ca="1" si="176"/>
        <v>0</v>
      </c>
      <c r="AT127" s="279">
        <f t="shared" ca="1" si="176"/>
        <v>0</v>
      </c>
      <c r="AU127" s="279">
        <f t="shared" ca="1" si="176"/>
        <v>0</v>
      </c>
      <c r="AV127" s="279">
        <f t="shared" ca="1" si="176"/>
        <v>0</v>
      </c>
      <c r="AW127" s="279">
        <f t="shared" ca="1" si="176"/>
        <v>0</v>
      </c>
      <c r="AX127" s="279">
        <f t="shared" ca="1" si="176"/>
        <v>0</v>
      </c>
      <c r="AY127" s="279">
        <f t="shared" ca="1" si="176"/>
        <v>0</v>
      </c>
      <c r="AZ127" s="279">
        <f t="shared" ca="1" si="176"/>
        <v>0</v>
      </c>
      <c r="BA127" s="279">
        <f t="shared" ca="1" si="176"/>
        <v>0</v>
      </c>
      <c r="BB127" s="279">
        <f t="shared" ca="1" si="176"/>
        <v>0</v>
      </c>
      <c r="BC127" s="279">
        <f t="shared" ca="1" si="176"/>
        <v>0</v>
      </c>
      <c r="BD127" s="279">
        <f t="shared" ca="1" si="176"/>
        <v>0</v>
      </c>
      <c r="BE127" s="279">
        <f t="shared" ca="1" si="176"/>
        <v>0</v>
      </c>
      <c r="BF127" s="279">
        <f t="shared" ca="1" si="176"/>
        <v>0</v>
      </c>
      <c r="BG127" s="279">
        <f t="shared" ca="1" si="176"/>
        <v>0</v>
      </c>
      <c r="BH127" s="279">
        <f t="shared" ca="1" si="176"/>
        <v>0</v>
      </c>
      <c r="BI127" s="279">
        <f t="shared" ca="1" si="176"/>
        <v>0</v>
      </c>
      <c r="BJ127" s="279">
        <f t="shared" ca="1" si="176"/>
        <v>0</v>
      </c>
      <c r="BK127" s="279">
        <f t="shared" ca="1" si="176"/>
        <v>0</v>
      </c>
      <c r="BL127" s="279">
        <f t="shared" ca="1" si="176"/>
        <v>0</v>
      </c>
      <c r="BM127" s="279">
        <f t="shared" ca="1" si="176"/>
        <v>0</v>
      </c>
      <c r="BN127" s="279">
        <f t="shared" ca="1" si="176"/>
        <v>0</v>
      </c>
      <c r="BO127" s="279">
        <f t="shared" ca="1" si="176"/>
        <v>0</v>
      </c>
      <c r="BP127" s="279">
        <f t="shared" ca="1" si="176"/>
        <v>0</v>
      </c>
      <c r="BQ127" s="279">
        <f t="shared" ca="1" si="176"/>
        <v>0</v>
      </c>
      <c r="BR127" s="279">
        <f t="shared" ca="1" si="176"/>
        <v>0</v>
      </c>
      <c r="BS127" s="279">
        <f t="shared" ca="1" si="176"/>
        <v>0</v>
      </c>
      <c r="BT127" s="279">
        <f t="shared" ref="BT127:CA127" ca="1" si="177">-BT123+BT118+BT119</f>
        <v>0</v>
      </c>
      <c r="BU127" s="279">
        <f t="shared" ca="1" si="177"/>
        <v>0</v>
      </c>
      <c r="BV127" s="279">
        <f t="shared" ca="1" si="177"/>
        <v>0</v>
      </c>
      <c r="BW127" s="279">
        <f t="shared" ca="1" si="177"/>
        <v>0</v>
      </c>
      <c r="BX127" s="279">
        <f t="shared" ca="1" si="177"/>
        <v>0</v>
      </c>
      <c r="BY127" s="279">
        <f t="shared" ca="1" si="177"/>
        <v>0</v>
      </c>
      <c r="BZ127" s="279">
        <f t="shared" ca="1" si="177"/>
        <v>0</v>
      </c>
      <c r="CA127" s="279">
        <f t="shared" ca="1" si="177"/>
        <v>0</v>
      </c>
    </row>
    <row r="128" spans="2:79">
      <c r="B128" s="257" t="s">
        <v>49</v>
      </c>
      <c r="C128" s="105"/>
      <c r="D128" s="105"/>
      <c r="E128" s="284">
        <f ca="1">SUM(G128:CA128)</f>
        <v>42518672.312477246</v>
      </c>
      <c r="F128" s="105"/>
      <c r="G128" s="271">
        <f t="shared" ref="G128:AL128" si="178">G102+G103</f>
        <v>0</v>
      </c>
      <c r="H128" s="271">
        <f t="shared" si="178"/>
        <v>0</v>
      </c>
      <c r="I128" s="271">
        <f t="shared" si="178"/>
        <v>0</v>
      </c>
      <c r="J128" s="271">
        <f t="shared" si="178"/>
        <v>0</v>
      </c>
      <c r="K128" s="271">
        <f t="shared" si="178"/>
        <v>0</v>
      </c>
      <c r="L128" s="271">
        <f t="shared" si="178"/>
        <v>0</v>
      </c>
      <c r="M128" s="271">
        <f t="shared" si="178"/>
        <v>0</v>
      </c>
      <c r="N128" s="271">
        <f t="shared" si="178"/>
        <v>0</v>
      </c>
      <c r="O128" s="271">
        <f t="shared" si="178"/>
        <v>0</v>
      </c>
      <c r="P128" s="271">
        <f t="shared" si="178"/>
        <v>0</v>
      </c>
      <c r="Q128" s="271">
        <f t="shared" si="178"/>
        <v>0</v>
      </c>
      <c r="R128" s="271">
        <f t="shared" si="178"/>
        <v>0</v>
      </c>
      <c r="S128" s="271">
        <f t="shared" si="178"/>
        <v>0</v>
      </c>
      <c r="T128" s="271">
        <f t="shared" si="178"/>
        <v>0</v>
      </c>
      <c r="U128" s="271">
        <f t="shared" ca="1" si="178"/>
        <v>213042.26707111413</v>
      </c>
      <c r="V128" s="271">
        <f t="shared" ca="1" si="178"/>
        <v>163.91868955706377</v>
      </c>
      <c r="W128" s="271">
        <f t="shared" ca="1" si="178"/>
        <v>8653.3568437817794</v>
      </c>
      <c r="X128" s="271">
        <f t="shared" ca="1" si="178"/>
        <v>17602.313944269015</v>
      </c>
      <c r="Y128" s="271">
        <f t="shared" ca="1" si="178"/>
        <v>27884.557807310972</v>
      </c>
      <c r="Z128" s="271">
        <f t="shared" ca="1" si="178"/>
        <v>38538.139017227266</v>
      </c>
      <c r="AA128" s="271">
        <f t="shared" ca="1" si="178"/>
        <v>51149.86456618995</v>
      </c>
      <c r="AB128" s="271">
        <f t="shared" ca="1" si="178"/>
        <v>60768.470283797709</v>
      </c>
      <c r="AC128" s="271">
        <f t="shared" ca="1" si="178"/>
        <v>68377.544298557972</v>
      </c>
      <c r="AD128" s="271">
        <f t="shared" ca="1" si="178"/>
        <v>76279.576029788324</v>
      </c>
      <c r="AE128" s="271">
        <f t="shared" ca="1" si="178"/>
        <v>83773.197685151812</v>
      </c>
      <c r="AF128" s="271">
        <f t="shared" ca="1" si="178"/>
        <v>90506.319908383826</v>
      </c>
      <c r="AG128" s="271">
        <f t="shared" ca="1" si="178"/>
        <v>256451.37601617503</v>
      </c>
      <c r="AH128" s="271">
        <f t="shared" ca="1" si="178"/>
        <v>104356.25803163166</v>
      </c>
      <c r="AI128" s="271">
        <f t="shared" ca="1" si="178"/>
        <v>112024.69863367551</v>
      </c>
      <c r="AJ128" s="271">
        <f t="shared" ca="1" si="178"/>
        <v>119405.27758337119</v>
      </c>
      <c r="AK128" s="271">
        <f t="shared" ca="1" si="178"/>
        <v>137359.81909107303</v>
      </c>
      <c r="AL128" s="271">
        <f t="shared" ca="1" si="178"/>
        <v>146243.37123149037</v>
      </c>
      <c r="AM128" s="271">
        <f t="shared" ref="AM128:BC128" ca="1" si="179">AM102+AM103</f>
        <v>152200.79104841067</v>
      </c>
      <c r="AN128" s="271">
        <f t="shared" ca="1" si="179"/>
        <v>133397.37074423602</v>
      </c>
      <c r="AO128" s="271">
        <f t="shared" ca="1" si="179"/>
        <v>133973.37317483668</v>
      </c>
      <c r="AP128" s="271">
        <f t="shared" ca="1" si="179"/>
        <v>133746.12312035754</v>
      </c>
      <c r="AQ128" s="271">
        <f t="shared" ca="1" si="179"/>
        <v>141560.02672048748</v>
      </c>
      <c r="AR128" s="271">
        <f t="shared" ca="1" si="179"/>
        <v>143983.672317986</v>
      </c>
      <c r="AS128" s="271">
        <f t="shared" ca="1" si="179"/>
        <v>146484.18312909742</v>
      </c>
      <c r="AT128" s="271">
        <f t="shared" ca="1" si="179"/>
        <v>149188.51719103832</v>
      </c>
      <c r="AU128" s="271">
        <f t="shared" ca="1" si="179"/>
        <v>152203.73836650129</v>
      </c>
      <c r="AV128" s="271">
        <f t="shared" ca="1" si="179"/>
        <v>155873.30138448303</v>
      </c>
      <c r="AW128" s="271">
        <f t="shared" ca="1" si="179"/>
        <v>158202.61816919767</v>
      </c>
      <c r="AX128" s="271">
        <f t="shared" ca="1" si="179"/>
        <v>159911.08109085905</v>
      </c>
      <c r="AY128" s="271">
        <f t="shared" ca="1" si="179"/>
        <v>161472.54454468281</v>
      </c>
      <c r="AZ128" s="271">
        <f t="shared" ca="1" si="179"/>
        <v>160772.7537616544</v>
      </c>
      <c r="BA128" s="271">
        <f t="shared" ca="1" si="179"/>
        <v>160527.08656163252</v>
      </c>
      <c r="BB128" s="271">
        <f t="shared" ca="1" si="179"/>
        <v>159568.46040805746</v>
      </c>
      <c r="BC128" s="271">
        <f t="shared" si="179"/>
        <v>38503026.34401118</v>
      </c>
      <c r="BD128" s="271">
        <f>IF(BD126=0,0,#REF!-BD88+BD100)</f>
        <v>0</v>
      </c>
      <c r="BE128" s="271">
        <f>IF(BE126=0,0,#REF!-BE88+BE100)</f>
        <v>0</v>
      </c>
      <c r="BF128" s="271">
        <f>IF(BF126=0,0,#REF!-BF88+BF100)</f>
        <v>0</v>
      </c>
      <c r="BG128" s="271">
        <f>IF(BG126=0,0,#REF!-BG88+BG100)</f>
        <v>0</v>
      </c>
      <c r="BH128" s="271">
        <f>IF(BH126=0,0,#REF!-BH88+BH100)</f>
        <v>0</v>
      </c>
      <c r="BI128" s="271">
        <f>IF(BI126=0,0,#REF!-BI88+BI100)</f>
        <v>0</v>
      </c>
      <c r="BJ128" s="271">
        <f>IF(BJ126=0,0,#REF!-BJ88+BJ100)</f>
        <v>0</v>
      </c>
      <c r="BK128" s="271">
        <f>IF(BK126=0,0,#REF!-BK88+BK100)</f>
        <v>0</v>
      </c>
      <c r="BL128" s="271">
        <f>IF(BL126=0,0,#REF!-BL88+BL100)</f>
        <v>0</v>
      </c>
      <c r="BM128" s="271">
        <f>IF(BM126=0,0,#REF!-BM88+BM100)</f>
        <v>0</v>
      </c>
      <c r="BN128" s="271">
        <f>IF(BN126=0,0,#REF!-BN88+BN100)</f>
        <v>0</v>
      </c>
      <c r="BO128" s="271">
        <f>IF(BO126=0,0,#REF!-BO88+BO100)</f>
        <v>0</v>
      </c>
      <c r="BP128" s="271">
        <f>IF(BP126=0,0,#REF!-BP88+BP100)</f>
        <v>0</v>
      </c>
      <c r="BQ128" s="271">
        <f>IF(BQ126=0,0,#REF!-BQ88+BQ100)</f>
        <v>0</v>
      </c>
      <c r="BR128" s="271">
        <f>IF(BR126=0,0,#REF!-BR88+BR100)</f>
        <v>0</v>
      </c>
      <c r="BS128" s="271">
        <f>IF(BS126=0,0,#REF!-BS88+BS100)</f>
        <v>0</v>
      </c>
      <c r="BT128" s="271">
        <f>IF(BT126=0,0,#REF!-BT88+BT100)</f>
        <v>0</v>
      </c>
      <c r="BU128" s="271">
        <f>IF(BU126=0,0,#REF!-BU88+BU100)</f>
        <v>0</v>
      </c>
      <c r="BV128" s="271">
        <f>IF(BV126=0,0,#REF!-BV88+BV100)</f>
        <v>0</v>
      </c>
      <c r="BW128" s="271">
        <f>IF(BW126=0,0,#REF!-BW88+BW100)</f>
        <v>0</v>
      </c>
      <c r="BX128" s="271">
        <f>IF(BX126=0,0,#REF!-BX88+BX100)</f>
        <v>0</v>
      </c>
      <c r="BY128" s="271">
        <f>IF(BY126=0,0,#REF!-BY88+BY100)</f>
        <v>0</v>
      </c>
      <c r="BZ128" s="271">
        <f>IF(BZ126=0,0,#REF!-BZ88+BZ100)</f>
        <v>0</v>
      </c>
      <c r="CA128" s="271">
        <f>IF(CA126=0,0,#REF!-CA88+CA100)</f>
        <v>0</v>
      </c>
    </row>
    <row r="129" spans="2:79">
      <c r="B129" s="258" t="s">
        <v>50</v>
      </c>
      <c r="C129" s="105"/>
      <c r="D129" s="105"/>
      <c r="E129" s="280">
        <f ca="1">XIRR(G126:CA126,G7:CA7)</f>
        <v>0.23494554162025452</v>
      </c>
      <c r="F129" s="105"/>
      <c r="G129" s="271"/>
      <c r="H129" s="271"/>
      <c r="I129" s="271"/>
      <c r="J129" s="271"/>
      <c r="K129" s="271"/>
      <c r="L129" s="271"/>
      <c r="M129" s="271"/>
      <c r="N129" s="271"/>
      <c r="O129" s="271"/>
      <c r="P129" s="271"/>
      <c r="Q129" s="271"/>
      <c r="R129" s="271"/>
      <c r="S129" s="271"/>
      <c r="T129" s="271"/>
      <c r="U129" s="271"/>
      <c r="V129" s="271"/>
      <c r="W129" s="271"/>
      <c r="X129" s="271"/>
      <c r="Y129" s="271"/>
      <c r="Z129" s="271"/>
      <c r="AA129" s="271"/>
      <c r="AB129" s="271"/>
      <c r="AC129" s="271"/>
      <c r="AD129" s="271"/>
      <c r="AE129" s="271"/>
      <c r="AF129" s="271"/>
      <c r="AG129" s="271"/>
      <c r="AH129" s="271"/>
      <c r="AI129" s="271"/>
      <c r="AJ129" s="271"/>
      <c r="AK129" s="271"/>
      <c r="AL129" s="271"/>
      <c r="AM129" s="271"/>
      <c r="AN129" s="271"/>
      <c r="AO129" s="271"/>
      <c r="AP129" s="271"/>
      <c r="AQ129" s="271"/>
      <c r="AR129" s="271"/>
      <c r="AS129" s="271"/>
      <c r="AT129" s="271"/>
      <c r="AU129" s="271"/>
      <c r="AV129" s="271"/>
      <c r="AW129" s="271"/>
      <c r="AX129" s="271"/>
      <c r="AY129" s="271"/>
      <c r="AZ129" s="271"/>
      <c r="BA129" s="271"/>
      <c r="BB129" s="271"/>
      <c r="BC129" s="271"/>
      <c r="BD129" s="271"/>
      <c r="BE129" s="271"/>
      <c r="BF129" s="271"/>
      <c r="BG129" s="271"/>
      <c r="BH129" s="271"/>
      <c r="BI129" s="271"/>
      <c r="BJ129" s="271"/>
      <c r="BK129" s="271"/>
      <c r="BL129" s="271"/>
      <c r="BM129" s="271"/>
      <c r="BN129" s="271"/>
      <c r="BO129" s="271"/>
      <c r="BP129" s="271"/>
      <c r="BQ129" s="271"/>
      <c r="BR129" s="271"/>
      <c r="BS129" s="271"/>
      <c r="BT129" s="271"/>
      <c r="BU129" s="271"/>
      <c r="BV129" s="271"/>
      <c r="BW129" s="271"/>
      <c r="BX129" s="271"/>
      <c r="BY129" s="271"/>
      <c r="BZ129" s="271"/>
      <c r="CA129" s="271"/>
    </row>
    <row r="130" spans="2:79">
      <c r="B130" s="259" t="s">
        <v>51</v>
      </c>
      <c r="C130" s="249"/>
      <c r="D130" s="249"/>
      <c r="E130" s="281">
        <f ca="1">E128/-E127</f>
        <v>2.1072590825924284</v>
      </c>
      <c r="F130" s="249"/>
      <c r="G130" s="272"/>
      <c r="H130" s="272"/>
      <c r="I130" s="272"/>
      <c r="J130" s="272"/>
      <c r="K130" s="272"/>
      <c r="L130" s="272"/>
      <c r="M130" s="272"/>
      <c r="N130" s="272"/>
      <c r="O130" s="272"/>
      <c r="P130" s="272"/>
      <c r="Q130" s="272"/>
      <c r="R130" s="272"/>
      <c r="S130" s="272"/>
      <c r="T130" s="272"/>
      <c r="U130" s="272"/>
      <c r="V130" s="272"/>
      <c r="W130" s="272"/>
      <c r="X130" s="272"/>
      <c r="Y130" s="272"/>
      <c r="Z130" s="272"/>
      <c r="AA130" s="272"/>
      <c r="AB130" s="272"/>
      <c r="AC130" s="272"/>
      <c r="AD130" s="272"/>
      <c r="AE130" s="272"/>
      <c r="AF130" s="272"/>
      <c r="AG130" s="272"/>
      <c r="AH130" s="272"/>
      <c r="AI130" s="272"/>
      <c r="AJ130" s="272"/>
      <c r="AK130" s="272"/>
      <c r="AL130" s="272"/>
      <c r="AM130" s="272"/>
      <c r="AN130" s="272"/>
      <c r="AO130" s="272"/>
      <c r="AP130" s="272"/>
      <c r="AQ130" s="272"/>
      <c r="AR130" s="272"/>
      <c r="AS130" s="272"/>
      <c r="AT130" s="272"/>
      <c r="AU130" s="272"/>
      <c r="AV130" s="272"/>
      <c r="AW130" s="272"/>
      <c r="AX130" s="272"/>
      <c r="AY130" s="272"/>
      <c r="AZ130" s="272"/>
      <c r="BA130" s="272"/>
      <c r="BB130" s="272"/>
      <c r="BC130" s="272"/>
      <c r="BD130" s="272"/>
      <c r="BE130" s="272"/>
      <c r="BF130" s="272"/>
      <c r="BG130" s="272"/>
      <c r="BH130" s="272"/>
      <c r="BI130" s="272"/>
      <c r="BJ130" s="272"/>
      <c r="BK130" s="272"/>
      <c r="BL130" s="272"/>
      <c r="BM130" s="272"/>
      <c r="BN130" s="272"/>
      <c r="BO130" s="272"/>
      <c r="BP130" s="272"/>
      <c r="BQ130" s="272"/>
      <c r="BR130" s="272"/>
      <c r="BS130" s="272"/>
      <c r="BT130" s="272"/>
      <c r="BU130" s="272"/>
      <c r="BV130" s="272"/>
      <c r="BW130" s="272"/>
      <c r="BX130" s="272"/>
      <c r="BY130" s="272"/>
      <c r="BZ130" s="272"/>
      <c r="CA130" s="272"/>
    </row>
    <row r="131" spans="2:79">
      <c r="B131" s="23"/>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36"/>
      <c r="AX131" s="136"/>
      <c r="AY131" s="136"/>
      <c r="AZ131" s="136"/>
      <c r="BA131" s="136"/>
      <c r="BB131" s="136"/>
      <c r="BC131" s="136"/>
      <c r="BD131" s="136"/>
      <c r="BE131" s="136"/>
      <c r="BF131" s="136"/>
      <c r="BG131" s="136"/>
      <c r="BH131" s="136"/>
      <c r="BI131" s="136"/>
      <c r="BJ131" s="136"/>
      <c r="BK131" s="136"/>
      <c r="BL131" s="136"/>
      <c r="BM131" s="136"/>
      <c r="BN131" s="136"/>
      <c r="BO131" s="136"/>
      <c r="BP131" s="136"/>
      <c r="BQ131" s="136"/>
      <c r="BR131" s="136"/>
      <c r="BS131" s="136"/>
      <c r="BT131" s="136"/>
      <c r="BU131" s="136"/>
      <c r="BV131" s="136"/>
      <c r="BW131" s="136"/>
      <c r="BX131" s="136"/>
      <c r="BY131" s="136"/>
      <c r="BZ131" s="136"/>
      <c r="CA131" s="136"/>
    </row>
    <row r="132" spans="2:79">
      <c r="B132" s="260" t="s">
        <v>52</v>
      </c>
      <c r="C132" s="261"/>
      <c r="D132" s="261"/>
      <c r="E132" s="286">
        <f ca="1">SUM(G132:CA132)</f>
        <v>20891706.611007817</v>
      </c>
      <c r="F132" s="261"/>
      <c r="G132" s="285">
        <f>IF(SUM(F100:$G100)&gt;0,0,G102+G103-G123)</f>
        <v>-6170830.5186084146</v>
      </c>
      <c r="H132" s="285">
        <f ca="1">IF(SUM(G100:$G100)&gt;0,0,H102+H103-H123)</f>
        <v>-1621996.4428701538</v>
      </c>
      <c r="I132" s="285">
        <f ca="1">IF(SUM($G100:H100)&gt;0,0,I102+I103-I123)</f>
        <v>-1194192.4202881379</v>
      </c>
      <c r="J132" s="285">
        <f ca="1">IF(SUM($G100:I100)&gt;0,0,J102+J103-J123)</f>
        <v>-1201875.8902774097</v>
      </c>
      <c r="K132" s="285">
        <f ca="1">IF(SUM($G100:J100)&gt;0,0,K102+K103-K123)</f>
        <v>-1209608.7959439417</v>
      </c>
      <c r="L132" s="285">
        <f ca="1">IF(SUM($G100:K100)&gt;0,0,L102+L103-L123)</f>
        <v>-1217391.45535837</v>
      </c>
      <c r="M132" s="285">
        <f ca="1">IF(SUM($G100:L100)&gt;0,0,M102+M103-M123)</f>
        <v>-1225224.1886378066</v>
      </c>
      <c r="N132" s="285">
        <f ca="1">IF(SUM($G100:M100)&gt;0,0,N102+N103-N123)</f>
        <v>-1233107.3179590069</v>
      </c>
      <c r="O132" s="285">
        <f ca="1">IF(SUM($G100:N100)&gt;0,0,O102+O103-O123)</f>
        <v>-1241041.1675716206</v>
      </c>
      <c r="P132" s="285">
        <f ca="1">IF(SUM($G100:O100)&gt;0,0,P102+P103-P123)</f>
        <v>-626705.10053044604</v>
      </c>
      <c r="Q132" s="285">
        <f ca="1">IF(SUM($G100:P100)&gt;0,0,Q102+Q103-Q123)</f>
        <v>-624944.85672495479</v>
      </c>
      <c r="R132" s="285">
        <f ca="1">IF(SUM($G100:Q100)&gt;0,0,R102+R103-R123)</f>
        <v>-622117.89948070608</v>
      </c>
      <c r="S132" s="285">
        <f ca="1">IF(SUM($G100:R100)&gt;0,0,S102+S103-S123)</f>
        <v>-619992.88618231437</v>
      </c>
      <c r="T132" s="285">
        <f ca="1">IF(SUM($G100:S100)&gt;0,0,T102+T103-T123)</f>
        <v>-617715.70550605899</v>
      </c>
      <c r="U132" s="285">
        <f ca="1">IF(SUM($G100:T100)&gt;0,0,U102+U103-U123)</f>
        <v>-326248.65719062544</v>
      </c>
      <c r="V132" s="285">
        <f ca="1">IF(SUM($G100:U100)&gt;0,0,V102+V103-V123)</f>
        <v>-189068.48771275231</v>
      </c>
      <c r="W132" s="285">
        <f ca="1">IF(SUM($G100:V100)&gt;0,0,W102+W103-W123)</f>
        <v>-142707.13840488339</v>
      </c>
      <c r="X132" s="285">
        <f ca="1">IF(SUM($G100:W100)&gt;0,0,X102+X103-X123)</f>
        <v>-125783.08218780348</v>
      </c>
      <c r="Y132" s="285">
        <f ca="1">IF(SUM($G100:X100)&gt;0,0,Y102+Y103-Y123)</f>
        <v>-106141.14041776783</v>
      </c>
      <c r="Z132" s="285">
        <f ca="1">IF(SUM($G100:Y100)&gt;0,0,Z102+Z103-Z123)</f>
        <v>-81509.525598051681</v>
      </c>
      <c r="AA132" s="285">
        <f ca="1">IF(SUM($G100:Z100)&gt;0,0,AA102+AA103-AA123)</f>
        <v>-57058.464788896628</v>
      </c>
      <c r="AB132" s="285">
        <f ca="1">IF(SUM($G100:AA100)&gt;0,0,AB102+AB103-AB123)</f>
        <v>-38517.469002905331</v>
      </c>
      <c r="AC132" s="285">
        <f ca="1">IF(SUM($G100:AB100)&gt;0,0,AC102+AC103-AC123)</f>
        <v>-23938.12969625619</v>
      </c>
      <c r="AD132" s="285">
        <f ca="1">IF(SUM($G100:AC100)&gt;0,0,AD102+AD103-AD123)</f>
        <v>-8728.0280599046528</v>
      </c>
      <c r="AE132" s="285">
        <f ca="1">IF(SUM($G100:AD100)&gt;0,0,AE102+AE103-AE123)</f>
        <v>5712.2737665281165</v>
      </c>
      <c r="AF132" s="285">
        <f ca="1">IF(SUM($G100:AE100)&gt;0,0,AF102+AF103-AF123)</f>
        <v>90506.319908383826</v>
      </c>
      <c r="AG132" s="285">
        <f ca="1">IF(SUM($G100:AF100)&gt;0,0,AG102+AG103-AG123)</f>
        <v>256451.37601617503</v>
      </c>
      <c r="AH132" s="285">
        <f ca="1">IF(SUM($G100:AG100)&gt;0,0,AH102+AH103-AH123)</f>
        <v>104356.25803163166</v>
      </c>
      <c r="AI132" s="285">
        <f ca="1">IF(SUM($G100:AH100)&gt;0,0,AI102+AI103-AI123)</f>
        <v>112024.69863367551</v>
      </c>
      <c r="AJ132" s="285">
        <f ca="1">IF(SUM($G100:AI100)&gt;0,0,AJ102+AJ103-AJ123)</f>
        <v>119405.27758337119</v>
      </c>
      <c r="AK132" s="285">
        <f ca="1">IF(SUM($G100:AJ100)&gt;0,0,AK102+AK103-AK123)</f>
        <v>137359.81909107303</v>
      </c>
      <c r="AL132" s="285">
        <f ca="1">IF(SUM($G100:AK100)&gt;0,0,AL102+AL103-AL123)</f>
        <v>146243.37123149037</v>
      </c>
      <c r="AM132" s="285">
        <f ca="1">IF(SUM($G100:AL100)&gt;0,0,AM102+AM103-AM123)</f>
        <v>152200.79104841067</v>
      </c>
      <c r="AN132" s="285">
        <f ca="1">IF(SUM($G100:AM100)&gt;0,0,AN102+AN103-AN123)</f>
        <v>133397.37074423602</v>
      </c>
      <c r="AO132" s="285">
        <f ca="1">IF(SUM($G100:AN100)&gt;0,0,AO102+AO103-AO123)</f>
        <v>133973.37317483668</v>
      </c>
      <c r="AP132" s="285">
        <f ca="1">IF(SUM($G100:AO100)&gt;0,0,AP102+AP103-AP123)</f>
        <v>133746.12312035754</v>
      </c>
      <c r="AQ132" s="285">
        <f ca="1">IF(SUM($G100:AP100)&gt;0,0,AQ102+AQ103-AQ123)</f>
        <v>-318439.97327951249</v>
      </c>
      <c r="AR132" s="285">
        <f ca="1">IF(SUM($G100:AQ100)&gt;0,0,AR102+AR103-AR123)</f>
        <v>143983.672317986</v>
      </c>
      <c r="AS132" s="285">
        <f ca="1">IF(SUM($G100:AR100)&gt;0,0,AS102+AS103-AS123)</f>
        <v>146484.18312909742</v>
      </c>
      <c r="AT132" s="285">
        <f ca="1">IF(SUM($G100:AS100)&gt;0,0,AT102+AT103-AT123)</f>
        <v>149188.51719103832</v>
      </c>
      <c r="AU132" s="285">
        <f ca="1">IF(SUM($G100:AT100)&gt;0,0,AU102+AU103-AU123)</f>
        <v>152203.73836650129</v>
      </c>
      <c r="AV132" s="285">
        <f ca="1">IF(SUM($G100:AU100)&gt;0,0,AV102+AV103-AV123)</f>
        <v>155873.30138448303</v>
      </c>
      <c r="AW132" s="285">
        <f ca="1">IF(SUM($G100:AV100)&gt;0,0,AW102+AW103-AW123)</f>
        <v>158202.61816919767</v>
      </c>
      <c r="AX132" s="285">
        <f ca="1">IF(SUM($G100:AW100)&gt;0,0,AX102+AX103-AX123)</f>
        <v>159911.08109085905</v>
      </c>
      <c r="AY132" s="285">
        <f ca="1">IF(SUM($G100:AX100)&gt;0,0,AY102+AY103-AY123)</f>
        <v>161472.54454468281</v>
      </c>
      <c r="AZ132" s="285">
        <f ca="1">IF(SUM($G100:AY100)&gt;0,0,AZ102+AZ103-AZ123)</f>
        <v>160772.7537616544</v>
      </c>
      <c r="BA132" s="285">
        <f ca="1">IF(SUM($G100:AZ100)&gt;0,0,BA102+BA103-BA123)</f>
        <v>160527.08656163252</v>
      </c>
      <c r="BB132" s="285">
        <f ca="1">IF(SUM($G100:BA100)&gt;0,0,BB102+BB103-BB123)</f>
        <v>159568.46040805746</v>
      </c>
      <c r="BC132" s="285">
        <f ca="1">IF(SUM($G100:BB100)&gt;0,0,BC102+BC103-BC123)</f>
        <v>38503026.34401118</v>
      </c>
      <c r="BD132" s="285">
        <f>IF(SUM($G100:BC100)&gt;0,0,BD102+BD103-BD123)</f>
        <v>0</v>
      </c>
      <c r="BE132" s="285">
        <f>IF(SUM($G100:BD100)&gt;0,0,BE102+BE103-BE123)</f>
        <v>0</v>
      </c>
      <c r="BF132" s="285">
        <f>IF(SUM($G100:BE100)&gt;0,0,BF102+BF103-BF123)</f>
        <v>0</v>
      </c>
      <c r="BG132" s="285">
        <f>IF(SUM($G100:BF100)&gt;0,0,BG102+BG103-BG123)</f>
        <v>0</v>
      </c>
      <c r="BH132" s="285">
        <f>IF(SUM($G100:BG100)&gt;0,0,BH102+BH103-BH123)</f>
        <v>0</v>
      </c>
      <c r="BI132" s="285">
        <f>IF(SUM($G100:BH100)&gt;0,0,BI102+BI103-BI123)</f>
        <v>0</v>
      </c>
      <c r="BJ132" s="285">
        <f>IF(SUM($G100:BI100)&gt;0,0,BJ102+BJ103-BJ123)</f>
        <v>0</v>
      </c>
      <c r="BK132" s="285">
        <f>IF(SUM($G100:BJ100)&gt;0,0,BK102+BK103-BK123)</f>
        <v>0</v>
      </c>
      <c r="BL132" s="285">
        <f>IF(SUM($G100:BK100)&gt;0,0,BL102+BL103-BL123)</f>
        <v>0</v>
      </c>
      <c r="BM132" s="285">
        <f>IF(SUM($G100:BL100)&gt;0,0,BM102+BM103-BM123)</f>
        <v>0</v>
      </c>
      <c r="BN132" s="285">
        <f>IF(SUM($G100:BM100)&gt;0,0,BN102+BN103-BN123)</f>
        <v>0</v>
      </c>
      <c r="BO132" s="285">
        <f>IF(SUM($G100:BN100)&gt;0,0,BO102+BO103-BO123)</f>
        <v>0</v>
      </c>
      <c r="BP132" s="285">
        <f>IF(SUM($G100:BO100)&gt;0,0,BP102+BP103-BP123)</f>
        <v>0</v>
      </c>
      <c r="BQ132" s="285">
        <f>IF(SUM($G100:BP100)&gt;0,0,BQ102+BQ103-BQ123)</f>
        <v>0</v>
      </c>
      <c r="BR132" s="285">
        <f>IF(SUM($G100:BQ100)&gt;0,0,BR102+BR103-BR123)</f>
        <v>0</v>
      </c>
      <c r="BS132" s="285">
        <f>IF(SUM($G100:BR100)&gt;0,0,BS102+BS103-BS123)</f>
        <v>0</v>
      </c>
      <c r="BT132" s="285">
        <f>IF(SUM($G100:BS100)&gt;0,0,BT102+BT103-BT123)</f>
        <v>0</v>
      </c>
      <c r="BU132" s="285">
        <f>IF(SUM($G100:BT100)&gt;0,0,BU102+BU103-BU123)</f>
        <v>0</v>
      </c>
      <c r="BV132" s="285">
        <f>IF(SUM($G100:BU100)&gt;0,0,BV102+BV103-BV123)</f>
        <v>0</v>
      </c>
      <c r="BW132" s="285">
        <f>IF(SUM($G100:BV100)&gt;0,0,BW102+BW103-BW123)</f>
        <v>0</v>
      </c>
      <c r="BX132" s="285">
        <f>IF(SUM($G100:BW100)&gt;0,0,BX102+BX103-BX123)</f>
        <v>0</v>
      </c>
      <c r="BY132" s="285">
        <f>IF(SUM($G100:BX100)&gt;0,0,BY102+BY103-BY123)</f>
        <v>0</v>
      </c>
      <c r="BZ132" s="285">
        <f>IF(SUM($G100:BY100)&gt;0,0,BZ102+BZ103-BZ123)</f>
        <v>0</v>
      </c>
      <c r="CA132" s="285">
        <f>IF(SUM($G100:BZ100)&gt;0,0,CA102+CA103-CA123)</f>
        <v>0</v>
      </c>
    </row>
    <row r="133" spans="2:79" s="1041" customFormat="1">
      <c r="B133" s="1054" t="s">
        <v>967</v>
      </c>
      <c r="C133" s="1049"/>
      <c r="D133" s="1049"/>
      <c r="E133" s="1040">
        <f ca="1">SUM(G133:CA133)</f>
        <v>-21626965.701469414</v>
      </c>
      <c r="F133" s="1049"/>
      <c r="G133" s="1056">
        <f>-G123</f>
        <v>-6170830.5186084146</v>
      </c>
      <c r="H133" s="1056">
        <f t="shared" ref="H133:BS133" ca="1" si="180">-H123</f>
        <v>-1621996.4428701538</v>
      </c>
      <c r="I133" s="1056">
        <f t="shared" ca="1" si="180"/>
        <v>-1194192.4202881379</v>
      </c>
      <c r="J133" s="1056">
        <f t="shared" ca="1" si="180"/>
        <v>-1201875.8902774097</v>
      </c>
      <c r="K133" s="1056">
        <f t="shared" ca="1" si="180"/>
        <v>-1209608.7959439417</v>
      </c>
      <c r="L133" s="1056">
        <f t="shared" ca="1" si="180"/>
        <v>-1217391.45535837</v>
      </c>
      <c r="M133" s="1056">
        <f t="shared" ca="1" si="180"/>
        <v>-1225224.1886378066</v>
      </c>
      <c r="N133" s="1056">
        <f t="shared" ca="1" si="180"/>
        <v>-1233107.3179590069</v>
      </c>
      <c r="O133" s="1056">
        <f t="shared" ca="1" si="180"/>
        <v>-1241041.1675716206</v>
      </c>
      <c r="P133" s="1056">
        <f t="shared" ca="1" si="180"/>
        <v>-626705.10053044604</v>
      </c>
      <c r="Q133" s="1056">
        <f t="shared" ca="1" si="180"/>
        <v>-624944.85672495479</v>
      </c>
      <c r="R133" s="1056">
        <f t="shared" ca="1" si="180"/>
        <v>-622117.89948070608</v>
      </c>
      <c r="S133" s="1056">
        <f t="shared" ca="1" si="180"/>
        <v>-619992.88618231437</v>
      </c>
      <c r="T133" s="1056">
        <f t="shared" ca="1" si="180"/>
        <v>-617715.70550605899</v>
      </c>
      <c r="U133" s="1056">
        <f t="shared" ca="1" si="180"/>
        <v>-539290.92426173959</v>
      </c>
      <c r="V133" s="1056">
        <f t="shared" ca="1" si="180"/>
        <v>-189232.40640230937</v>
      </c>
      <c r="W133" s="1056">
        <f t="shared" ca="1" si="180"/>
        <v>-151360.49524866516</v>
      </c>
      <c r="X133" s="1056">
        <f t="shared" ca="1" si="180"/>
        <v>-143385.39613207249</v>
      </c>
      <c r="Y133" s="1056">
        <f t="shared" ca="1" si="180"/>
        <v>-134025.69822507881</v>
      </c>
      <c r="Z133" s="1056">
        <f t="shared" ca="1" si="180"/>
        <v>-120047.66461527895</v>
      </c>
      <c r="AA133" s="1056">
        <f t="shared" ca="1" si="180"/>
        <v>-108208.32935508658</v>
      </c>
      <c r="AB133" s="1056">
        <f t="shared" ca="1" si="180"/>
        <v>-99285.93928670304</v>
      </c>
      <c r="AC133" s="1056">
        <f t="shared" ca="1" si="180"/>
        <v>-92315.673994814162</v>
      </c>
      <c r="AD133" s="1056">
        <f t="shared" ca="1" si="180"/>
        <v>-85007.604089692977</v>
      </c>
      <c r="AE133" s="1056">
        <f t="shared" ca="1" si="180"/>
        <v>-78060.923918623695</v>
      </c>
      <c r="AF133" s="1056">
        <f t="shared" ca="1" si="180"/>
        <v>0</v>
      </c>
      <c r="AG133" s="1056">
        <f t="shared" ca="1" si="180"/>
        <v>0</v>
      </c>
      <c r="AH133" s="1056">
        <f t="shared" ca="1" si="180"/>
        <v>0</v>
      </c>
      <c r="AI133" s="1056">
        <f t="shared" ca="1" si="180"/>
        <v>0</v>
      </c>
      <c r="AJ133" s="1056">
        <f t="shared" ca="1" si="180"/>
        <v>0</v>
      </c>
      <c r="AK133" s="1056">
        <f t="shared" ca="1" si="180"/>
        <v>0</v>
      </c>
      <c r="AL133" s="1056">
        <f t="shared" ca="1" si="180"/>
        <v>0</v>
      </c>
      <c r="AM133" s="1056">
        <f t="shared" ca="1" si="180"/>
        <v>0</v>
      </c>
      <c r="AN133" s="1056">
        <f t="shared" ca="1" si="180"/>
        <v>0</v>
      </c>
      <c r="AO133" s="1056">
        <f t="shared" ca="1" si="180"/>
        <v>0</v>
      </c>
      <c r="AP133" s="1056">
        <f t="shared" ca="1" si="180"/>
        <v>0</v>
      </c>
      <c r="AQ133" s="1056">
        <f t="shared" ca="1" si="180"/>
        <v>-460000</v>
      </c>
      <c r="AR133" s="1056">
        <f t="shared" ca="1" si="180"/>
        <v>0</v>
      </c>
      <c r="AS133" s="1056">
        <f t="shared" ca="1" si="180"/>
        <v>0</v>
      </c>
      <c r="AT133" s="1056">
        <f t="shared" ca="1" si="180"/>
        <v>0</v>
      </c>
      <c r="AU133" s="1056">
        <f t="shared" ca="1" si="180"/>
        <v>0</v>
      </c>
      <c r="AV133" s="1056">
        <f t="shared" ca="1" si="180"/>
        <v>0</v>
      </c>
      <c r="AW133" s="1056">
        <f t="shared" ca="1" si="180"/>
        <v>0</v>
      </c>
      <c r="AX133" s="1056">
        <f t="shared" ca="1" si="180"/>
        <v>0</v>
      </c>
      <c r="AY133" s="1056">
        <f t="shared" ca="1" si="180"/>
        <v>0</v>
      </c>
      <c r="AZ133" s="1056">
        <f t="shared" ca="1" si="180"/>
        <v>0</v>
      </c>
      <c r="BA133" s="1056">
        <f t="shared" ca="1" si="180"/>
        <v>0</v>
      </c>
      <c r="BB133" s="1056">
        <f t="shared" ca="1" si="180"/>
        <v>0</v>
      </c>
      <c r="BC133" s="1056">
        <f t="shared" ca="1" si="180"/>
        <v>0</v>
      </c>
      <c r="BD133" s="1056">
        <f t="shared" ca="1" si="180"/>
        <v>0</v>
      </c>
      <c r="BE133" s="1056">
        <f t="shared" ca="1" si="180"/>
        <v>0</v>
      </c>
      <c r="BF133" s="1056">
        <f t="shared" ca="1" si="180"/>
        <v>0</v>
      </c>
      <c r="BG133" s="1056">
        <f t="shared" ca="1" si="180"/>
        <v>0</v>
      </c>
      <c r="BH133" s="1056">
        <f t="shared" ca="1" si="180"/>
        <v>0</v>
      </c>
      <c r="BI133" s="1056">
        <f t="shared" ca="1" si="180"/>
        <v>0</v>
      </c>
      <c r="BJ133" s="1056">
        <f t="shared" ca="1" si="180"/>
        <v>0</v>
      </c>
      <c r="BK133" s="1056">
        <f t="shared" ca="1" si="180"/>
        <v>0</v>
      </c>
      <c r="BL133" s="1056">
        <f t="shared" ca="1" si="180"/>
        <v>0</v>
      </c>
      <c r="BM133" s="1056">
        <f t="shared" ca="1" si="180"/>
        <v>0</v>
      </c>
      <c r="BN133" s="1056">
        <f t="shared" ca="1" si="180"/>
        <v>0</v>
      </c>
      <c r="BO133" s="1056">
        <f t="shared" ca="1" si="180"/>
        <v>0</v>
      </c>
      <c r="BP133" s="1056">
        <f t="shared" ca="1" si="180"/>
        <v>0</v>
      </c>
      <c r="BQ133" s="1056">
        <f t="shared" ca="1" si="180"/>
        <v>0</v>
      </c>
      <c r="BR133" s="1056">
        <f t="shared" ca="1" si="180"/>
        <v>0</v>
      </c>
      <c r="BS133" s="1056">
        <f t="shared" ca="1" si="180"/>
        <v>0</v>
      </c>
      <c r="BT133" s="1056">
        <f t="shared" ref="BT133:CA133" ca="1" si="181">-BT123</f>
        <v>0</v>
      </c>
      <c r="BU133" s="1056">
        <f t="shared" ca="1" si="181"/>
        <v>0</v>
      </c>
      <c r="BV133" s="1056">
        <f t="shared" ca="1" si="181"/>
        <v>0</v>
      </c>
      <c r="BW133" s="1056">
        <f t="shared" ca="1" si="181"/>
        <v>0</v>
      </c>
      <c r="BX133" s="1056">
        <f t="shared" ca="1" si="181"/>
        <v>0</v>
      </c>
      <c r="BY133" s="1056">
        <f t="shared" ca="1" si="181"/>
        <v>0</v>
      </c>
      <c r="BZ133" s="1056">
        <f t="shared" ca="1" si="181"/>
        <v>0</v>
      </c>
      <c r="CA133" s="1056">
        <f t="shared" ca="1" si="181"/>
        <v>0</v>
      </c>
    </row>
    <row r="134" spans="2:79" s="1041" customFormat="1">
      <c r="B134" s="23" t="s">
        <v>968</v>
      </c>
      <c r="E134" s="1044">
        <f t="shared" ref="E134:E136" ca="1" si="182">SUM(G134:CA134)</f>
        <v>4184911.0250606318</v>
      </c>
      <c r="G134" s="1057">
        <f>IF(G6&gt;$C96,0,G86-G88+G93+G103)</f>
        <v>0</v>
      </c>
      <c r="H134" s="1057">
        <f t="shared" ref="H134:BS134" si="183">IF(H6&gt;$C96,0,H86-H88+H93+H103)</f>
        <v>0</v>
      </c>
      <c r="I134" s="1057">
        <f t="shared" si="183"/>
        <v>0</v>
      </c>
      <c r="J134" s="1057">
        <f t="shared" si="183"/>
        <v>0</v>
      </c>
      <c r="K134" s="1057">
        <f t="shared" si="183"/>
        <v>0</v>
      </c>
      <c r="L134" s="1057">
        <f t="shared" si="183"/>
        <v>0</v>
      </c>
      <c r="M134" s="1057">
        <f t="shared" si="183"/>
        <v>0</v>
      </c>
      <c r="N134" s="1057">
        <f t="shared" si="183"/>
        <v>0</v>
      </c>
      <c r="O134" s="1057">
        <f t="shared" si="183"/>
        <v>0</v>
      </c>
      <c r="P134" s="1057">
        <f t="shared" si="183"/>
        <v>0</v>
      </c>
      <c r="Q134" s="1057">
        <f t="shared" si="183"/>
        <v>0</v>
      </c>
      <c r="R134" s="1057">
        <f t="shared" si="183"/>
        <v>0</v>
      </c>
      <c r="S134" s="1057">
        <f t="shared" si="183"/>
        <v>0</v>
      </c>
      <c r="T134" s="1057">
        <f t="shared" si="183"/>
        <v>0</v>
      </c>
      <c r="U134" s="1057">
        <f t="shared" ca="1" si="183"/>
        <v>213042.26707111413</v>
      </c>
      <c r="V134" s="1057">
        <f t="shared" ca="1" si="183"/>
        <v>163.91868955706377</v>
      </c>
      <c r="W134" s="1057">
        <f t="shared" ca="1" si="183"/>
        <v>8653.3568437817794</v>
      </c>
      <c r="X134" s="1057">
        <f t="shared" ca="1" si="183"/>
        <v>17602.313944269015</v>
      </c>
      <c r="Y134" s="1057">
        <f t="shared" ca="1" si="183"/>
        <v>27884.557807310972</v>
      </c>
      <c r="Z134" s="1057">
        <f t="shared" ca="1" si="183"/>
        <v>38538.139017227266</v>
      </c>
      <c r="AA134" s="1057">
        <f t="shared" ca="1" si="183"/>
        <v>51149.86456618995</v>
      </c>
      <c r="AB134" s="1057">
        <f t="shared" ca="1" si="183"/>
        <v>60768.470283797709</v>
      </c>
      <c r="AC134" s="1057">
        <f t="shared" ca="1" si="183"/>
        <v>68377.544298557972</v>
      </c>
      <c r="AD134" s="1057">
        <f t="shared" ca="1" si="183"/>
        <v>76279.576029788324</v>
      </c>
      <c r="AE134" s="1057">
        <f t="shared" ca="1" si="183"/>
        <v>83773.197685151812</v>
      </c>
      <c r="AF134" s="1057">
        <f t="shared" ca="1" si="183"/>
        <v>90506.319908383826</v>
      </c>
      <c r="AG134" s="1057">
        <f t="shared" ca="1" si="183"/>
        <v>256451.37601617503</v>
      </c>
      <c r="AH134" s="1057">
        <f t="shared" ca="1" si="183"/>
        <v>104356.25803163166</v>
      </c>
      <c r="AI134" s="1057">
        <f t="shared" ca="1" si="183"/>
        <v>112024.69863367551</v>
      </c>
      <c r="AJ134" s="1057">
        <f t="shared" ca="1" si="183"/>
        <v>119405.27758337119</v>
      </c>
      <c r="AK134" s="1057">
        <f t="shared" ca="1" si="183"/>
        <v>137359.81909107303</v>
      </c>
      <c r="AL134" s="1057">
        <f t="shared" ca="1" si="183"/>
        <v>146243.37123149037</v>
      </c>
      <c r="AM134" s="1057">
        <f t="shared" ca="1" si="183"/>
        <v>152200.79104841067</v>
      </c>
      <c r="AN134" s="1057">
        <f t="shared" ca="1" si="183"/>
        <v>133397.37074423602</v>
      </c>
      <c r="AO134" s="1057">
        <f t="shared" ca="1" si="183"/>
        <v>133973.37317483668</v>
      </c>
      <c r="AP134" s="1057">
        <f t="shared" ca="1" si="183"/>
        <v>133746.12312035754</v>
      </c>
      <c r="AQ134" s="1057">
        <f t="shared" ca="1" si="183"/>
        <v>141560.02672048748</v>
      </c>
      <c r="AR134" s="1057">
        <f t="shared" ca="1" si="183"/>
        <v>143983.672317986</v>
      </c>
      <c r="AS134" s="1057">
        <f t="shared" ca="1" si="183"/>
        <v>146484.18312909742</v>
      </c>
      <c r="AT134" s="1057">
        <f t="shared" ca="1" si="183"/>
        <v>149188.51719103832</v>
      </c>
      <c r="AU134" s="1057">
        <f t="shared" ca="1" si="183"/>
        <v>152203.73836650129</v>
      </c>
      <c r="AV134" s="1057">
        <f t="shared" ca="1" si="183"/>
        <v>155873.30138448303</v>
      </c>
      <c r="AW134" s="1057">
        <f t="shared" ca="1" si="183"/>
        <v>158202.61816919767</v>
      </c>
      <c r="AX134" s="1057">
        <f t="shared" ca="1" si="183"/>
        <v>159911.08109085905</v>
      </c>
      <c r="AY134" s="1057">
        <f t="shared" ca="1" si="183"/>
        <v>161472.54454468281</v>
      </c>
      <c r="AZ134" s="1057">
        <f t="shared" ca="1" si="183"/>
        <v>160772.7537616544</v>
      </c>
      <c r="BA134" s="1057">
        <f t="shared" ca="1" si="183"/>
        <v>160527.08656163252</v>
      </c>
      <c r="BB134" s="1057">
        <f t="shared" ca="1" si="183"/>
        <v>159568.46040805746</v>
      </c>
      <c r="BC134" s="1057">
        <f t="shared" si="183"/>
        <v>169265.05659456676</v>
      </c>
      <c r="BD134" s="1057">
        <f t="shared" si="183"/>
        <v>0</v>
      </c>
      <c r="BE134" s="1057">
        <f t="shared" si="183"/>
        <v>0</v>
      </c>
      <c r="BF134" s="1057">
        <f t="shared" si="183"/>
        <v>0</v>
      </c>
      <c r="BG134" s="1057">
        <f t="shared" si="183"/>
        <v>0</v>
      </c>
      <c r="BH134" s="1057">
        <f t="shared" si="183"/>
        <v>0</v>
      </c>
      <c r="BI134" s="1057">
        <f t="shared" si="183"/>
        <v>0</v>
      </c>
      <c r="BJ134" s="1057">
        <f t="shared" si="183"/>
        <v>0</v>
      </c>
      <c r="BK134" s="1057">
        <f t="shared" si="183"/>
        <v>0</v>
      </c>
      <c r="BL134" s="1057">
        <f t="shared" si="183"/>
        <v>0</v>
      </c>
      <c r="BM134" s="1057">
        <f t="shared" si="183"/>
        <v>0</v>
      </c>
      <c r="BN134" s="1057">
        <f t="shared" si="183"/>
        <v>0</v>
      </c>
      <c r="BO134" s="1057">
        <f t="shared" si="183"/>
        <v>0</v>
      </c>
      <c r="BP134" s="1057">
        <f t="shared" si="183"/>
        <v>0</v>
      </c>
      <c r="BQ134" s="1057">
        <f t="shared" si="183"/>
        <v>0</v>
      </c>
      <c r="BR134" s="1057">
        <f t="shared" si="183"/>
        <v>0</v>
      </c>
      <c r="BS134" s="1057">
        <f t="shared" si="183"/>
        <v>0</v>
      </c>
      <c r="BT134" s="1057">
        <f t="shared" ref="BT134:CA134" si="184">IF(BT6&gt;$C96,0,BT86-BT88+BT93+BT103)</f>
        <v>0</v>
      </c>
      <c r="BU134" s="1057">
        <f t="shared" si="184"/>
        <v>0</v>
      </c>
      <c r="BV134" s="1057">
        <f t="shared" si="184"/>
        <v>0</v>
      </c>
      <c r="BW134" s="1057">
        <f t="shared" si="184"/>
        <v>0</v>
      </c>
      <c r="BX134" s="1057">
        <f t="shared" si="184"/>
        <v>0</v>
      </c>
      <c r="BY134" s="1057">
        <f t="shared" si="184"/>
        <v>0</v>
      </c>
      <c r="BZ134" s="1057">
        <f t="shared" si="184"/>
        <v>0</v>
      </c>
      <c r="CA134" s="1057">
        <f t="shared" si="184"/>
        <v>0</v>
      </c>
    </row>
    <row r="135" spans="2:79" s="1041" customFormat="1">
      <c r="B135" s="23" t="s">
        <v>969</v>
      </c>
      <c r="E135" s="1052">
        <f t="shared" si="182"/>
        <v>38333761.287416615</v>
      </c>
      <c r="G135" s="1057">
        <f t="shared" ref="G135:AL135" si="185">G100</f>
        <v>0</v>
      </c>
      <c r="H135" s="1057">
        <f t="shared" si="185"/>
        <v>0</v>
      </c>
      <c r="I135" s="1057">
        <f t="shared" si="185"/>
        <v>0</v>
      </c>
      <c r="J135" s="1057">
        <f t="shared" si="185"/>
        <v>0</v>
      </c>
      <c r="K135" s="1057">
        <f t="shared" si="185"/>
        <v>0</v>
      </c>
      <c r="L135" s="1057">
        <f t="shared" si="185"/>
        <v>0</v>
      </c>
      <c r="M135" s="1057">
        <f t="shared" si="185"/>
        <v>0</v>
      </c>
      <c r="N135" s="1057">
        <f t="shared" si="185"/>
        <v>0</v>
      </c>
      <c r="O135" s="1057">
        <f t="shared" si="185"/>
        <v>0</v>
      </c>
      <c r="P135" s="1057">
        <f t="shared" si="185"/>
        <v>0</v>
      </c>
      <c r="Q135" s="1057">
        <f t="shared" si="185"/>
        <v>0</v>
      </c>
      <c r="R135" s="1057">
        <f t="shared" si="185"/>
        <v>0</v>
      </c>
      <c r="S135" s="1057">
        <f t="shared" si="185"/>
        <v>0</v>
      </c>
      <c r="T135" s="1057">
        <f t="shared" si="185"/>
        <v>0</v>
      </c>
      <c r="U135" s="1057">
        <f t="shared" si="185"/>
        <v>0</v>
      </c>
      <c r="V135" s="1057">
        <f t="shared" si="185"/>
        <v>0</v>
      </c>
      <c r="W135" s="1057">
        <f t="shared" si="185"/>
        <v>0</v>
      </c>
      <c r="X135" s="1057">
        <f t="shared" si="185"/>
        <v>0</v>
      </c>
      <c r="Y135" s="1057">
        <f t="shared" si="185"/>
        <v>0</v>
      </c>
      <c r="Z135" s="1057">
        <f t="shared" si="185"/>
        <v>0</v>
      </c>
      <c r="AA135" s="1057">
        <f t="shared" si="185"/>
        <v>0</v>
      </c>
      <c r="AB135" s="1057">
        <f t="shared" si="185"/>
        <v>0</v>
      </c>
      <c r="AC135" s="1057">
        <f t="shared" si="185"/>
        <v>0</v>
      </c>
      <c r="AD135" s="1057">
        <f t="shared" si="185"/>
        <v>0</v>
      </c>
      <c r="AE135" s="1057">
        <f t="shared" si="185"/>
        <v>0</v>
      </c>
      <c r="AF135" s="1057">
        <f t="shared" si="185"/>
        <v>0</v>
      </c>
      <c r="AG135" s="1057">
        <f t="shared" si="185"/>
        <v>0</v>
      </c>
      <c r="AH135" s="1057">
        <f t="shared" si="185"/>
        <v>0</v>
      </c>
      <c r="AI135" s="1057">
        <f t="shared" si="185"/>
        <v>0</v>
      </c>
      <c r="AJ135" s="1057">
        <f t="shared" si="185"/>
        <v>0</v>
      </c>
      <c r="AK135" s="1057">
        <f t="shared" si="185"/>
        <v>0</v>
      </c>
      <c r="AL135" s="1057">
        <f t="shared" si="185"/>
        <v>0</v>
      </c>
      <c r="AM135" s="1057">
        <f t="shared" ref="AM135:BR135" si="186">AM100</f>
        <v>0</v>
      </c>
      <c r="AN135" s="1057">
        <f t="shared" si="186"/>
        <v>0</v>
      </c>
      <c r="AO135" s="1057">
        <f t="shared" si="186"/>
        <v>0</v>
      </c>
      <c r="AP135" s="1057">
        <f t="shared" si="186"/>
        <v>0</v>
      </c>
      <c r="AQ135" s="1057">
        <f t="shared" si="186"/>
        <v>0</v>
      </c>
      <c r="AR135" s="1057">
        <f t="shared" si="186"/>
        <v>0</v>
      </c>
      <c r="AS135" s="1057">
        <f t="shared" si="186"/>
        <v>0</v>
      </c>
      <c r="AT135" s="1057">
        <f t="shared" si="186"/>
        <v>0</v>
      </c>
      <c r="AU135" s="1057">
        <f t="shared" si="186"/>
        <v>0</v>
      </c>
      <c r="AV135" s="1057">
        <f t="shared" si="186"/>
        <v>0</v>
      </c>
      <c r="AW135" s="1057">
        <f t="shared" si="186"/>
        <v>0</v>
      </c>
      <c r="AX135" s="1057">
        <f t="shared" si="186"/>
        <v>0</v>
      </c>
      <c r="AY135" s="1057">
        <f t="shared" si="186"/>
        <v>0</v>
      </c>
      <c r="AZ135" s="1057">
        <f t="shared" si="186"/>
        <v>0</v>
      </c>
      <c r="BA135" s="1057">
        <f t="shared" si="186"/>
        <v>0</v>
      </c>
      <c r="BB135" s="1057">
        <f t="shared" si="186"/>
        <v>0</v>
      </c>
      <c r="BC135" s="1057">
        <f t="shared" si="186"/>
        <v>38333761.287416615</v>
      </c>
      <c r="BD135" s="1057">
        <f t="shared" si="186"/>
        <v>0</v>
      </c>
      <c r="BE135" s="1057">
        <f t="shared" si="186"/>
        <v>0</v>
      </c>
      <c r="BF135" s="1057">
        <f t="shared" si="186"/>
        <v>0</v>
      </c>
      <c r="BG135" s="1057">
        <f t="shared" si="186"/>
        <v>0</v>
      </c>
      <c r="BH135" s="1057">
        <f t="shared" si="186"/>
        <v>0</v>
      </c>
      <c r="BI135" s="1057">
        <f t="shared" si="186"/>
        <v>0</v>
      </c>
      <c r="BJ135" s="1057">
        <f t="shared" si="186"/>
        <v>0</v>
      </c>
      <c r="BK135" s="1057">
        <f t="shared" si="186"/>
        <v>0</v>
      </c>
      <c r="BL135" s="1057">
        <f t="shared" si="186"/>
        <v>0</v>
      </c>
      <c r="BM135" s="1057">
        <f t="shared" si="186"/>
        <v>0</v>
      </c>
      <c r="BN135" s="1057">
        <f t="shared" si="186"/>
        <v>0</v>
      </c>
      <c r="BO135" s="1057">
        <f t="shared" si="186"/>
        <v>0</v>
      </c>
      <c r="BP135" s="1057">
        <f t="shared" si="186"/>
        <v>0</v>
      </c>
      <c r="BQ135" s="1057">
        <f t="shared" si="186"/>
        <v>0</v>
      </c>
      <c r="BR135" s="1057">
        <f t="shared" si="186"/>
        <v>0</v>
      </c>
      <c r="BS135" s="1057">
        <f t="shared" ref="BS135:CA135" si="187">BS100</f>
        <v>0</v>
      </c>
      <c r="BT135" s="1057">
        <f t="shared" si="187"/>
        <v>0</v>
      </c>
      <c r="BU135" s="1057">
        <f t="shared" si="187"/>
        <v>0</v>
      </c>
      <c r="BV135" s="1057">
        <f t="shared" si="187"/>
        <v>0</v>
      </c>
      <c r="BW135" s="1057">
        <f t="shared" si="187"/>
        <v>0</v>
      </c>
      <c r="BX135" s="1057">
        <f t="shared" si="187"/>
        <v>0</v>
      </c>
      <c r="BY135" s="1057">
        <f t="shared" si="187"/>
        <v>0</v>
      </c>
      <c r="BZ135" s="1057">
        <f t="shared" si="187"/>
        <v>0</v>
      </c>
      <c r="CA135" s="1057">
        <f t="shared" si="187"/>
        <v>0</v>
      </c>
    </row>
    <row r="136" spans="2:79" s="1039" customFormat="1">
      <c r="B136" s="1050" t="s">
        <v>74</v>
      </c>
      <c r="C136" s="1055"/>
      <c r="D136" s="1055"/>
      <c r="E136" s="1052">
        <f t="shared" ca="1" si="182"/>
        <v>20891706.611007817</v>
      </c>
      <c r="F136" s="1055"/>
      <c r="G136" s="1048">
        <f>SUM(G133:G135)</f>
        <v>-6170830.5186084146</v>
      </c>
      <c r="H136" s="1048">
        <f t="shared" ref="H136:BS136" ca="1" si="188">SUM(H133:H135)</f>
        <v>-1621996.4428701538</v>
      </c>
      <c r="I136" s="1048">
        <f t="shared" ca="1" si="188"/>
        <v>-1194192.4202881379</v>
      </c>
      <c r="J136" s="1048">
        <f t="shared" ca="1" si="188"/>
        <v>-1201875.8902774097</v>
      </c>
      <c r="K136" s="1048">
        <f t="shared" ca="1" si="188"/>
        <v>-1209608.7959439417</v>
      </c>
      <c r="L136" s="1048">
        <f t="shared" ca="1" si="188"/>
        <v>-1217391.45535837</v>
      </c>
      <c r="M136" s="1048">
        <f t="shared" ca="1" si="188"/>
        <v>-1225224.1886378066</v>
      </c>
      <c r="N136" s="1048">
        <f t="shared" ca="1" si="188"/>
        <v>-1233107.3179590069</v>
      </c>
      <c r="O136" s="1048">
        <f t="shared" ca="1" si="188"/>
        <v>-1241041.1675716206</v>
      </c>
      <c r="P136" s="1048">
        <f t="shared" ca="1" si="188"/>
        <v>-626705.10053044604</v>
      </c>
      <c r="Q136" s="1048">
        <f t="shared" ca="1" si="188"/>
        <v>-624944.85672495479</v>
      </c>
      <c r="R136" s="1048">
        <f t="shared" ca="1" si="188"/>
        <v>-622117.89948070608</v>
      </c>
      <c r="S136" s="1048">
        <f t="shared" ca="1" si="188"/>
        <v>-619992.88618231437</v>
      </c>
      <c r="T136" s="1048">
        <f t="shared" ca="1" si="188"/>
        <v>-617715.70550605899</v>
      </c>
      <c r="U136" s="1048">
        <f t="shared" ca="1" si="188"/>
        <v>-326248.65719062544</v>
      </c>
      <c r="V136" s="1048">
        <f t="shared" ca="1" si="188"/>
        <v>-189068.48771275231</v>
      </c>
      <c r="W136" s="1048">
        <f t="shared" ca="1" si="188"/>
        <v>-142707.13840488339</v>
      </c>
      <c r="X136" s="1048">
        <f t="shared" ca="1" si="188"/>
        <v>-125783.08218780348</v>
      </c>
      <c r="Y136" s="1048">
        <f t="shared" ca="1" si="188"/>
        <v>-106141.14041776783</v>
      </c>
      <c r="Z136" s="1048">
        <f t="shared" ca="1" si="188"/>
        <v>-81509.525598051681</v>
      </c>
      <c r="AA136" s="1048">
        <f t="shared" ca="1" si="188"/>
        <v>-57058.464788896628</v>
      </c>
      <c r="AB136" s="1048">
        <f t="shared" ca="1" si="188"/>
        <v>-38517.469002905331</v>
      </c>
      <c r="AC136" s="1048">
        <f t="shared" ca="1" si="188"/>
        <v>-23938.12969625619</v>
      </c>
      <c r="AD136" s="1048">
        <f t="shared" ca="1" si="188"/>
        <v>-8728.0280599046528</v>
      </c>
      <c r="AE136" s="1048">
        <f t="shared" ca="1" si="188"/>
        <v>5712.2737665281165</v>
      </c>
      <c r="AF136" s="1048">
        <f t="shared" ca="1" si="188"/>
        <v>90506.319908383826</v>
      </c>
      <c r="AG136" s="1048">
        <f t="shared" ca="1" si="188"/>
        <v>256451.37601617503</v>
      </c>
      <c r="AH136" s="1048">
        <f t="shared" ca="1" si="188"/>
        <v>104356.25803163166</v>
      </c>
      <c r="AI136" s="1048">
        <f t="shared" ca="1" si="188"/>
        <v>112024.69863367551</v>
      </c>
      <c r="AJ136" s="1048">
        <f t="shared" ca="1" si="188"/>
        <v>119405.27758337119</v>
      </c>
      <c r="AK136" s="1048">
        <f t="shared" ca="1" si="188"/>
        <v>137359.81909107303</v>
      </c>
      <c r="AL136" s="1048">
        <f t="shared" ca="1" si="188"/>
        <v>146243.37123149037</v>
      </c>
      <c r="AM136" s="1048">
        <f t="shared" ca="1" si="188"/>
        <v>152200.79104841067</v>
      </c>
      <c r="AN136" s="1048">
        <f t="shared" ca="1" si="188"/>
        <v>133397.37074423602</v>
      </c>
      <c r="AO136" s="1048">
        <f t="shared" ca="1" si="188"/>
        <v>133973.37317483668</v>
      </c>
      <c r="AP136" s="1048">
        <f t="shared" ca="1" si="188"/>
        <v>133746.12312035754</v>
      </c>
      <c r="AQ136" s="1048">
        <f t="shared" ca="1" si="188"/>
        <v>-318439.97327951249</v>
      </c>
      <c r="AR136" s="1048">
        <f t="shared" ca="1" si="188"/>
        <v>143983.672317986</v>
      </c>
      <c r="AS136" s="1048">
        <f t="shared" ca="1" si="188"/>
        <v>146484.18312909742</v>
      </c>
      <c r="AT136" s="1048">
        <f t="shared" ca="1" si="188"/>
        <v>149188.51719103832</v>
      </c>
      <c r="AU136" s="1048">
        <f t="shared" ca="1" si="188"/>
        <v>152203.73836650129</v>
      </c>
      <c r="AV136" s="1048">
        <f t="shared" ca="1" si="188"/>
        <v>155873.30138448303</v>
      </c>
      <c r="AW136" s="1048">
        <f t="shared" ca="1" si="188"/>
        <v>158202.61816919767</v>
      </c>
      <c r="AX136" s="1048">
        <f t="shared" ca="1" si="188"/>
        <v>159911.08109085905</v>
      </c>
      <c r="AY136" s="1048">
        <f t="shared" ca="1" si="188"/>
        <v>161472.54454468281</v>
      </c>
      <c r="AZ136" s="1048">
        <f t="shared" ca="1" si="188"/>
        <v>160772.7537616544</v>
      </c>
      <c r="BA136" s="1048">
        <f t="shared" ca="1" si="188"/>
        <v>160527.08656163252</v>
      </c>
      <c r="BB136" s="1048">
        <f t="shared" ca="1" si="188"/>
        <v>159568.46040805746</v>
      </c>
      <c r="BC136" s="1048">
        <f t="shared" ca="1" si="188"/>
        <v>38503026.34401118</v>
      </c>
      <c r="BD136" s="1048">
        <f t="shared" ca="1" si="188"/>
        <v>0</v>
      </c>
      <c r="BE136" s="1048">
        <f t="shared" ca="1" si="188"/>
        <v>0</v>
      </c>
      <c r="BF136" s="1048">
        <f t="shared" ca="1" si="188"/>
        <v>0</v>
      </c>
      <c r="BG136" s="1048">
        <f t="shared" ca="1" si="188"/>
        <v>0</v>
      </c>
      <c r="BH136" s="1048">
        <f t="shared" ca="1" si="188"/>
        <v>0</v>
      </c>
      <c r="BI136" s="1048">
        <f t="shared" ca="1" si="188"/>
        <v>0</v>
      </c>
      <c r="BJ136" s="1048">
        <f t="shared" ca="1" si="188"/>
        <v>0</v>
      </c>
      <c r="BK136" s="1048">
        <f t="shared" ca="1" si="188"/>
        <v>0</v>
      </c>
      <c r="BL136" s="1048">
        <f t="shared" ca="1" si="188"/>
        <v>0</v>
      </c>
      <c r="BM136" s="1048">
        <f t="shared" ca="1" si="188"/>
        <v>0</v>
      </c>
      <c r="BN136" s="1048">
        <f t="shared" ca="1" si="188"/>
        <v>0</v>
      </c>
      <c r="BO136" s="1048">
        <f t="shared" ca="1" si="188"/>
        <v>0</v>
      </c>
      <c r="BP136" s="1048">
        <f t="shared" ca="1" si="188"/>
        <v>0</v>
      </c>
      <c r="BQ136" s="1048">
        <f t="shared" ca="1" si="188"/>
        <v>0</v>
      </c>
      <c r="BR136" s="1048">
        <f t="shared" ca="1" si="188"/>
        <v>0</v>
      </c>
      <c r="BS136" s="1048">
        <f t="shared" ca="1" si="188"/>
        <v>0</v>
      </c>
      <c r="BT136" s="1048">
        <f t="shared" ref="BT136:CA136" ca="1" si="189">SUM(BT133:BT135)</f>
        <v>0</v>
      </c>
      <c r="BU136" s="1048">
        <f t="shared" ca="1" si="189"/>
        <v>0</v>
      </c>
      <c r="BV136" s="1048">
        <f t="shared" ca="1" si="189"/>
        <v>0</v>
      </c>
      <c r="BW136" s="1048">
        <f t="shared" ca="1" si="189"/>
        <v>0</v>
      </c>
      <c r="BX136" s="1048">
        <f t="shared" ca="1" si="189"/>
        <v>0</v>
      </c>
      <c r="BY136" s="1048">
        <f t="shared" ca="1" si="189"/>
        <v>0</v>
      </c>
      <c r="BZ136" s="1048">
        <f t="shared" ca="1" si="189"/>
        <v>0</v>
      </c>
      <c r="CA136" s="1048">
        <f t="shared" ca="1" si="189"/>
        <v>0</v>
      </c>
    </row>
    <row r="137" spans="2:79">
      <c r="B137" s="23"/>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36"/>
      <c r="AX137" s="136"/>
      <c r="AY137" s="136"/>
      <c r="AZ137" s="136"/>
      <c r="BA137" s="136"/>
      <c r="BB137" s="136"/>
      <c r="BC137" s="136"/>
      <c r="BD137" s="136"/>
      <c r="BE137" s="136"/>
      <c r="BF137" s="136"/>
      <c r="BG137" s="136"/>
      <c r="BH137" s="136"/>
      <c r="BI137" s="136"/>
      <c r="BJ137" s="136"/>
      <c r="BK137" s="136"/>
      <c r="BL137" s="136"/>
      <c r="BM137" s="136"/>
      <c r="BN137" s="136"/>
      <c r="BO137" s="136"/>
      <c r="BP137" s="136"/>
      <c r="BQ137" s="136"/>
      <c r="BR137" s="136"/>
      <c r="BS137" s="136"/>
      <c r="BT137" s="136"/>
      <c r="BU137" s="136"/>
      <c r="BV137" s="136"/>
      <c r="BW137" s="136"/>
      <c r="BX137" s="136"/>
      <c r="BY137" s="136"/>
      <c r="BZ137" s="136"/>
      <c r="CA137" s="136"/>
    </row>
    <row r="138" spans="2:79">
      <c r="B138" s="24" t="s">
        <v>53</v>
      </c>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36"/>
      <c r="AX138" s="136"/>
      <c r="AY138" s="136"/>
      <c r="AZ138" s="136"/>
      <c r="BA138" s="136"/>
      <c r="BB138" s="136"/>
      <c r="BC138" s="136"/>
      <c r="BD138" s="136"/>
      <c r="BE138" s="136"/>
      <c r="BF138" s="136"/>
      <c r="BG138" s="136"/>
      <c r="BH138" s="136"/>
      <c r="BI138" s="136"/>
      <c r="BJ138" s="136"/>
      <c r="BK138" s="136"/>
      <c r="BL138" s="136"/>
      <c r="BM138" s="136"/>
      <c r="BN138" s="136"/>
      <c r="BO138" s="136"/>
      <c r="BP138" s="136"/>
      <c r="BQ138" s="136"/>
      <c r="BR138" s="136"/>
      <c r="BS138" s="136"/>
      <c r="BT138" s="136"/>
      <c r="BU138" s="136"/>
      <c r="BV138" s="136"/>
      <c r="BW138" s="136"/>
      <c r="BX138" s="136"/>
      <c r="BY138" s="136"/>
      <c r="BZ138" s="136"/>
      <c r="CA138" s="136"/>
    </row>
    <row r="139" spans="2:79">
      <c r="B139" s="25" t="s">
        <v>54</v>
      </c>
      <c r="G139" s="136">
        <v>0</v>
      </c>
      <c r="H139" s="136">
        <f ca="1">G141</f>
        <v>6170830.5186084146</v>
      </c>
      <c r="I139" s="136">
        <f t="shared" ref="I139:BT139" ca="1" si="190">H141</f>
        <v>6926965.7014694437</v>
      </c>
      <c r="J139" s="136">
        <f t="shared" ca="1" si="190"/>
        <v>6926965.7014694437</v>
      </c>
      <c r="K139" s="136">
        <f t="shared" ca="1" si="190"/>
        <v>6926965.7014694437</v>
      </c>
      <c r="L139" s="136">
        <f t="shared" ca="1" si="190"/>
        <v>6926965.7014694437</v>
      </c>
      <c r="M139" s="136">
        <f t="shared" ca="1" si="190"/>
        <v>6926965.7014694437</v>
      </c>
      <c r="N139" s="136">
        <f t="shared" ca="1" si="190"/>
        <v>6926965.7014694437</v>
      </c>
      <c r="O139" s="136">
        <f t="shared" ca="1" si="190"/>
        <v>6926965.7014694437</v>
      </c>
      <c r="P139" s="136">
        <f t="shared" ca="1" si="190"/>
        <v>6926965.7014694437</v>
      </c>
      <c r="Q139" s="136">
        <f t="shared" ca="1" si="190"/>
        <v>6926965.7014694624</v>
      </c>
      <c r="R139" s="136">
        <f t="shared" ca="1" si="190"/>
        <v>6926965.7014694884</v>
      </c>
      <c r="S139" s="136">
        <f t="shared" ca="1" si="190"/>
        <v>6926965.701469522</v>
      </c>
      <c r="T139" s="136">
        <f t="shared" ca="1" si="190"/>
        <v>6926965.7014695629</v>
      </c>
      <c r="U139" s="136">
        <f t="shared" ca="1" si="190"/>
        <v>6926965.7014696114</v>
      </c>
      <c r="V139" s="136">
        <f t="shared" ca="1" si="190"/>
        <v>6926965.7014696673</v>
      </c>
      <c r="W139" s="136">
        <f t="shared" ca="1" si="190"/>
        <v>6926965.7014697269</v>
      </c>
      <c r="X139" s="136">
        <f t="shared" ca="1" si="190"/>
        <v>6926965.7014697865</v>
      </c>
      <c r="Y139" s="136">
        <f t="shared" ca="1" si="190"/>
        <v>6926965.7014698498</v>
      </c>
      <c r="Z139" s="136">
        <f t="shared" ca="1" si="190"/>
        <v>6926965.7014698982</v>
      </c>
      <c r="AA139" s="136">
        <f t="shared" ca="1" si="190"/>
        <v>6926965.7014699318</v>
      </c>
      <c r="AB139" s="136">
        <f t="shared" ca="1" si="190"/>
        <v>6926965.7014699355</v>
      </c>
      <c r="AC139" s="136">
        <f t="shared" ca="1" si="190"/>
        <v>6926965.7014698908</v>
      </c>
      <c r="AD139" s="136">
        <f t="shared" ca="1" si="190"/>
        <v>6926965.7014697902</v>
      </c>
      <c r="AE139" s="136">
        <f t="shared" ca="1" si="190"/>
        <v>6926965.7014696226</v>
      </c>
      <c r="AF139" s="136">
        <f t="shared" ca="1" si="190"/>
        <v>6926965.701469373</v>
      </c>
      <c r="AG139" s="136">
        <f t="shared" ca="1" si="190"/>
        <v>6926965.7014690414</v>
      </c>
      <c r="AH139" s="136">
        <f t="shared" ca="1" si="190"/>
        <v>6926965.7014686204</v>
      </c>
      <c r="AI139" s="136">
        <f t="shared" ca="1" si="190"/>
        <v>6926965.7014681101</v>
      </c>
      <c r="AJ139" s="136">
        <f t="shared" ca="1" si="190"/>
        <v>6926965.7014675066</v>
      </c>
      <c r="AK139" s="136">
        <f t="shared" ca="1" si="190"/>
        <v>6926965.7014668137</v>
      </c>
      <c r="AL139" s="136">
        <f t="shared" ca="1" si="190"/>
        <v>6926965.7014660165</v>
      </c>
      <c r="AM139" s="136">
        <f t="shared" ca="1" si="190"/>
        <v>6926965.7014651299</v>
      </c>
      <c r="AN139" s="136">
        <f t="shared" ca="1" si="190"/>
        <v>6926965.7014641613</v>
      </c>
      <c r="AO139" s="136">
        <f t="shared" ca="1" si="190"/>
        <v>6926965.7014631629</v>
      </c>
      <c r="AP139" s="136">
        <f t="shared" ca="1" si="190"/>
        <v>6926965.7014622092</v>
      </c>
      <c r="AQ139" s="136">
        <f t="shared" ca="1" si="190"/>
        <v>6926965.7014614344</v>
      </c>
      <c r="AR139" s="136">
        <f t="shared" ca="1" si="190"/>
        <v>6926965.7014610209</v>
      </c>
      <c r="AS139" s="136">
        <f t="shared" ca="1" si="190"/>
        <v>6926965.7014612034</v>
      </c>
      <c r="AT139" s="136">
        <f t="shared" ca="1" si="190"/>
        <v>6926965.7014622688</v>
      </c>
      <c r="AU139" s="136">
        <f t="shared" ca="1" si="190"/>
        <v>6926965.7014645189</v>
      </c>
      <c r="AV139" s="136">
        <f t="shared" ca="1" si="190"/>
        <v>6926965.7014682405</v>
      </c>
      <c r="AW139" s="136">
        <f t="shared" ca="1" si="190"/>
        <v>6926965.7014736347</v>
      </c>
      <c r="AX139" s="136">
        <f t="shared" ca="1" si="190"/>
        <v>6926965.7014807686</v>
      </c>
      <c r="AY139" s="136">
        <f t="shared" ca="1" si="190"/>
        <v>6926965.7014895342</v>
      </c>
      <c r="AZ139" s="136">
        <f t="shared" ca="1" si="190"/>
        <v>6926965.7014996707</v>
      </c>
      <c r="BA139" s="136">
        <f t="shared" ca="1" si="190"/>
        <v>6926965.7015108243</v>
      </c>
      <c r="BB139" s="136">
        <f t="shared" ca="1" si="190"/>
        <v>6926965.701522693</v>
      </c>
      <c r="BC139" s="136">
        <f t="shared" ca="1" si="190"/>
        <v>6926965.7015350908</v>
      </c>
      <c r="BD139" s="136">
        <f t="shared" ca="1" si="190"/>
        <v>6926965.7015480325</v>
      </c>
      <c r="BE139" s="136">
        <f t="shared" ca="1" si="190"/>
        <v>6926965.7015616149</v>
      </c>
      <c r="BF139" s="136">
        <f t="shared" ca="1" si="190"/>
        <v>6926965.7015756667</v>
      </c>
      <c r="BG139" s="136">
        <f t="shared" ca="1" si="190"/>
        <v>6926965.7015893012</v>
      </c>
      <c r="BH139" s="136">
        <f t="shared" ca="1" si="190"/>
        <v>6926965.7016005404</v>
      </c>
      <c r="BI139" s="136">
        <f t="shared" ca="1" si="190"/>
        <v>6926965.7016059831</v>
      </c>
      <c r="BJ139" s="136">
        <f t="shared" ca="1" si="190"/>
        <v>6926965.7016006969</v>
      </c>
      <c r="BK139" s="136">
        <f t="shared" ca="1" si="190"/>
        <v>6926965.7015786879</v>
      </c>
      <c r="BL139" s="136">
        <f t="shared" ca="1" si="190"/>
        <v>6926965.7015335932</v>
      </c>
      <c r="BM139" s="136">
        <f t="shared" ca="1" si="190"/>
        <v>6926965.7014591731</v>
      </c>
      <c r="BN139" s="136">
        <f t="shared" ca="1" si="190"/>
        <v>6926965.7013500594</v>
      </c>
      <c r="BO139" s="136">
        <f t="shared" ca="1" si="190"/>
        <v>6926965.701203417</v>
      </c>
      <c r="BP139" s="136">
        <f t="shared" ca="1" si="190"/>
        <v>6926965.701021269</v>
      </c>
      <c r="BQ139" s="136">
        <f t="shared" ca="1" si="190"/>
        <v>6926965.7008110434</v>
      </c>
      <c r="BR139" s="136">
        <f t="shared" ca="1" si="190"/>
        <v>6926965.7005861811</v>
      </c>
      <c r="BS139" s="136">
        <f t="shared" ca="1" si="190"/>
        <v>6926965.7003653683</v>
      </c>
      <c r="BT139" s="136">
        <f t="shared" ca="1" si="190"/>
        <v>6926965.7001675367</v>
      </c>
      <c r="BU139" s="136">
        <f t="shared" ref="BU139:CA139" ca="1" si="191">BT141</f>
        <v>6926965.7000029013</v>
      </c>
      <c r="BV139" s="136">
        <f t="shared" ca="1" si="191"/>
        <v>6926965.6998719126</v>
      </c>
      <c r="BW139" s="136">
        <f t="shared" ca="1" si="191"/>
        <v>6926965.6997643523</v>
      </c>
      <c r="BX139" s="136">
        <f t="shared" ca="1" si="191"/>
        <v>6926965.6996623576</v>
      </c>
      <c r="BY139" s="136">
        <f t="shared" ca="1" si="191"/>
        <v>6926965.6995580383</v>
      </c>
      <c r="BZ139" s="136">
        <f t="shared" ca="1" si="191"/>
        <v>6926965.6994877383</v>
      </c>
      <c r="CA139" s="136">
        <f t="shared" ca="1" si="191"/>
        <v>6926965.6995390989</v>
      </c>
    </row>
    <row r="140" spans="2:79">
      <c r="B140" s="14" t="s">
        <v>55</v>
      </c>
      <c r="C140" s="360">
        <f ca="1">'Sources &amp; Uses'!D17</f>
        <v>6926965.7014694288</v>
      </c>
      <c r="D140" s="360"/>
      <c r="E140" s="263">
        <f ca="1">SUM(G140:CA140)</f>
        <v>6926965.7014693134</v>
      </c>
      <c r="G140" s="136">
        <f ca="1">IF(-G132+G139&gt;$C$140,$C$140-G139,-G132)</f>
        <v>6170830.5186084146</v>
      </c>
      <c r="H140" s="136">
        <f t="shared" ref="H140:J140" ca="1" si="192">IF(-H132+H139&gt;$C$140,$C$140-H139,-H132)</f>
        <v>756135.18286101427</v>
      </c>
      <c r="I140" s="136">
        <f t="shared" ca="1" si="192"/>
        <v>-1.4901161193847656E-8</v>
      </c>
      <c r="J140" s="136">
        <f t="shared" ca="1" si="192"/>
        <v>-1.4901161193847656E-8</v>
      </c>
      <c r="K140" s="136">
        <f t="shared" ref="K140" ca="1" si="193">IF(-K132+K139&gt;$C$140,$C$140-K139,-K132)</f>
        <v>-1.4901161193847656E-8</v>
      </c>
      <c r="L140" s="136">
        <f t="shared" ref="L140" ca="1" si="194">IF(-L132+L139&gt;$C$140,$C$140-L139,-L132)</f>
        <v>-1.4901161193847656E-8</v>
      </c>
      <c r="M140" s="136">
        <f t="shared" ref="M140" ca="1" si="195">IF(-M132+M139&gt;$C$140,$C$140-M139,-M132)</f>
        <v>-1.4901161193847656E-8</v>
      </c>
      <c r="N140" s="136">
        <f t="shared" ref="N140" ca="1" si="196">IF(-N132+N139&gt;$C$140,$C$140-N139,-N132)</f>
        <v>-1.4901161193847656E-8</v>
      </c>
      <c r="O140" s="136">
        <f t="shared" ref="O140" ca="1" si="197">IF(-O132+O139&gt;$C$140,$C$140-O139,-O132)</f>
        <v>-1.4901161193847656E-8</v>
      </c>
      <c r="P140" s="136">
        <v>0</v>
      </c>
      <c r="Q140" s="136">
        <v>0</v>
      </c>
      <c r="R140" s="136">
        <v>0</v>
      </c>
      <c r="S140" s="136">
        <v>0</v>
      </c>
      <c r="T140" s="136">
        <v>0</v>
      </c>
      <c r="U140" s="136">
        <v>0</v>
      </c>
      <c r="V140" s="136">
        <v>0</v>
      </c>
      <c r="W140" s="136">
        <v>0</v>
      </c>
      <c r="X140" s="136">
        <v>0</v>
      </c>
      <c r="Y140" s="136">
        <v>0</v>
      </c>
      <c r="Z140" s="136">
        <v>0</v>
      </c>
      <c r="AA140" s="136">
        <v>0</v>
      </c>
      <c r="AB140" s="136">
        <v>0</v>
      </c>
      <c r="AC140" s="136">
        <v>0</v>
      </c>
      <c r="AD140" s="136">
        <v>0</v>
      </c>
      <c r="AE140" s="136">
        <v>0</v>
      </c>
      <c r="AF140" s="136">
        <v>0</v>
      </c>
      <c r="AG140" s="136">
        <v>0</v>
      </c>
      <c r="AH140" s="136">
        <v>0</v>
      </c>
      <c r="AI140" s="136">
        <v>0</v>
      </c>
      <c r="AJ140" s="136">
        <v>0</v>
      </c>
      <c r="AK140" s="136">
        <v>0</v>
      </c>
      <c r="AL140" s="136">
        <v>0</v>
      </c>
      <c r="AM140" s="136">
        <v>0</v>
      </c>
      <c r="AN140" s="136">
        <v>0</v>
      </c>
      <c r="AO140" s="136">
        <v>0</v>
      </c>
      <c r="AP140" s="136">
        <v>0</v>
      </c>
      <c r="AQ140" s="136">
        <v>0</v>
      </c>
      <c r="AR140" s="136">
        <v>0</v>
      </c>
      <c r="AS140" s="136">
        <v>0</v>
      </c>
      <c r="AT140" s="136">
        <v>0</v>
      </c>
      <c r="AU140" s="136">
        <v>0</v>
      </c>
      <c r="AV140" s="136">
        <v>0</v>
      </c>
      <c r="AW140" s="136">
        <v>0</v>
      </c>
      <c r="AX140" s="136">
        <v>0</v>
      </c>
      <c r="AY140" s="136">
        <v>0</v>
      </c>
      <c r="AZ140" s="136">
        <v>0</v>
      </c>
      <c r="BA140" s="136">
        <v>0</v>
      </c>
      <c r="BB140" s="136">
        <v>0</v>
      </c>
      <c r="BC140" s="136">
        <v>0</v>
      </c>
      <c r="BD140" s="136">
        <v>0</v>
      </c>
      <c r="BE140" s="136">
        <v>0</v>
      </c>
      <c r="BF140" s="136">
        <v>0</v>
      </c>
      <c r="BG140" s="136">
        <v>0</v>
      </c>
      <c r="BH140" s="136">
        <v>0</v>
      </c>
      <c r="BI140" s="136">
        <v>0</v>
      </c>
      <c r="BJ140" s="136">
        <v>0</v>
      </c>
      <c r="BK140" s="136">
        <v>0</v>
      </c>
      <c r="BL140" s="136">
        <v>0</v>
      </c>
      <c r="BM140" s="136">
        <v>0</v>
      </c>
      <c r="BN140" s="136">
        <v>0</v>
      </c>
      <c r="BO140" s="136">
        <v>0</v>
      </c>
      <c r="BP140" s="136">
        <v>0</v>
      </c>
      <c r="BQ140" s="136">
        <v>0</v>
      </c>
      <c r="BR140" s="136">
        <v>0</v>
      </c>
      <c r="BS140" s="136">
        <v>0</v>
      </c>
      <c r="BT140" s="136">
        <v>0</v>
      </c>
      <c r="BU140" s="136">
        <v>0</v>
      </c>
      <c r="BV140" s="136">
        <v>0</v>
      </c>
      <c r="BW140" s="136">
        <v>0</v>
      </c>
      <c r="BX140" s="136">
        <v>0</v>
      </c>
      <c r="BY140" s="136">
        <v>0</v>
      </c>
      <c r="BZ140" s="136">
        <v>0</v>
      </c>
      <c r="CA140" s="136">
        <v>0</v>
      </c>
    </row>
    <row r="141" spans="2:79">
      <c r="B141" s="92" t="s">
        <v>56</v>
      </c>
      <c r="C141" s="254"/>
      <c r="D141" s="254"/>
      <c r="E141" s="254"/>
      <c r="F141" s="254"/>
      <c r="G141" s="277">
        <f ca="1">SUM(G139:G140)</f>
        <v>6170830.5186084146</v>
      </c>
      <c r="H141" s="277">
        <f ca="1">SUM(H139:H140)</f>
        <v>6926965.7014694288</v>
      </c>
      <c r="I141" s="277">
        <f t="shared" ref="I141:BT141" ca="1" si="198">SUM(I139:I140)</f>
        <v>6926965.7014694288</v>
      </c>
      <c r="J141" s="277">
        <f t="shared" ca="1" si="198"/>
        <v>6926965.7014694288</v>
      </c>
      <c r="K141" s="277">
        <f t="shared" ca="1" si="198"/>
        <v>6926965.7014694288</v>
      </c>
      <c r="L141" s="277">
        <f t="shared" ca="1" si="198"/>
        <v>6926965.7014694288</v>
      </c>
      <c r="M141" s="277">
        <f t="shared" ca="1" si="198"/>
        <v>6926965.7014694288</v>
      </c>
      <c r="N141" s="277">
        <f t="shared" ca="1" si="198"/>
        <v>6926965.7014694288</v>
      </c>
      <c r="O141" s="277">
        <f t="shared" ca="1" si="198"/>
        <v>6926965.7014694288</v>
      </c>
      <c r="P141" s="277">
        <f t="shared" ca="1" si="198"/>
        <v>6926965.7014694437</v>
      </c>
      <c r="Q141" s="277">
        <f t="shared" ca="1" si="198"/>
        <v>6926965.7014694624</v>
      </c>
      <c r="R141" s="277">
        <f t="shared" ca="1" si="198"/>
        <v>6926965.7014694884</v>
      </c>
      <c r="S141" s="277">
        <f t="shared" ca="1" si="198"/>
        <v>6926965.701469522</v>
      </c>
      <c r="T141" s="277">
        <f t="shared" ca="1" si="198"/>
        <v>6926965.7014695629</v>
      </c>
      <c r="U141" s="277">
        <f t="shared" ca="1" si="198"/>
        <v>6926965.7014696114</v>
      </c>
      <c r="V141" s="277">
        <f t="shared" ca="1" si="198"/>
        <v>6926965.7014696673</v>
      </c>
      <c r="W141" s="277">
        <f t="shared" ca="1" si="198"/>
        <v>6926965.7014697269</v>
      </c>
      <c r="X141" s="277">
        <f t="shared" ca="1" si="198"/>
        <v>6926965.7014697865</v>
      </c>
      <c r="Y141" s="277">
        <f t="shared" ca="1" si="198"/>
        <v>6926965.7014698498</v>
      </c>
      <c r="Z141" s="277">
        <f t="shared" ca="1" si="198"/>
        <v>6926965.7014698982</v>
      </c>
      <c r="AA141" s="277">
        <f t="shared" ca="1" si="198"/>
        <v>6926965.7014699318</v>
      </c>
      <c r="AB141" s="277">
        <f t="shared" ca="1" si="198"/>
        <v>6926965.7014699355</v>
      </c>
      <c r="AC141" s="277">
        <f t="shared" ca="1" si="198"/>
        <v>6926965.7014698908</v>
      </c>
      <c r="AD141" s="277">
        <f t="shared" ca="1" si="198"/>
        <v>6926965.7014697902</v>
      </c>
      <c r="AE141" s="277">
        <f t="shared" ca="1" si="198"/>
        <v>6926965.7014696226</v>
      </c>
      <c r="AF141" s="277">
        <f t="shared" ca="1" si="198"/>
        <v>6926965.701469373</v>
      </c>
      <c r="AG141" s="277">
        <f t="shared" ca="1" si="198"/>
        <v>6926965.7014690414</v>
      </c>
      <c r="AH141" s="277">
        <f t="shared" ca="1" si="198"/>
        <v>6926965.7014686204</v>
      </c>
      <c r="AI141" s="277">
        <f t="shared" ca="1" si="198"/>
        <v>6926965.7014681101</v>
      </c>
      <c r="AJ141" s="277">
        <f t="shared" ca="1" si="198"/>
        <v>6926965.7014675066</v>
      </c>
      <c r="AK141" s="277">
        <f t="shared" ca="1" si="198"/>
        <v>6926965.7014668137</v>
      </c>
      <c r="AL141" s="277">
        <f t="shared" ca="1" si="198"/>
        <v>6926965.7014660165</v>
      </c>
      <c r="AM141" s="277">
        <f t="shared" ca="1" si="198"/>
        <v>6926965.7014651299</v>
      </c>
      <c r="AN141" s="277">
        <f t="shared" ca="1" si="198"/>
        <v>6926965.7014641613</v>
      </c>
      <c r="AO141" s="277">
        <f t="shared" ca="1" si="198"/>
        <v>6926965.7014631629</v>
      </c>
      <c r="AP141" s="277">
        <f t="shared" ca="1" si="198"/>
        <v>6926965.7014622092</v>
      </c>
      <c r="AQ141" s="277">
        <f t="shared" ca="1" si="198"/>
        <v>6926965.7014614344</v>
      </c>
      <c r="AR141" s="277">
        <f t="shared" ca="1" si="198"/>
        <v>6926965.7014610209</v>
      </c>
      <c r="AS141" s="277">
        <f t="shared" ca="1" si="198"/>
        <v>6926965.7014612034</v>
      </c>
      <c r="AT141" s="277">
        <f t="shared" ca="1" si="198"/>
        <v>6926965.7014622688</v>
      </c>
      <c r="AU141" s="277">
        <f t="shared" ca="1" si="198"/>
        <v>6926965.7014645189</v>
      </c>
      <c r="AV141" s="277">
        <f t="shared" ca="1" si="198"/>
        <v>6926965.7014682405</v>
      </c>
      <c r="AW141" s="277">
        <f t="shared" ca="1" si="198"/>
        <v>6926965.7014736347</v>
      </c>
      <c r="AX141" s="277">
        <f t="shared" ca="1" si="198"/>
        <v>6926965.7014807686</v>
      </c>
      <c r="AY141" s="277">
        <f t="shared" ca="1" si="198"/>
        <v>6926965.7014895342</v>
      </c>
      <c r="AZ141" s="277">
        <f t="shared" ca="1" si="198"/>
        <v>6926965.7014996707</v>
      </c>
      <c r="BA141" s="277">
        <f t="shared" ca="1" si="198"/>
        <v>6926965.7015108243</v>
      </c>
      <c r="BB141" s="277">
        <f t="shared" ca="1" si="198"/>
        <v>6926965.701522693</v>
      </c>
      <c r="BC141" s="277">
        <f t="shared" ca="1" si="198"/>
        <v>6926965.7015350908</v>
      </c>
      <c r="BD141" s="277">
        <f t="shared" ca="1" si="198"/>
        <v>6926965.7015480325</v>
      </c>
      <c r="BE141" s="277">
        <f t="shared" ca="1" si="198"/>
        <v>6926965.7015616149</v>
      </c>
      <c r="BF141" s="277">
        <f t="shared" ca="1" si="198"/>
        <v>6926965.7015756667</v>
      </c>
      <c r="BG141" s="277">
        <f t="shared" ca="1" si="198"/>
        <v>6926965.7015893012</v>
      </c>
      <c r="BH141" s="277">
        <f t="shared" ca="1" si="198"/>
        <v>6926965.7016005404</v>
      </c>
      <c r="BI141" s="277">
        <f t="shared" ca="1" si="198"/>
        <v>6926965.7016059831</v>
      </c>
      <c r="BJ141" s="277">
        <f t="shared" ca="1" si="198"/>
        <v>6926965.7016006969</v>
      </c>
      <c r="BK141" s="277">
        <f t="shared" ca="1" si="198"/>
        <v>6926965.7015786879</v>
      </c>
      <c r="BL141" s="277">
        <f t="shared" ca="1" si="198"/>
        <v>6926965.7015335932</v>
      </c>
      <c r="BM141" s="277">
        <f t="shared" ca="1" si="198"/>
        <v>6926965.7014591731</v>
      </c>
      <c r="BN141" s="277">
        <f t="shared" ca="1" si="198"/>
        <v>6926965.7013500594</v>
      </c>
      <c r="BO141" s="277">
        <f t="shared" ca="1" si="198"/>
        <v>6926965.701203417</v>
      </c>
      <c r="BP141" s="277">
        <f t="shared" ca="1" si="198"/>
        <v>6926965.701021269</v>
      </c>
      <c r="BQ141" s="277">
        <f t="shared" ca="1" si="198"/>
        <v>6926965.7008110434</v>
      </c>
      <c r="BR141" s="277">
        <f t="shared" ca="1" si="198"/>
        <v>6926965.7005861811</v>
      </c>
      <c r="BS141" s="277">
        <f t="shared" ca="1" si="198"/>
        <v>6926965.7003653683</v>
      </c>
      <c r="BT141" s="277">
        <f t="shared" ca="1" si="198"/>
        <v>6926965.7001675367</v>
      </c>
      <c r="BU141" s="277">
        <f t="shared" ref="BU141:CA141" ca="1" si="199">SUM(BU139:BU140)</f>
        <v>6926965.7000029013</v>
      </c>
      <c r="BV141" s="277">
        <f t="shared" ca="1" si="199"/>
        <v>6926965.6998719126</v>
      </c>
      <c r="BW141" s="277">
        <f t="shared" ca="1" si="199"/>
        <v>6926965.6997643523</v>
      </c>
      <c r="BX141" s="277">
        <f t="shared" ca="1" si="199"/>
        <v>6926965.6996623576</v>
      </c>
      <c r="BY141" s="277">
        <f t="shared" ca="1" si="199"/>
        <v>6926965.6995580383</v>
      </c>
      <c r="BZ141" s="277">
        <f t="shared" ca="1" si="199"/>
        <v>6926965.6994877383</v>
      </c>
      <c r="CA141" s="277">
        <f t="shared" ca="1" si="199"/>
        <v>6926965.6995390989</v>
      </c>
    </row>
    <row r="142" spans="2:79">
      <c r="B142" s="2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36"/>
      <c r="AX142" s="136"/>
      <c r="AY142" s="136"/>
      <c r="AZ142" s="136"/>
      <c r="BA142" s="136"/>
      <c r="BB142" s="136"/>
      <c r="BC142" s="136"/>
      <c r="BD142" s="136"/>
      <c r="BE142" s="136"/>
      <c r="BF142" s="136"/>
      <c r="BG142" s="136"/>
      <c r="BH142" s="136"/>
      <c r="BI142" s="136"/>
      <c r="BJ142" s="136"/>
      <c r="BK142" s="136"/>
      <c r="BL142" s="136"/>
      <c r="BM142" s="136"/>
      <c r="BN142" s="136"/>
      <c r="BO142" s="136"/>
      <c r="BP142" s="136"/>
      <c r="BQ142" s="136"/>
      <c r="BR142" s="136"/>
      <c r="BS142" s="136"/>
      <c r="BT142" s="136"/>
      <c r="BU142" s="136"/>
      <c r="BV142" s="136"/>
      <c r="BW142" s="136"/>
      <c r="BX142" s="136"/>
      <c r="BY142" s="136"/>
      <c r="BZ142" s="136"/>
      <c r="CA142" s="136"/>
    </row>
    <row r="143" spans="2:79" s="1041" customFormat="1">
      <c r="B143" s="1046" t="s">
        <v>57</v>
      </c>
      <c r="C143" s="1045"/>
      <c r="D143" s="1045"/>
      <c r="E143" s="1047">
        <f ca="1">SUM(G143:CA143)</f>
        <v>27818672.312477149</v>
      </c>
      <c r="F143" s="1045"/>
      <c r="G143" s="1048">
        <f ca="1">G136+G140</f>
        <v>0</v>
      </c>
      <c r="H143" s="1048">
        <f t="shared" ref="H143:BS143" ca="1" si="200">H136+H140</f>
        <v>-865861.26000913954</v>
      </c>
      <c r="I143" s="1048">
        <f t="shared" ca="1" si="200"/>
        <v>-1194192.4202881528</v>
      </c>
      <c r="J143" s="1048">
        <f t="shared" ca="1" si="200"/>
        <v>-1201875.8902774246</v>
      </c>
      <c r="K143" s="1048">
        <f t="shared" ca="1" si="200"/>
        <v>-1209608.7959439566</v>
      </c>
      <c r="L143" s="1048">
        <f t="shared" ca="1" si="200"/>
        <v>-1217391.4553583849</v>
      </c>
      <c r="M143" s="1048">
        <f t="shared" ca="1" si="200"/>
        <v>-1225224.1886378215</v>
      </c>
      <c r="N143" s="1048">
        <f t="shared" ca="1" si="200"/>
        <v>-1233107.3179590218</v>
      </c>
      <c r="O143" s="1048">
        <f t="shared" ca="1" si="200"/>
        <v>-1241041.1675716355</v>
      </c>
      <c r="P143" s="1048">
        <f t="shared" ca="1" si="200"/>
        <v>-626705.10053044604</v>
      </c>
      <c r="Q143" s="1048">
        <f t="shared" ca="1" si="200"/>
        <v>-624944.85672495479</v>
      </c>
      <c r="R143" s="1048">
        <f t="shared" ca="1" si="200"/>
        <v>-622117.89948070608</v>
      </c>
      <c r="S143" s="1048">
        <f t="shared" ca="1" si="200"/>
        <v>-619992.88618231437</v>
      </c>
      <c r="T143" s="1048">
        <f t="shared" ca="1" si="200"/>
        <v>-617715.70550605899</v>
      </c>
      <c r="U143" s="1048">
        <f t="shared" ca="1" si="200"/>
        <v>-326248.65719062544</v>
      </c>
      <c r="V143" s="1048">
        <f t="shared" ca="1" si="200"/>
        <v>-189068.48771275231</v>
      </c>
      <c r="W143" s="1048">
        <f t="shared" ca="1" si="200"/>
        <v>-142707.13840488339</v>
      </c>
      <c r="X143" s="1048">
        <f t="shared" ca="1" si="200"/>
        <v>-125783.08218780348</v>
      </c>
      <c r="Y143" s="1048">
        <f t="shared" ca="1" si="200"/>
        <v>-106141.14041776783</v>
      </c>
      <c r="Z143" s="1048">
        <f t="shared" ca="1" si="200"/>
        <v>-81509.525598051681</v>
      </c>
      <c r="AA143" s="1048">
        <f t="shared" ca="1" si="200"/>
        <v>-57058.464788896628</v>
      </c>
      <c r="AB143" s="1048">
        <f t="shared" ca="1" si="200"/>
        <v>-38517.469002905331</v>
      </c>
      <c r="AC143" s="1048">
        <f t="shared" ca="1" si="200"/>
        <v>-23938.12969625619</v>
      </c>
      <c r="AD143" s="1048">
        <f t="shared" ca="1" si="200"/>
        <v>-8728.0280599046528</v>
      </c>
      <c r="AE143" s="1048">
        <f t="shared" ca="1" si="200"/>
        <v>5712.2737665281165</v>
      </c>
      <c r="AF143" s="1048">
        <f t="shared" ca="1" si="200"/>
        <v>90506.319908383826</v>
      </c>
      <c r="AG143" s="1048">
        <f t="shared" ca="1" si="200"/>
        <v>256451.37601617503</v>
      </c>
      <c r="AH143" s="1048">
        <f t="shared" ca="1" si="200"/>
        <v>104356.25803163166</v>
      </c>
      <c r="AI143" s="1048">
        <f t="shared" ca="1" si="200"/>
        <v>112024.69863367551</v>
      </c>
      <c r="AJ143" s="1048">
        <f t="shared" ca="1" si="200"/>
        <v>119405.27758337119</v>
      </c>
      <c r="AK143" s="1048">
        <f t="shared" ca="1" si="200"/>
        <v>137359.81909107303</v>
      </c>
      <c r="AL143" s="1048">
        <f t="shared" ca="1" si="200"/>
        <v>146243.37123149037</v>
      </c>
      <c r="AM143" s="1048">
        <f t="shared" ca="1" si="200"/>
        <v>152200.79104841067</v>
      </c>
      <c r="AN143" s="1048">
        <f t="shared" ca="1" si="200"/>
        <v>133397.37074423602</v>
      </c>
      <c r="AO143" s="1048">
        <f t="shared" ca="1" si="200"/>
        <v>133973.37317483668</v>
      </c>
      <c r="AP143" s="1048">
        <f t="shared" ca="1" si="200"/>
        <v>133746.12312035754</v>
      </c>
      <c r="AQ143" s="1048">
        <f t="shared" ca="1" si="200"/>
        <v>-318439.97327951249</v>
      </c>
      <c r="AR143" s="1048">
        <f t="shared" ca="1" si="200"/>
        <v>143983.672317986</v>
      </c>
      <c r="AS143" s="1048">
        <f t="shared" ca="1" si="200"/>
        <v>146484.18312909742</v>
      </c>
      <c r="AT143" s="1048">
        <f t="shared" ca="1" si="200"/>
        <v>149188.51719103832</v>
      </c>
      <c r="AU143" s="1048">
        <f t="shared" ca="1" si="200"/>
        <v>152203.73836650129</v>
      </c>
      <c r="AV143" s="1048">
        <f t="shared" ca="1" si="200"/>
        <v>155873.30138448303</v>
      </c>
      <c r="AW143" s="1048">
        <f t="shared" ca="1" si="200"/>
        <v>158202.61816919767</v>
      </c>
      <c r="AX143" s="1048">
        <f t="shared" ca="1" si="200"/>
        <v>159911.08109085905</v>
      </c>
      <c r="AY143" s="1048">
        <f t="shared" ca="1" si="200"/>
        <v>161472.54454468281</v>
      </c>
      <c r="AZ143" s="1048">
        <f t="shared" ca="1" si="200"/>
        <v>160772.7537616544</v>
      </c>
      <c r="BA143" s="1048">
        <f t="shared" ca="1" si="200"/>
        <v>160527.08656163252</v>
      </c>
      <c r="BB143" s="1048">
        <f t="shared" ca="1" si="200"/>
        <v>159568.46040805746</v>
      </c>
      <c r="BC143" s="1048">
        <f t="shared" ca="1" si="200"/>
        <v>38503026.34401118</v>
      </c>
      <c r="BD143" s="1048">
        <f t="shared" ca="1" si="200"/>
        <v>0</v>
      </c>
      <c r="BE143" s="1048">
        <f t="shared" ca="1" si="200"/>
        <v>0</v>
      </c>
      <c r="BF143" s="1048">
        <f t="shared" ca="1" si="200"/>
        <v>0</v>
      </c>
      <c r="BG143" s="1048">
        <f t="shared" ca="1" si="200"/>
        <v>0</v>
      </c>
      <c r="BH143" s="1048">
        <f t="shared" ca="1" si="200"/>
        <v>0</v>
      </c>
      <c r="BI143" s="1048">
        <f t="shared" ca="1" si="200"/>
        <v>0</v>
      </c>
      <c r="BJ143" s="1048">
        <f t="shared" ca="1" si="200"/>
        <v>0</v>
      </c>
      <c r="BK143" s="1048">
        <f t="shared" ca="1" si="200"/>
        <v>0</v>
      </c>
      <c r="BL143" s="1048">
        <f t="shared" ca="1" si="200"/>
        <v>0</v>
      </c>
      <c r="BM143" s="1048">
        <f t="shared" ca="1" si="200"/>
        <v>0</v>
      </c>
      <c r="BN143" s="1048">
        <f t="shared" ca="1" si="200"/>
        <v>0</v>
      </c>
      <c r="BO143" s="1048">
        <f t="shared" ca="1" si="200"/>
        <v>0</v>
      </c>
      <c r="BP143" s="1048">
        <f t="shared" ca="1" si="200"/>
        <v>0</v>
      </c>
      <c r="BQ143" s="1048">
        <f t="shared" ca="1" si="200"/>
        <v>0</v>
      </c>
      <c r="BR143" s="1048">
        <f t="shared" ca="1" si="200"/>
        <v>0</v>
      </c>
      <c r="BS143" s="1048">
        <f t="shared" ca="1" si="200"/>
        <v>0</v>
      </c>
      <c r="BT143" s="1048">
        <f t="shared" ref="BT143:CA143" ca="1" si="201">BT136+BT140</f>
        <v>0</v>
      </c>
      <c r="BU143" s="1048">
        <f t="shared" ca="1" si="201"/>
        <v>0</v>
      </c>
      <c r="BV143" s="1048">
        <f t="shared" ca="1" si="201"/>
        <v>0</v>
      </c>
      <c r="BW143" s="1048">
        <f t="shared" ca="1" si="201"/>
        <v>0</v>
      </c>
      <c r="BX143" s="1048">
        <f t="shared" ca="1" si="201"/>
        <v>0</v>
      </c>
      <c r="BY143" s="1048">
        <f t="shared" ca="1" si="201"/>
        <v>0</v>
      </c>
      <c r="BZ143" s="1048">
        <f t="shared" ca="1" si="201"/>
        <v>0</v>
      </c>
      <c r="CA143" s="1048">
        <f t="shared" ca="1" si="201"/>
        <v>0</v>
      </c>
    </row>
    <row r="144" spans="2:79" s="1041" customFormat="1">
      <c r="B144" s="23" t="s">
        <v>967</v>
      </c>
      <c r="E144" s="1040">
        <f ca="1">SUM(G144:CA144)</f>
        <v>-14700000.000000093</v>
      </c>
      <c r="G144" s="1044">
        <f ca="1">G133+G140</f>
        <v>0</v>
      </c>
      <c r="H144" s="1044">
        <f t="shared" ref="H144:BS144" ca="1" si="202">H133+H140</f>
        <v>-865861.26000913954</v>
      </c>
      <c r="I144" s="1044">
        <f t="shared" ca="1" si="202"/>
        <v>-1194192.4202881528</v>
      </c>
      <c r="J144" s="1044">
        <f t="shared" ca="1" si="202"/>
        <v>-1201875.8902774246</v>
      </c>
      <c r="K144" s="1044">
        <f t="shared" ca="1" si="202"/>
        <v>-1209608.7959439566</v>
      </c>
      <c r="L144" s="1044">
        <f t="shared" ca="1" si="202"/>
        <v>-1217391.4553583849</v>
      </c>
      <c r="M144" s="1044">
        <f t="shared" ca="1" si="202"/>
        <v>-1225224.1886378215</v>
      </c>
      <c r="N144" s="1044">
        <f t="shared" ca="1" si="202"/>
        <v>-1233107.3179590218</v>
      </c>
      <c r="O144" s="1044">
        <f t="shared" ca="1" si="202"/>
        <v>-1241041.1675716355</v>
      </c>
      <c r="P144" s="1044">
        <f t="shared" ca="1" si="202"/>
        <v>-626705.10053044604</v>
      </c>
      <c r="Q144" s="1044">
        <f t="shared" ca="1" si="202"/>
        <v>-624944.85672495479</v>
      </c>
      <c r="R144" s="1044">
        <f t="shared" ca="1" si="202"/>
        <v>-622117.89948070608</v>
      </c>
      <c r="S144" s="1044">
        <f t="shared" ca="1" si="202"/>
        <v>-619992.88618231437</v>
      </c>
      <c r="T144" s="1044">
        <f t="shared" ca="1" si="202"/>
        <v>-617715.70550605899</v>
      </c>
      <c r="U144" s="1044">
        <f t="shared" ca="1" si="202"/>
        <v>-539290.92426173959</v>
      </c>
      <c r="V144" s="1044">
        <f t="shared" ca="1" si="202"/>
        <v>-189232.40640230937</v>
      </c>
      <c r="W144" s="1044">
        <f t="shared" ca="1" si="202"/>
        <v>-151360.49524866516</v>
      </c>
      <c r="X144" s="1044">
        <f t="shared" ca="1" si="202"/>
        <v>-143385.39613207249</v>
      </c>
      <c r="Y144" s="1044">
        <f t="shared" ca="1" si="202"/>
        <v>-134025.69822507881</v>
      </c>
      <c r="Z144" s="1044">
        <f t="shared" ca="1" si="202"/>
        <v>-120047.66461527895</v>
      </c>
      <c r="AA144" s="1044">
        <f t="shared" ca="1" si="202"/>
        <v>-108208.32935508658</v>
      </c>
      <c r="AB144" s="1044">
        <f t="shared" ca="1" si="202"/>
        <v>-99285.93928670304</v>
      </c>
      <c r="AC144" s="1044">
        <f t="shared" ca="1" si="202"/>
        <v>-92315.673994814162</v>
      </c>
      <c r="AD144" s="1044">
        <f t="shared" ca="1" si="202"/>
        <v>-85007.604089692977</v>
      </c>
      <c r="AE144" s="1044">
        <f t="shared" ca="1" si="202"/>
        <v>-78060.923918623695</v>
      </c>
      <c r="AF144" s="1044">
        <f t="shared" ca="1" si="202"/>
        <v>0</v>
      </c>
      <c r="AG144" s="1044">
        <f t="shared" ca="1" si="202"/>
        <v>0</v>
      </c>
      <c r="AH144" s="1044">
        <f t="shared" ca="1" si="202"/>
        <v>0</v>
      </c>
      <c r="AI144" s="1044">
        <f t="shared" ca="1" si="202"/>
        <v>0</v>
      </c>
      <c r="AJ144" s="1044">
        <f t="shared" ca="1" si="202"/>
        <v>0</v>
      </c>
      <c r="AK144" s="1044">
        <f t="shared" ca="1" si="202"/>
        <v>0</v>
      </c>
      <c r="AL144" s="1044">
        <f t="shared" ca="1" si="202"/>
        <v>0</v>
      </c>
      <c r="AM144" s="1044">
        <f t="shared" ca="1" si="202"/>
        <v>0</v>
      </c>
      <c r="AN144" s="1044">
        <f t="shared" ca="1" si="202"/>
        <v>0</v>
      </c>
      <c r="AO144" s="1044">
        <f t="shared" ca="1" si="202"/>
        <v>0</v>
      </c>
      <c r="AP144" s="1044">
        <f t="shared" ca="1" si="202"/>
        <v>0</v>
      </c>
      <c r="AQ144" s="1044">
        <f t="shared" ca="1" si="202"/>
        <v>-460000</v>
      </c>
      <c r="AR144" s="1044">
        <f t="shared" ca="1" si="202"/>
        <v>0</v>
      </c>
      <c r="AS144" s="1044">
        <f t="shared" ca="1" si="202"/>
        <v>0</v>
      </c>
      <c r="AT144" s="1044">
        <f t="shared" ca="1" si="202"/>
        <v>0</v>
      </c>
      <c r="AU144" s="1044">
        <f t="shared" ca="1" si="202"/>
        <v>0</v>
      </c>
      <c r="AV144" s="1044">
        <f t="shared" ca="1" si="202"/>
        <v>0</v>
      </c>
      <c r="AW144" s="1044">
        <f t="shared" ca="1" si="202"/>
        <v>0</v>
      </c>
      <c r="AX144" s="1044">
        <f t="shared" ca="1" si="202"/>
        <v>0</v>
      </c>
      <c r="AY144" s="1044">
        <f t="shared" ca="1" si="202"/>
        <v>0</v>
      </c>
      <c r="AZ144" s="1044">
        <f t="shared" ca="1" si="202"/>
        <v>0</v>
      </c>
      <c r="BA144" s="1044">
        <f t="shared" ca="1" si="202"/>
        <v>0</v>
      </c>
      <c r="BB144" s="1044">
        <f t="shared" ca="1" si="202"/>
        <v>0</v>
      </c>
      <c r="BC144" s="1044">
        <f t="shared" ca="1" si="202"/>
        <v>0</v>
      </c>
      <c r="BD144" s="1044">
        <f t="shared" ca="1" si="202"/>
        <v>0</v>
      </c>
      <c r="BE144" s="1044">
        <f t="shared" ca="1" si="202"/>
        <v>0</v>
      </c>
      <c r="BF144" s="1044">
        <f t="shared" ca="1" si="202"/>
        <v>0</v>
      </c>
      <c r="BG144" s="1044">
        <f t="shared" ca="1" si="202"/>
        <v>0</v>
      </c>
      <c r="BH144" s="1044">
        <f t="shared" ca="1" si="202"/>
        <v>0</v>
      </c>
      <c r="BI144" s="1044">
        <f t="shared" ca="1" si="202"/>
        <v>0</v>
      </c>
      <c r="BJ144" s="1044">
        <f t="shared" ca="1" si="202"/>
        <v>0</v>
      </c>
      <c r="BK144" s="1044">
        <f t="shared" ca="1" si="202"/>
        <v>0</v>
      </c>
      <c r="BL144" s="1044">
        <f t="shared" ca="1" si="202"/>
        <v>0</v>
      </c>
      <c r="BM144" s="1044">
        <f t="shared" ca="1" si="202"/>
        <v>0</v>
      </c>
      <c r="BN144" s="1044">
        <f t="shared" ca="1" si="202"/>
        <v>0</v>
      </c>
      <c r="BO144" s="1044">
        <f t="shared" ca="1" si="202"/>
        <v>0</v>
      </c>
      <c r="BP144" s="1044">
        <f t="shared" ca="1" si="202"/>
        <v>0</v>
      </c>
      <c r="BQ144" s="1044">
        <f t="shared" ca="1" si="202"/>
        <v>0</v>
      </c>
      <c r="BR144" s="1044">
        <f t="shared" ca="1" si="202"/>
        <v>0</v>
      </c>
      <c r="BS144" s="1044">
        <f t="shared" ca="1" si="202"/>
        <v>0</v>
      </c>
      <c r="BT144" s="1044">
        <f t="shared" ref="BT144:CA144" ca="1" si="203">BT133+BT140</f>
        <v>0</v>
      </c>
      <c r="BU144" s="1044">
        <f t="shared" ca="1" si="203"/>
        <v>0</v>
      </c>
      <c r="BV144" s="1044">
        <f t="shared" ca="1" si="203"/>
        <v>0</v>
      </c>
      <c r="BW144" s="1044">
        <f t="shared" ca="1" si="203"/>
        <v>0</v>
      </c>
      <c r="BX144" s="1044">
        <f t="shared" ca="1" si="203"/>
        <v>0</v>
      </c>
      <c r="BY144" s="1044">
        <f t="shared" ca="1" si="203"/>
        <v>0</v>
      </c>
      <c r="BZ144" s="1044">
        <f t="shared" ca="1" si="203"/>
        <v>0</v>
      </c>
      <c r="CA144" s="1044">
        <f t="shared" ca="1" si="203"/>
        <v>0</v>
      </c>
    </row>
    <row r="145" spans="2:79" s="1041" customFormat="1">
      <c r="B145" s="23" t="s">
        <v>968</v>
      </c>
      <c r="E145" s="1044">
        <f t="shared" ref="E145:E146" ca="1" si="204">SUM(G145:CA145)</f>
        <v>4184911.0250606318</v>
      </c>
      <c r="G145" s="1044">
        <f>G134</f>
        <v>0</v>
      </c>
      <c r="H145" s="1044">
        <f t="shared" ref="H145:BS145" si="205">H134</f>
        <v>0</v>
      </c>
      <c r="I145" s="1044">
        <f t="shared" si="205"/>
        <v>0</v>
      </c>
      <c r="J145" s="1044">
        <f t="shared" si="205"/>
        <v>0</v>
      </c>
      <c r="K145" s="1044">
        <f t="shared" si="205"/>
        <v>0</v>
      </c>
      <c r="L145" s="1044">
        <f t="shared" si="205"/>
        <v>0</v>
      </c>
      <c r="M145" s="1044">
        <f t="shared" si="205"/>
        <v>0</v>
      </c>
      <c r="N145" s="1044">
        <f t="shared" si="205"/>
        <v>0</v>
      </c>
      <c r="O145" s="1044">
        <f t="shared" si="205"/>
        <v>0</v>
      </c>
      <c r="P145" s="1044">
        <f t="shared" si="205"/>
        <v>0</v>
      </c>
      <c r="Q145" s="1044">
        <f t="shared" si="205"/>
        <v>0</v>
      </c>
      <c r="R145" s="1044">
        <f t="shared" si="205"/>
        <v>0</v>
      </c>
      <c r="S145" s="1044">
        <f t="shared" si="205"/>
        <v>0</v>
      </c>
      <c r="T145" s="1044">
        <f t="shared" si="205"/>
        <v>0</v>
      </c>
      <c r="U145" s="1044">
        <f t="shared" ca="1" si="205"/>
        <v>213042.26707111413</v>
      </c>
      <c r="V145" s="1044">
        <f t="shared" ca="1" si="205"/>
        <v>163.91868955706377</v>
      </c>
      <c r="W145" s="1044">
        <f t="shared" ca="1" si="205"/>
        <v>8653.3568437817794</v>
      </c>
      <c r="X145" s="1044">
        <f t="shared" ca="1" si="205"/>
        <v>17602.313944269015</v>
      </c>
      <c r="Y145" s="1044">
        <f t="shared" ca="1" si="205"/>
        <v>27884.557807310972</v>
      </c>
      <c r="Z145" s="1044">
        <f t="shared" ca="1" si="205"/>
        <v>38538.139017227266</v>
      </c>
      <c r="AA145" s="1044">
        <f t="shared" ca="1" si="205"/>
        <v>51149.86456618995</v>
      </c>
      <c r="AB145" s="1044">
        <f t="shared" ca="1" si="205"/>
        <v>60768.470283797709</v>
      </c>
      <c r="AC145" s="1044">
        <f t="shared" ca="1" si="205"/>
        <v>68377.544298557972</v>
      </c>
      <c r="AD145" s="1044">
        <f t="shared" ca="1" si="205"/>
        <v>76279.576029788324</v>
      </c>
      <c r="AE145" s="1044">
        <f t="shared" ca="1" si="205"/>
        <v>83773.197685151812</v>
      </c>
      <c r="AF145" s="1044">
        <f t="shared" ca="1" si="205"/>
        <v>90506.319908383826</v>
      </c>
      <c r="AG145" s="1044">
        <f t="shared" ca="1" si="205"/>
        <v>256451.37601617503</v>
      </c>
      <c r="AH145" s="1044">
        <f t="shared" ca="1" si="205"/>
        <v>104356.25803163166</v>
      </c>
      <c r="AI145" s="1044">
        <f t="shared" ca="1" si="205"/>
        <v>112024.69863367551</v>
      </c>
      <c r="AJ145" s="1044">
        <f t="shared" ca="1" si="205"/>
        <v>119405.27758337119</v>
      </c>
      <c r="AK145" s="1044">
        <f t="shared" ca="1" si="205"/>
        <v>137359.81909107303</v>
      </c>
      <c r="AL145" s="1044">
        <f t="shared" ca="1" si="205"/>
        <v>146243.37123149037</v>
      </c>
      <c r="AM145" s="1044">
        <f t="shared" ca="1" si="205"/>
        <v>152200.79104841067</v>
      </c>
      <c r="AN145" s="1044">
        <f t="shared" ca="1" si="205"/>
        <v>133397.37074423602</v>
      </c>
      <c r="AO145" s="1044">
        <f t="shared" ca="1" si="205"/>
        <v>133973.37317483668</v>
      </c>
      <c r="AP145" s="1044">
        <f t="shared" ca="1" si="205"/>
        <v>133746.12312035754</v>
      </c>
      <c r="AQ145" s="1044">
        <f t="shared" ca="1" si="205"/>
        <v>141560.02672048748</v>
      </c>
      <c r="AR145" s="1044">
        <f t="shared" ca="1" si="205"/>
        <v>143983.672317986</v>
      </c>
      <c r="AS145" s="1044">
        <f t="shared" ca="1" si="205"/>
        <v>146484.18312909742</v>
      </c>
      <c r="AT145" s="1044">
        <f t="shared" ca="1" si="205"/>
        <v>149188.51719103832</v>
      </c>
      <c r="AU145" s="1044">
        <f t="shared" ca="1" si="205"/>
        <v>152203.73836650129</v>
      </c>
      <c r="AV145" s="1044">
        <f t="shared" ca="1" si="205"/>
        <v>155873.30138448303</v>
      </c>
      <c r="AW145" s="1044">
        <f t="shared" ca="1" si="205"/>
        <v>158202.61816919767</v>
      </c>
      <c r="AX145" s="1044">
        <f t="shared" ca="1" si="205"/>
        <v>159911.08109085905</v>
      </c>
      <c r="AY145" s="1044">
        <f t="shared" ca="1" si="205"/>
        <v>161472.54454468281</v>
      </c>
      <c r="AZ145" s="1044">
        <f t="shared" ca="1" si="205"/>
        <v>160772.7537616544</v>
      </c>
      <c r="BA145" s="1044">
        <f t="shared" ca="1" si="205"/>
        <v>160527.08656163252</v>
      </c>
      <c r="BB145" s="1044">
        <f t="shared" ca="1" si="205"/>
        <v>159568.46040805746</v>
      </c>
      <c r="BC145" s="1044">
        <f>BC134</f>
        <v>169265.05659456676</v>
      </c>
      <c r="BD145" s="1044">
        <f t="shared" si="205"/>
        <v>0</v>
      </c>
      <c r="BE145" s="1044">
        <f t="shared" si="205"/>
        <v>0</v>
      </c>
      <c r="BF145" s="1044">
        <f t="shared" si="205"/>
        <v>0</v>
      </c>
      <c r="BG145" s="1044">
        <f t="shared" si="205"/>
        <v>0</v>
      </c>
      <c r="BH145" s="1044">
        <f t="shared" si="205"/>
        <v>0</v>
      </c>
      <c r="BI145" s="1044">
        <f t="shared" si="205"/>
        <v>0</v>
      </c>
      <c r="BJ145" s="1044">
        <f t="shared" si="205"/>
        <v>0</v>
      </c>
      <c r="BK145" s="1044">
        <f t="shared" si="205"/>
        <v>0</v>
      </c>
      <c r="BL145" s="1044">
        <f t="shared" si="205"/>
        <v>0</v>
      </c>
      <c r="BM145" s="1044">
        <f t="shared" si="205"/>
        <v>0</v>
      </c>
      <c r="BN145" s="1044">
        <f t="shared" si="205"/>
        <v>0</v>
      </c>
      <c r="BO145" s="1044">
        <f t="shared" si="205"/>
        <v>0</v>
      </c>
      <c r="BP145" s="1044">
        <f t="shared" si="205"/>
        <v>0</v>
      </c>
      <c r="BQ145" s="1044">
        <f t="shared" si="205"/>
        <v>0</v>
      </c>
      <c r="BR145" s="1044">
        <f t="shared" si="205"/>
        <v>0</v>
      </c>
      <c r="BS145" s="1044">
        <f t="shared" si="205"/>
        <v>0</v>
      </c>
      <c r="BT145" s="1044">
        <f t="shared" ref="BT145:CA145" si="206">BT134</f>
        <v>0</v>
      </c>
      <c r="BU145" s="1044">
        <f t="shared" si="206"/>
        <v>0</v>
      </c>
      <c r="BV145" s="1044">
        <f t="shared" si="206"/>
        <v>0</v>
      </c>
      <c r="BW145" s="1044">
        <f t="shared" si="206"/>
        <v>0</v>
      </c>
      <c r="BX145" s="1044">
        <f t="shared" si="206"/>
        <v>0</v>
      </c>
      <c r="BY145" s="1044">
        <f t="shared" si="206"/>
        <v>0</v>
      </c>
      <c r="BZ145" s="1044">
        <f t="shared" si="206"/>
        <v>0</v>
      </c>
      <c r="CA145" s="1044">
        <f t="shared" si="206"/>
        <v>0</v>
      </c>
    </row>
    <row r="146" spans="2:79" s="1041" customFormat="1">
      <c r="B146" s="1050" t="s">
        <v>969</v>
      </c>
      <c r="C146" s="1051"/>
      <c r="D146" s="1051"/>
      <c r="E146" s="1052">
        <f t="shared" si="204"/>
        <v>38333761.287416615</v>
      </c>
      <c r="F146" s="1051"/>
      <c r="G146" s="1052">
        <f>G135</f>
        <v>0</v>
      </c>
      <c r="H146" s="1052">
        <f t="shared" ref="H146:BS146" si="207">H135</f>
        <v>0</v>
      </c>
      <c r="I146" s="1052">
        <f t="shared" si="207"/>
        <v>0</v>
      </c>
      <c r="J146" s="1052">
        <f t="shared" si="207"/>
        <v>0</v>
      </c>
      <c r="K146" s="1052">
        <f t="shared" si="207"/>
        <v>0</v>
      </c>
      <c r="L146" s="1052">
        <f t="shared" si="207"/>
        <v>0</v>
      </c>
      <c r="M146" s="1052">
        <f t="shared" si="207"/>
        <v>0</v>
      </c>
      <c r="N146" s="1052">
        <f t="shared" si="207"/>
        <v>0</v>
      </c>
      <c r="O146" s="1052">
        <f t="shared" si="207"/>
        <v>0</v>
      </c>
      <c r="P146" s="1052">
        <f t="shared" si="207"/>
        <v>0</v>
      </c>
      <c r="Q146" s="1052">
        <f t="shared" si="207"/>
        <v>0</v>
      </c>
      <c r="R146" s="1052">
        <f t="shared" si="207"/>
        <v>0</v>
      </c>
      <c r="S146" s="1052">
        <f t="shared" si="207"/>
        <v>0</v>
      </c>
      <c r="T146" s="1052">
        <f t="shared" si="207"/>
        <v>0</v>
      </c>
      <c r="U146" s="1052">
        <f t="shared" si="207"/>
        <v>0</v>
      </c>
      <c r="V146" s="1052">
        <f t="shared" si="207"/>
        <v>0</v>
      </c>
      <c r="W146" s="1052">
        <f t="shared" si="207"/>
        <v>0</v>
      </c>
      <c r="X146" s="1052">
        <f t="shared" si="207"/>
        <v>0</v>
      </c>
      <c r="Y146" s="1052">
        <f t="shared" si="207"/>
        <v>0</v>
      </c>
      <c r="Z146" s="1052">
        <f t="shared" si="207"/>
        <v>0</v>
      </c>
      <c r="AA146" s="1052">
        <f t="shared" si="207"/>
        <v>0</v>
      </c>
      <c r="AB146" s="1052">
        <f t="shared" si="207"/>
        <v>0</v>
      </c>
      <c r="AC146" s="1052">
        <f t="shared" si="207"/>
        <v>0</v>
      </c>
      <c r="AD146" s="1052">
        <f t="shared" si="207"/>
        <v>0</v>
      </c>
      <c r="AE146" s="1052">
        <f t="shared" si="207"/>
        <v>0</v>
      </c>
      <c r="AF146" s="1052">
        <f t="shared" si="207"/>
        <v>0</v>
      </c>
      <c r="AG146" s="1052">
        <f t="shared" si="207"/>
        <v>0</v>
      </c>
      <c r="AH146" s="1052">
        <f t="shared" si="207"/>
        <v>0</v>
      </c>
      <c r="AI146" s="1052">
        <f t="shared" si="207"/>
        <v>0</v>
      </c>
      <c r="AJ146" s="1052">
        <f t="shared" si="207"/>
        <v>0</v>
      </c>
      <c r="AK146" s="1052">
        <f t="shared" si="207"/>
        <v>0</v>
      </c>
      <c r="AL146" s="1052">
        <f t="shared" si="207"/>
        <v>0</v>
      </c>
      <c r="AM146" s="1052">
        <f t="shared" si="207"/>
        <v>0</v>
      </c>
      <c r="AN146" s="1052">
        <f t="shared" si="207"/>
        <v>0</v>
      </c>
      <c r="AO146" s="1052">
        <f t="shared" si="207"/>
        <v>0</v>
      </c>
      <c r="AP146" s="1052">
        <f t="shared" si="207"/>
        <v>0</v>
      </c>
      <c r="AQ146" s="1052">
        <f t="shared" si="207"/>
        <v>0</v>
      </c>
      <c r="AR146" s="1052">
        <f t="shared" si="207"/>
        <v>0</v>
      </c>
      <c r="AS146" s="1052">
        <f t="shared" si="207"/>
        <v>0</v>
      </c>
      <c r="AT146" s="1052">
        <f t="shared" si="207"/>
        <v>0</v>
      </c>
      <c r="AU146" s="1052">
        <f t="shared" si="207"/>
        <v>0</v>
      </c>
      <c r="AV146" s="1052">
        <f t="shared" si="207"/>
        <v>0</v>
      </c>
      <c r="AW146" s="1052">
        <f t="shared" si="207"/>
        <v>0</v>
      </c>
      <c r="AX146" s="1052">
        <f t="shared" si="207"/>
        <v>0</v>
      </c>
      <c r="AY146" s="1052">
        <f t="shared" si="207"/>
        <v>0</v>
      </c>
      <c r="AZ146" s="1052">
        <f t="shared" si="207"/>
        <v>0</v>
      </c>
      <c r="BA146" s="1052">
        <f t="shared" si="207"/>
        <v>0</v>
      </c>
      <c r="BB146" s="1052">
        <f t="shared" si="207"/>
        <v>0</v>
      </c>
      <c r="BC146" s="1052">
        <f t="shared" si="207"/>
        <v>38333761.287416615</v>
      </c>
      <c r="BD146" s="1052">
        <f t="shared" si="207"/>
        <v>0</v>
      </c>
      <c r="BE146" s="1052">
        <f t="shared" si="207"/>
        <v>0</v>
      </c>
      <c r="BF146" s="1052">
        <f t="shared" si="207"/>
        <v>0</v>
      </c>
      <c r="BG146" s="1052">
        <f t="shared" si="207"/>
        <v>0</v>
      </c>
      <c r="BH146" s="1052">
        <f t="shared" si="207"/>
        <v>0</v>
      </c>
      <c r="BI146" s="1052">
        <f t="shared" si="207"/>
        <v>0</v>
      </c>
      <c r="BJ146" s="1052">
        <f t="shared" si="207"/>
        <v>0</v>
      </c>
      <c r="BK146" s="1052">
        <f t="shared" si="207"/>
        <v>0</v>
      </c>
      <c r="BL146" s="1052">
        <f t="shared" si="207"/>
        <v>0</v>
      </c>
      <c r="BM146" s="1052">
        <f t="shared" si="207"/>
        <v>0</v>
      </c>
      <c r="BN146" s="1052">
        <f t="shared" si="207"/>
        <v>0</v>
      </c>
      <c r="BO146" s="1052">
        <f t="shared" si="207"/>
        <v>0</v>
      </c>
      <c r="BP146" s="1052">
        <f t="shared" si="207"/>
        <v>0</v>
      </c>
      <c r="BQ146" s="1052">
        <f t="shared" si="207"/>
        <v>0</v>
      </c>
      <c r="BR146" s="1052">
        <f t="shared" si="207"/>
        <v>0</v>
      </c>
      <c r="BS146" s="1052">
        <f t="shared" si="207"/>
        <v>0</v>
      </c>
      <c r="BT146" s="1052">
        <f t="shared" ref="BT146:CA146" si="208">BT135</f>
        <v>0</v>
      </c>
      <c r="BU146" s="1052">
        <f t="shared" si="208"/>
        <v>0</v>
      </c>
      <c r="BV146" s="1052">
        <f t="shared" si="208"/>
        <v>0</v>
      </c>
      <c r="BW146" s="1052">
        <f t="shared" si="208"/>
        <v>0</v>
      </c>
      <c r="BX146" s="1052">
        <f t="shared" si="208"/>
        <v>0</v>
      </c>
      <c r="BY146" s="1052">
        <f t="shared" si="208"/>
        <v>0</v>
      </c>
      <c r="BZ146" s="1052">
        <f t="shared" si="208"/>
        <v>0</v>
      </c>
      <c r="CA146" s="1052">
        <f t="shared" si="208"/>
        <v>0</v>
      </c>
    </row>
    <row r="147" spans="2:79" s="1041" customFormat="1">
      <c r="B147" s="1042"/>
      <c r="E147" s="1043"/>
      <c r="G147" s="1044"/>
      <c r="H147" s="1044"/>
      <c r="I147" s="1044"/>
      <c r="J147" s="1044"/>
      <c r="K147" s="1044"/>
      <c r="L147" s="1044"/>
      <c r="M147" s="1044"/>
      <c r="N147" s="1044"/>
      <c r="O147" s="1044"/>
      <c r="P147" s="1044"/>
      <c r="Q147" s="1044"/>
      <c r="R147" s="1044"/>
      <c r="S147" s="1044"/>
      <c r="T147" s="1044"/>
      <c r="U147" s="1044"/>
      <c r="V147" s="1044"/>
      <c r="W147" s="1044"/>
      <c r="X147" s="1044"/>
      <c r="Y147" s="1044"/>
      <c r="Z147" s="1044"/>
      <c r="AA147" s="1044"/>
      <c r="AB147" s="1044"/>
      <c r="AC147" s="1044"/>
      <c r="AD147" s="1044"/>
      <c r="AE147" s="1044"/>
      <c r="AF147" s="1044"/>
      <c r="AG147" s="1044"/>
      <c r="AH147" s="1044"/>
      <c r="AI147" s="1044"/>
      <c r="AJ147" s="1044"/>
      <c r="AK147" s="1044"/>
      <c r="AL147" s="1044"/>
      <c r="AM147" s="1044"/>
      <c r="AN147" s="1044"/>
      <c r="AO147" s="1044"/>
      <c r="AP147" s="1044"/>
      <c r="AQ147" s="1044"/>
      <c r="AR147" s="1044"/>
      <c r="AS147" s="1044"/>
      <c r="AT147" s="1044"/>
      <c r="AU147" s="1044"/>
      <c r="AV147" s="1044"/>
      <c r="AW147" s="1044"/>
      <c r="AX147" s="1044"/>
      <c r="AY147" s="1044"/>
      <c r="AZ147" s="1044"/>
      <c r="BA147" s="1044"/>
      <c r="BB147" s="1044"/>
      <c r="BC147" s="1044"/>
      <c r="BD147" s="1044"/>
      <c r="BE147" s="1044"/>
      <c r="BF147" s="1044"/>
      <c r="BG147" s="1044"/>
      <c r="BH147" s="1044"/>
      <c r="BI147" s="1044"/>
      <c r="BJ147" s="1044"/>
      <c r="BK147" s="1044"/>
      <c r="BL147" s="1044"/>
      <c r="BM147" s="1044"/>
      <c r="BN147" s="1044"/>
      <c r="BO147" s="1044"/>
      <c r="BP147" s="1044"/>
      <c r="BQ147" s="1044"/>
      <c r="BR147" s="1044"/>
      <c r="BS147" s="1044"/>
      <c r="BT147" s="1044"/>
      <c r="BU147" s="1044"/>
      <c r="BV147" s="1044"/>
      <c r="BW147" s="1044"/>
      <c r="BX147" s="1044"/>
      <c r="BY147" s="1044"/>
      <c r="BZ147" s="1044"/>
      <c r="CA147" s="1044"/>
    </row>
    <row r="148" spans="2:79">
      <c r="B148" s="2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36"/>
      <c r="AX148" s="136"/>
      <c r="AY148" s="136"/>
      <c r="AZ148" s="136"/>
      <c r="BA148" s="136"/>
      <c r="BB148" s="136"/>
      <c r="BC148" s="136"/>
      <c r="BD148" s="136"/>
      <c r="BE148" s="136"/>
      <c r="BF148" s="136"/>
      <c r="BG148" s="136"/>
      <c r="BH148" s="136"/>
      <c r="BI148" s="136"/>
      <c r="BJ148" s="136"/>
      <c r="BK148" s="136"/>
      <c r="BL148" s="136"/>
      <c r="BM148" s="136"/>
      <c r="BN148" s="136"/>
      <c r="BO148" s="136"/>
      <c r="BP148" s="136"/>
      <c r="BQ148" s="136"/>
      <c r="BR148" s="136"/>
      <c r="BS148" s="136"/>
      <c r="BT148" s="136"/>
      <c r="BU148" s="136"/>
      <c r="BV148" s="136"/>
      <c r="BW148" s="136"/>
      <c r="BX148" s="136"/>
      <c r="BY148" s="136"/>
      <c r="BZ148" s="136"/>
      <c r="CA148" s="136"/>
    </row>
    <row r="149" spans="2:79">
      <c r="B149" s="24" t="s">
        <v>620</v>
      </c>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36"/>
      <c r="AX149" s="136"/>
      <c r="AY149" s="136"/>
      <c r="AZ149" s="136"/>
      <c r="BA149" s="136"/>
      <c r="BB149" s="136"/>
      <c r="BC149" s="136"/>
      <c r="BD149" s="136"/>
      <c r="BE149" s="136"/>
      <c r="BF149" s="136"/>
      <c r="BG149" s="136"/>
      <c r="BH149" s="136"/>
      <c r="BI149" s="136"/>
      <c r="BJ149" s="136"/>
      <c r="BK149" s="136"/>
      <c r="BL149" s="136"/>
      <c r="BM149" s="136"/>
      <c r="BN149" s="136"/>
      <c r="BO149" s="136"/>
      <c r="BP149" s="136"/>
      <c r="BQ149" s="136"/>
      <c r="BR149" s="136"/>
      <c r="BS149" s="136"/>
      <c r="BT149" s="136"/>
      <c r="BU149" s="136"/>
      <c r="BV149" s="136"/>
      <c r="BW149" s="136"/>
      <c r="BX149" s="136"/>
      <c r="BY149" s="136"/>
      <c r="BZ149" s="136"/>
      <c r="CA149" s="136"/>
    </row>
    <row r="150" spans="2:79">
      <c r="B150" s="25" t="s">
        <v>58</v>
      </c>
      <c r="G150" s="266">
        <v>0</v>
      </c>
      <c r="H150" s="266">
        <f ca="1">G157</f>
        <v>0</v>
      </c>
      <c r="I150" s="266">
        <f t="shared" ref="I150:BT150" ca="1" si="209">H157</f>
        <v>865861.26000912464</v>
      </c>
      <c r="J150" s="266">
        <f t="shared" ca="1" si="209"/>
        <v>2060053.680297263</v>
      </c>
      <c r="K150" s="266">
        <f t="shared" ca="1" si="209"/>
        <v>3261929.5705746729</v>
      </c>
      <c r="L150" s="266">
        <f t="shared" ca="1" si="209"/>
        <v>4471538.3665186148</v>
      </c>
      <c r="M150" s="266">
        <f t="shared" ca="1" si="209"/>
        <v>5688929.8218769841</v>
      </c>
      <c r="N150" s="266">
        <f t="shared" ca="1" si="209"/>
        <v>6914154.0105147921</v>
      </c>
      <c r="O150" s="266">
        <f t="shared" ca="1" si="209"/>
        <v>8147261.328473798</v>
      </c>
      <c r="P150" s="266">
        <f t="shared" ca="1" si="209"/>
        <v>9388302.4960454181</v>
      </c>
      <c r="Q150" s="266">
        <f t="shared" ca="1" si="209"/>
        <v>10015007.596575845</v>
      </c>
      <c r="R150" s="266">
        <f t="shared" ca="1" si="209"/>
        <v>10639952.453300774</v>
      </c>
      <c r="S150" s="266">
        <f t="shared" ca="1" si="209"/>
        <v>11262070.352781447</v>
      </c>
      <c r="T150" s="266">
        <f t="shared" ca="1" si="209"/>
        <v>11882063.238963719</v>
      </c>
      <c r="U150" s="266">
        <f t="shared" ca="1" si="209"/>
        <v>12499778.944469729</v>
      </c>
      <c r="V150" s="266">
        <f t="shared" ca="1" si="209"/>
        <v>13039069.868731417</v>
      </c>
      <c r="W150" s="266">
        <f t="shared" ca="1" si="209"/>
        <v>13228302.275133664</v>
      </c>
      <c r="X150" s="266">
        <f t="shared" ca="1" si="209"/>
        <v>13379662.77038227</v>
      </c>
      <c r="Y150" s="266">
        <f t="shared" ca="1" si="209"/>
        <v>13523048.166514287</v>
      </c>
      <c r="Z150" s="266">
        <f t="shared" ca="1" si="209"/>
        <v>13657073.864739325</v>
      </c>
      <c r="AA150" s="266">
        <f t="shared" ca="1" si="209"/>
        <v>13777121.529354578</v>
      </c>
      <c r="AB150" s="266">
        <f t="shared" ca="1" si="209"/>
        <v>13885329.858709669</v>
      </c>
      <c r="AC150" s="266">
        <f t="shared" ca="1" si="209"/>
        <v>13984615.797996439</v>
      </c>
      <c r="AD150" s="266">
        <f t="shared" ca="1" si="209"/>
        <v>14076931.471991373</v>
      </c>
      <c r="AE150" s="266">
        <f t="shared" ca="1" si="209"/>
        <v>14161939.076081263</v>
      </c>
      <c r="AF150" s="266">
        <f t="shared" ca="1" si="209"/>
        <v>14240000.000000179</v>
      </c>
      <c r="AG150" s="266">
        <f t="shared" ca="1" si="209"/>
        <v>14240000.000000557</v>
      </c>
      <c r="AH150" s="266">
        <f t="shared" ca="1" si="209"/>
        <v>14240000.000001026</v>
      </c>
      <c r="AI150" s="266">
        <f t="shared" ca="1" si="209"/>
        <v>14240000.000001596</v>
      </c>
      <c r="AJ150" s="266">
        <f t="shared" ca="1" si="209"/>
        <v>14240000.000002248</v>
      </c>
      <c r="AK150" s="266">
        <f t="shared" ca="1" si="209"/>
        <v>14240000.000002993</v>
      </c>
      <c r="AL150" s="266">
        <f t="shared" ca="1" si="209"/>
        <v>14240000.000003835</v>
      </c>
      <c r="AM150" s="266">
        <f t="shared" ca="1" si="209"/>
        <v>14240000.000004761</v>
      </c>
      <c r="AN150" s="266">
        <f t="shared" ca="1" si="209"/>
        <v>14240000.000005748</v>
      </c>
      <c r="AO150" s="266">
        <f t="shared" ca="1" si="209"/>
        <v>14240000.00000673</v>
      </c>
      <c r="AP150" s="266">
        <f t="shared" ca="1" si="209"/>
        <v>14240000.000007631</v>
      </c>
      <c r="AQ150" s="266">
        <f t="shared" ca="1" si="209"/>
        <v>14240000.000008298</v>
      </c>
      <c r="AR150" s="266">
        <f t="shared" ca="1" si="209"/>
        <v>14700000.000008525</v>
      </c>
      <c r="AS150" s="266">
        <f t="shared" ca="1" si="209"/>
        <v>14700000.000008071</v>
      </c>
      <c r="AT150" s="266">
        <f t="shared" ca="1" si="209"/>
        <v>14700000.000006625</v>
      </c>
      <c r="AU150" s="266">
        <f t="shared" ca="1" si="209"/>
        <v>14700000.000003867</v>
      </c>
      <c r="AV150" s="266">
        <f t="shared" ca="1" si="209"/>
        <v>14699999.99999951</v>
      </c>
      <c r="AW150" s="266">
        <f t="shared" ca="1" si="209"/>
        <v>14699999.999993352</v>
      </c>
      <c r="AX150" s="266">
        <f t="shared" ca="1" si="209"/>
        <v>14699999.99998535</v>
      </c>
      <c r="AY150" s="266">
        <f t="shared" ca="1" si="209"/>
        <v>14699999.999975668</v>
      </c>
      <c r="AZ150" s="266">
        <f t="shared" ca="1" si="209"/>
        <v>14699999.999964612</v>
      </c>
      <c r="BA150" s="266">
        <f t="shared" ca="1" si="209"/>
        <v>14699999.999952612</v>
      </c>
      <c r="BB150" s="266">
        <f t="shared" ca="1" si="209"/>
        <v>14699999.999940043</v>
      </c>
      <c r="BC150" s="266">
        <f t="shared" ca="1" si="209"/>
        <v>14699999.999927148</v>
      </c>
      <c r="BD150" s="266">
        <f t="shared" ca="1" si="209"/>
        <v>0</v>
      </c>
      <c r="BE150" s="266">
        <f t="shared" ca="1" si="209"/>
        <v>0</v>
      </c>
      <c r="BF150" s="266">
        <f t="shared" ca="1" si="209"/>
        <v>0</v>
      </c>
      <c r="BG150" s="266">
        <f t="shared" ca="1" si="209"/>
        <v>0</v>
      </c>
      <c r="BH150" s="266">
        <f t="shared" ca="1" si="209"/>
        <v>0</v>
      </c>
      <c r="BI150" s="266">
        <f t="shared" ca="1" si="209"/>
        <v>0</v>
      </c>
      <c r="BJ150" s="266">
        <f t="shared" ca="1" si="209"/>
        <v>0</v>
      </c>
      <c r="BK150" s="266">
        <f t="shared" ca="1" si="209"/>
        <v>0</v>
      </c>
      <c r="BL150" s="266">
        <f t="shared" ca="1" si="209"/>
        <v>0</v>
      </c>
      <c r="BM150" s="266">
        <f t="shared" ca="1" si="209"/>
        <v>0</v>
      </c>
      <c r="BN150" s="266">
        <f t="shared" ca="1" si="209"/>
        <v>0</v>
      </c>
      <c r="BO150" s="266">
        <f t="shared" ca="1" si="209"/>
        <v>0</v>
      </c>
      <c r="BP150" s="266">
        <f t="shared" ca="1" si="209"/>
        <v>0</v>
      </c>
      <c r="BQ150" s="266">
        <f t="shared" ca="1" si="209"/>
        <v>0</v>
      </c>
      <c r="BR150" s="266">
        <f t="shared" ca="1" si="209"/>
        <v>0</v>
      </c>
      <c r="BS150" s="266">
        <f t="shared" ca="1" si="209"/>
        <v>0</v>
      </c>
      <c r="BT150" s="266">
        <f t="shared" ca="1" si="209"/>
        <v>0</v>
      </c>
      <c r="BU150" s="266">
        <f t="shared" ref="BU150:CA150" ca="1" si="210">BT157</f>
        <v>0</v>
      </c>
      <c r="BV150" s="266">
        <f t="shared" ca="1" si="210"/>
        <v>0</v>
      </c>
      <c r="BW150" s="266">
        <f t="shared" ca="1" si="210"/>
        <v>0</v>
      </c>
      <c r="BX150" s="266">
        <f t="shared" ca="1" si="210"/>
        <v>0</v>
      </c>
      <c r="BY150" s="266">
        <f t="shared" ca="1" si="210"/>
        <v>0</v>
      </c>
      <c r="BZ150" s="266">
        <f t="shared" ca="1" si="210"/>
        <v>0</v>
      </c>
      <c r="CA150" s="266">
        <f t="shared" ca="1" si="210"/>
        <v>0</v>
      </c>
    </row>
    <row r="151" spans="2:79">
      <c r="B151" s="14" t="s">
        <v>59</v>
      </c>
      <c r="E151" s="136">
        <f ca="1">SUM(G151:CA151)</f>
        <v>14700000.000000093</v>
      </c>
      <c r="G151" s="136">
        <f ca="1">-G144</f>
        <v>0</v>
      </c>
      <c r="H151" s="136">
        <f t="shared" ref="H151:BS151" ca="1" si="211">-H144</f>
        <v>865861.26000913954</v>
      </c>
      <c r="I151" s="136">
        <f t="shared" ca="1" si="211"/>
        <v>1194192.4202881528</v>
      </c>
      <c r="J151" s="136">
        <f t="shared" ca="1" si="211"/>
        <v>1201875.8902774246</v>
      </c>
      <c r="K151" s="136">
        <f t="shared" ca="1" si="211"/>
        <v>1209608.7959439566</v>
      </c>
      <c r="L151" s="136">
        <f t="shared" ca="1" si="211"/>
        <v>1217391.4553583849</v>
      </c>
      <c r="M151" s="136">
        <f t="shared" ca="1" si="211"/>
        <v>1225224.1886378215</v>
      </c>
      <c r="N151" s="136">
        <f t="shared" ca="1" si="211"/>
        <v>1233107.3179590218</v>
      </c>
      <c r="O151" s="136">
        <f t="shared" ca="1" si="211"/>
        <v>1241041.1675716355</v>
      </c>
      <c r="P151" s="136">
        <f t="shared" ca="1" si="211"/>
        <v>626705.10053044604</v>
      </c>
      <c r="Q151" s="136">
        <f t="shared" ca="1" si="211"/>
        <v>624944.85672495479</v>
      </c>
      <c r="R151" s="136">
        <f t="shared" ca="1" si="211"/>
        <v>622117.89948070608</v>
      </c>
      <c r="S151" s="136">
        <f t="shared" ca="1" si="211"/>
        <v>619992.88618231437</v>
      </c>
      <c r="T151" s="136">
        <f t="shared" ca="1" si="211"/>
        <v>617715.70550605899</v>
      </c>
      <c r="U151" s="136">
        <f t="shared" ca="1" si="211"/>
        <v>539290.92426173959</v>
      </c>
      <c r="V151" s="136">
        <f t="shared" ca="1" si="211"/>
        <v>189232.40640230937</v>
      </c>
      <c r="W151" s="136">
        <f t="shared" ca="1" si="211"/>
        <v>151360.49524866516</v>
      </c>
      <c r="X151" s="136">
        <f t="shared" ca="1" si="211"/>
        <v>143385.39613207249</v>
      </c>
      <c r="Y151" s="136">
        <f t="shared" ca="1" si="211"/>
        <v>134025.69822507881</v>
      </c>
      <c r="Z151" s="136">
        <f t="shared" ca="1" si="211"/>
        <v>120047.66461527895</v>
      </c>
      <c r="AA151" s="136">
        <f t="shared" ca="1" si="211"/>
        <v>108208.32935508658</v>
      </c>
      <c r="AB151" s="136">
        <f t="shared" ca="1" si="211"/>
        <v>99285.93928670304</v>
      </c>
      <c r="AC151" s="136">
        <f t="shared" ca="1" si="211"/>
        <v>92315.673994814162</v>
      </c>
      <c r="AD151" s="136">
        <f t="shared" ca="1" si="211"/>
        <v>85007.604089692977</v>
      </c>
      <c r="AE151" s="136">
        <f t="shared" ca="1" si="211"/>
        <v>78060.923918623695</v>
      </c>
      <c r="AF151" s="136">
        <f t="shared" ca="1" si="211"/>
        <v>0</v>
      </c>
      <c r="AG151" s="136">
        <f t="shared" ca="1" si="211"/>
        <v>0</v>
      </c>
      <c r="AH151" s="136">
        <f t="shared" ca="1" si="211"/>
        <v>0</v>
      </c>
      <c r="AI151" s="136">
        <f t="shared" ca="1" si="211"/>
        <v>0</v>
      </c>
      <c r="AJ151" s="136">
        <f t="shared" ca="1" si="211"/>
        <v>0</v>
      </c>
      <c r="AK151" s="136">
        <f t="shared" ca="1" si="211"/>
        <v>0</v>
      </c>
      <c r="AL151" s="136">
        <f t="shared" ca="1" si="211"/>
        <v>0</v>
      </c>
      <c r="AM151" s="136">
        <f t="shared" ca="1" si="211"/>
        <v>0</v>
      </c>
      <c r="AN151" s="136">
        <f t="shared" ca="1" si="211"/>
        <v>0</v>
      </c>
      <c r="AO151" s="136">
        <f t="shared" ca="1" si="211"/>
        <v>0</v>
      </c>
      <c r="AP151" s="136">
        <f t="shared" ca="1" si="211"/>
        <v>0</v>
      </c>
      <c r="AQ151" s="136">
        <f t="shared" ca="1" si="211"/>
        <v>460000</v>
      </c>
      <c r="AR151" s="136">
        <f t="shared" ca="1" si="211"/>
        <v>0</v>
      </c>
      <c r="AS151" s="136">
        <f t="shared" ca="1" si="211"/>
        <v>0</v>
      </c>
      <c r="AT151" s="136">
        <f t="shared" ca="1" si="211"/>
        <v>0</v>
      </c>
      <c r="AU151" s="136">
        <f t="shared" ca="1" si="211"/>
        <v>0</v>
      </c>
      <c r="AV151" s="136">
        <f t="shared" ca="1" si="211"/>
        <v>0</v>
      </c>
      <c r="AW151" s="136">
        <f t="shared" ca="1" si="211"/>
        <v>0</v>
      </c>
      <c r="AX151" s="136">
        <f t="shared" ca="1" si="211"/>
        <v>0</v>
      </c>
      <c r="AY151" s="136">
        <f t="shared" ca="1" si="211"/>
        <v>0</v>
      </c>
      <c r="AZ151" s="136">
        <f t="shared" ca="1" si="211"/>
        <v>0</v>
      </c>
      <c r="BA151" s="136">
        <f t="shared" ca="1" si="211"/>
        <v>0</v>
      </c>
      <c r="BB151" s="136">
        <f t="shared" ca="1" si="211"/>
        <v>0</v>
      </c>
      <c r="BC151" s="136">
        <f t="shared" ca="1" si="211"/>
        <v>0</v>
      </c>
      <c r="BD151" s="136">
        <f t="shared" ca="1" si="211"/>
        <v>0</v>
      </c>
      <c r="BE151" s="136">
        <f t="shared" ca="1" si="211"/>
        <v>0</v>
      </c>
      <c r="BF151" s="136">
        <f t="shared" ca="1" si="211"/>
        <v>0</v>
      </c>
      <c r="BG151" s="136">
        <f t="shared" ca="1" si="211"/>
        <v>0</v>
      </c>
      <c r="BH151" s="136">
        <f t="shared" ca="1" si="211"/>
        <v>0</v>
      </c>
      <c r="BI151" s="136">
        <f t="shared" ca="1" si="211"/>
        <v>0</v>
      </c>
      <c r="BJ151" s="136">
        <f t="shared" ca="1" si="211"/>
        <v>0</v>
      </c>
      <c r="BK151" s="136">
        <f t="shared" ca="1" si="211"/>
        <v>0</v>
      </c>
      <c r="BL151" s="136">
        <f t="shared" ca="1" si="211"/>
        <v>0</v>
      </c>
      <c r="BM151" s="136">
        <f t="shared" ca="1" si="211"/>
        <v>0</v>
      </c>
      <c r="BN151" s="136">
        <f t="shared" ca="1" si="211"/>
        <v>0</v>
      </c>
      <c r="BO151" s="136">
        <f t="shared" ca="1" si="211"/>
        <v>0</v>
      </c>
      <c r="BP151" s="136">
        <f t="shared" ca="1" si="211"/>
        <v>0</v>
      </c>
      <c r="BQ151" s="136">
        <f t="shared" ca="1" si="211"/>
        <v>0</v>
      </c>
      <c r="BR151" s="136">
        <f t="shared" ca="1" si="211"/>
        <v>0</v>
      </c>
      <c r="BS151" s="136">
        <f t="shared" ca="1" si="211"/>
        <v>0</v>
      </c>
      <c r="BT151" s="136">
        <f t="shared" ref="BT151:CA151" ca="1" si="212">-BT144</f>
        <v>0</v>
      </c>
      <c r="BU151" s="136">
        <f t="shared" ca="1" si="212"/>
        <v>0</v>
      </c>
      <c r="BV151" s="136">
        <f t="shared" ca="1" si="212"/>
        <v>0</v>
      </c>
      <c r="BW151" s="136">
        <f t="shared" ca="1" si="212"/>
        <v>0</v>
      </c>
      <c r="BX151" s="136">
        <f t="shared" ca="1" si="212"/>
        <v>0</v>
      </c>
      <c r="BY151" s="136">
        <f t="shared" ca="1" si="212"/>
        <v>0</v>
      </c>
      <c r="BZ151" s="136">
        <f t="shared" ca="1" si="212"/>
        <v>0</v>
      </c>
      <c r="CA151" s="136">
        <f t="shared" ca="1" si="212"/>
        <v>0</v>
      </c>
    </row>
    <row r="152" spans="2:79">
      <c r="B152" s="14" t="s">
        <v>60</v>
      </c>
      <c r="E152" s="136"/>
      <c r="G152" s="108">
        <f>'Assumptions &amp; Inputs'!$N$10</f>
        <v>0.08</v>
      </c>
      <c r="H152" s="42">
        <f>IF(H6&lt;'Assumptions &amp; Inputs'!$N$15,'Monthly PF Cash Flow'!G152,'Assumptions &amp; Inputs'!$N$16)</f>
        <v>0.08</v>
      </c>
      <c r="I152" s="42">
        <f>IF(I6&lt;'Assumptions &amp; Inputs'!$N$15,'Monthly PF Cash Flow'!H152,'Assumptions &amp; Inputs'!$N$16)</f>
        <v>0.08</v>
      </c>
      <c r="J152" s="42">
        <f>IF(J6&lt;'Assumptions &amp; Inputs'!$N$15,'Monthly PF Cash Flow'!I152,'Assumptions &amp; Inputs'!$N$16)</f>
        <v>0.08</v>
      </c>
      <c r="K152" s="42">
        <f>IF(K6&lt;'Assumptions &amp; Inputs'!$N$15,'Monthly PF Cash Flow'!J152,'Assumptions &amp; Inputs'!$N$16)</f>
        <v>0.08</v>
      </c>
      <c r="L152" s="42">
        <f>IF(L6&lt;'Assumptions &amp; Inputs'!$N$15,'Monthly PF Cash Flow'!K152,'Assumptions &amp; Inputs'!$N$16)</f>
        <v>0.08</v>
      </c>
      <c r="M152" s="42">
        <f>IF(M6&lt;'Assumptions &amp; Inputs'!$N$15,'Monthly PF Cash Flow'!L152,'Assumptions &amp; Inputs'!$N$16)</f>
        <v>0.08</v>
      </c>
      <c r="N152" s="42">
        <f>IF(N6&lt;'Assumptions &amp; Inputs'!$N$15,'Monthly PF Cash Flow'!M152,'Assumptions &amp; Inputs'!$N$16)</f>
        <v>0.08</v>
      </c>
      <c r="O152" s="42">
        <f>IF(O6&lt;'Assumptions &amp; Inputs'!$N$15,'Monthly PF Cash Flow'!N152,'Assumptions &amp; Inputs'!$N$16)</f>
        <v>0.08</v>
      </c>
      <c r="P152" s="42">
        <f>IF(P6&lt;'Assumptions &amp; Inputs'!$N$15,'Monthly PF Cash Flow'!O152,'Assumptions &amp; Inputs'!$N$16)</f>
        <v>0.08</v>
      </c>
      <c r="Q152" s="42">
        <f>IF(Q6&lt;'Assumptions &amp; Inputs'!$N$15,'Monthly PF Cash Flow'!P152,'Assumptions &amp; Inputs'!$N$16)</f>
        <v>0.08</v>
      </c>
      <c r="R152" s="42">
        <f>IF(R6&lt;'Assumptions &amp; Inputs'!$N$15,'Monthly PF Cash Flow'!Q152,'Assumptions &amp; Inputs'!$N$16)</f>
        <v>0.08</v>
      </c>
      <c r="S152" s="42">
        <f>IF(S6&lt;'Assumptions &amp; Inputs'!$N$15,'Monthly PF Cash Flow'!R152,'Assumptions &amp; Inputs'!$N$16)</f>
        <v>0.08</v>
      </c>
      <c r="T152" s="42">
        <f>IF(T6&lt;'Assumptions &amp; Inputs'!$N$15,'Monthly PF Cash Flow'!S152,'Assumptions &amp; Inputs'!$N$16)</f>
        <v>0.08</v>
      </c>
      <c r="U152" s="42">
        <f>IF(U6&lt;'Assumptions &amp; Inputs'!$N$15,'Monthly PF Cash Flow'!T152,'Assumptions &amp; Inputs'!$N$16)</f>
        <v>0.08</v>
      </c>
      <c r="V152" s="42">
        <f>IF(V6&lt;'Assumptions &amp; Inputs'!$N$15,'Monthly PF Cash Flow'!U152,'Assumptions &amp; Inputs'!$N$16)</f>
        <v>0.08</v>
      </c>
      <c r="W152" s="42">
        <f>IF(W6&lt;'Assumptions &amp; Inputs'!$N$15,'Monthly PF Cash Flow'!V152,'Assumptions &amp; Inputs'!$N$16)</f>
        <v>0.08</v>
      </c>
      <c r="X152" s="42">
        <f>IF(X6&lt;'Assumptions &amp; Inputs'!$N$15,'Monthly PF Cash Flow'!W152,'Assumptions &amp; Inputs'!$N$16)</f>
        <v>0.08</v>
      </c>
      <c r="Y152" s="42">
        <f>IF(Y6&lt;'Assumptions &amp; Inputs'!$N$15,'Monthly PF Cash Flow'!X152,'Assumptions &amp; Inputs'!$N$16)</f>
        <v>0.08</v>
      </c>
      <c r="Z152" s="42">
        <f>IF(Z6&lt;'Assumptions &amp; Inputs'!$N$15,'Monthly PF Cash Flow'!Y152,'Assumptions &amp; Inputs'!$N$16)</f>
        <v>0.08</v>
      </c>
      <c r="AA152" s="42">
        <f>IF(AA6&lt;'Assumptions &amp; Inputs'!$N$15,'Monthly PF Cash Flow'!Z152,'Assumptions &amp; Inputs'!$N$16)</f>
        <v>0.08</v>
      </c>
      <c r="AB152" s="42">
        <f>IF(AB6&lt;'Assumptions &amp; Inputs'!$N$15,'Monthly PF Cash Flow'!AA152,'Assumptions &amp; Inputs'!$N$16)</f>
        <v>0.08</v>
      </c>
      <c r="AC152" s="42">
        <f>IF(AC6&lt;'Assumptions &amp; Inputs'!$N$15,'Monthly PF Cash Flow'!AB152,'Assumptions &amp; Inputs'!$N$16)</f>
        <v>0.08</v>
      </c>
      <c r="AD152" s="42">
        <f>IF(AD6&lt;'Assumptions &amp; Inputs'!$N$15,'Monthly PF Cash Flow'!AC152,'Assumptions &amp; Inputs'!$N$16)</f>
        <v>0.08</v>
      </c>
      <c r="AE152" s="42">
        <f>IF(AE6&lt;'Assumptions &amp; Inputs'!$N$15,'Monthly PF Cash Flow'!AD152,'Assumptions &amp; Inputs'!$N$16)</f>
        <v>0.08</v>
      </c>
      <c r="AF152" s="42">
        <f>IF(AF6&lt;'Assumptions &amp; Inputs'!$N$15,'Monthly PF Cash Flow'!AE152,'Assumptions &amp; Inputs'!$N$16)</f>
        <v>7.2500000000000009E-2</v>
      </c>
      <c r="AG152" s="42">
        <f>IF(AG6&lt;'Assumptions &amp; Inputs'!$N$15,'Monthly PF Cash Flow'!AF152,'Assumptions &amp; Inputs'!$N$16)</f>
        <v>7.2500000000000009E-2</v>
      </c>
      <c r="AH152" s="42">
        <f>IF(AH6&lt;'Assumptions &amp; Inputs'!$N$15,'Monthly PF Cash Flow'!AG152,'Assumptions &amp; Inputs'!$N$16)</f>
        <v>7.2500000000000009E-2</v>
      </c>
      <c r="AI152" s="42">
        <f>IF(AI6&lt;'Assumptions &amp; Inputs'!$N$15,'Monthly PF Cash Flow'!AH152,'Assumptions &amp; Inputs'!$N$16)</f>
        <v>7.2500000000000009E-2</v>
      </c>
      <c r="AJ152" s="42">
        <f>IF(AJ6&lt;'Assumptions &amp; Inputs'!$N$15,'Monthly PF Cash Flow'!AI152,'Assumptions &amp; Inputs'!$N$16)</f>
        <v>7.2500000000000009E-2</v>
      </c>
      <c r="AK152" s="42">
        <f>IF(AK6&lt;'Assumptions &amp; Inputs'!$N$15,'Monthly PF Cash Flow'!AJ152,'Assumptions &amp; Inputs'!$N$16)</f>
        <v>7.2500000000000009E-2</v>
      </c>
      <c r="AL152" s="42">
        <f>IF(AL6&lt;'Assumptions &amp; Inputs'!$N$15,'Monthly PF Cash Flow'!AK152,'Assumptions &amp; Inputs'!$N$16)</f>
        <v>7.2500000000000009E-2</v>
      </c>
      <c r="AM152" s="42">
        <f>IF(AM6&lt;'Assumptions &amp; Inputs'!$N$15,'Monthly PF Cash Flow'!AL152,'Assumptions &amp; Inputs'!$N$16)</f>
        <v>7.2500000000000009E-2</v>
      </c>
      <c r="AN152" s="42">
        <f>IF(AN6&lt;'Assumptions &amp; Inputs'!$N$15,'Monthly PF Cash Flow'!AM152,'Assumptions &amp; Inputs'!$N$16)</f>
        <v>7.2500000000000009E-2</v>
      </c>
      <c r="AO152" s="42">
        <f>IF(AO6&lt;'Assumptions &amp; Inputs'!$N$15,'Monthly PF Cash Flow'!AN152,'Assumptions &amp; Inputs'!$N$16)</f>
        <v>7.2500000000000009E-2</v>
      </c>
      <c r="AP152" s="42">
        <f>IF(AP6&lt;'Assumptions &amp; Inputs'!$N$15,'Monthly PF Cash Flow'!AO152,'Assumptions &amp; Inputs'!$N$16)</f>
        <v>7.2500000000000009E-2</v>
      </c>
      <c r="AQ152" s="42">
        <f>IF(AQ6&lt;'Assumptions &amp; Inputs'!$N$15,'Monthly PF Cash Flow'!AP152,'Assumptions &amp; Inputs'!$N$16)</f>
        <v>7.2500000000000009E-2</v>
      </c>
      <c r="AR152" s="42">
        <f>IF(AR6&lt;'Assumptions &amp; Inputs'!$N$15,'Monthly PF Cash Flow'!AQ152,'Assumptions &amp; Inputs'!$N$16)</f>
        <v>7.2500000000000009E-2</v>
      </c>
      <c r="AS152" s="42">
        <f>IF(AS6&lt;'Assumptions &amp; Inputs'!$N$15,'Monthly PF Cash Flow'!AR152,'Assumptions &amp; Inputs'!$N$16)</f>
        <v>7.2500000000000009E-2</v>
      </c>
      <c r="AT152" s="42">
        <f>IF(AT6&lt;'Assumptions &amp; Inputs'!$N$15,'Monthly PF Cash Flow'!AS152,'Assumptions &amp; Inputs'!$N$16)</f>
        <v>7.2500000000000009E-2</v>
      </c>
      <c r="AU152" s="42">
        <f>IF(AU6&lt;'Assumptions &amp; Inputs'!$N$15,'Monthly PF Cash Flow'!AT152,'Assumptions &amp; Inputs'!$N$16)</f>
        <v>7.2500000000000009E-2</v>
      </c>
      <c r="AV152" s="42">
        <f>IF(AV6&lt;'Assumptions &amp; Inputs'!$N$15,'Monthly PF Cash Flow'!AU152,'Assumptions &amp; Inputs'!$N$16)</f>
        <v>7.2500000000000009E-2</v>
      </c>
      <c r="AW152" s="42">
        <f>IF(AW6&lt;'Assumptions &amp; Inputs'!$N$15,'Monthly PF Cash Flow'!AV152,'Assumptions &amp; Inputs'!$N$16)</f>
        <v>7.2500000000000009E-2</v>
      </c>
      <c r="AX152" s="42">
        <f>IF(AX6&lt;'Assumptions &amp; Inputs'!$N$15,'Monthly PF Cash Flow'!AW152,'Assumptions &amp; Inputs'!$N$16)</f>
        <v>7.2500000000000009E-2</v>
      </c>
      <c r="AY152" s="42">
        <f>IF(AY6&lt;'Assumptions &amp; Inputs'!$N$15,'Monthly PF Cash Flow'!AX152,'Assumptions &amp; Inputs'!$N$16)</f>
        <v>7.2500000000000009E-2</v>
      </c>
      <c r="AZ152" s="42">
        <f>IF(AZ6&lt;'Assumptions &amp; Inputs'!$N$15,'Monthly PF Cash Flow'!AY152,'Assumptions &amp; Inputs'!$N$16)</f>
        <v>7.2500000000000009E-2</v>
      </c>
      <c r="BA152" s="42">
        <f>IF(BA6&lt;'Assumptions &amp; Inputs'!$N$15,'Monthly PF Cash Flow'!AZ152,'Assumptions &amp; Inputs'!$N$16)</f>
        <v>7.2500000000000009E-2</v>
      </c>
      <c r="BB152" s="42">
        <f>IF(BB6&lt;'Assumptions &amp; Inputs'!$N$15,'Monthly PF Cash Flow'!BA152,'Assumptions &amp; Inputs'!$N$16)</f>
        <v>7.2500000000000009E-2</v>
      </c>
      <c r="BC152" s="42">
        <f>IF(BC6&lt;'Assumptions &amp; Inputs'!$N$15,'Monthly PF Cash Flow'!BB152,'Assumptions &amp; Inputs'!$N$16)</f>
        <v>7.2500000000000009E-2</v>
      </c>
      <c r="BD152" s="42">
        <f>IF(BD6&lt;'Assumptions &amp; Inputs'!$N$15,'Monthly PF Cash Flow'!BC152,'Assumptions &amp; Inputs'!$N$16)</f>
        <v>7.2500000000000009E-2</v>
      </c>
      <c r="BE152" s="42">
        <f>IF(BE6&lt;'Assumptions &amp; Inputs'!$N$15,'Monthly PF Cash Flow'!BD152,'Assumptions &amp; Inputs'!$N$16)</f>
        <v>7.2500000000000009E-2</v>
      </c>
      <c r="BF152" s="42">
        <f>IF(BF6&lt;'Assumptions &amp; Inputs'!$N$15,'Monthly PF Cash Flow'!BE152,'Assumptions &amp; Inputs'!$N$16)</f>
        <v>7.2500000000000009E-2</v>
      </c>
      <c r="BG152" s="42">
        <f>IF(BG6&lt;'Assumptions &amp; Inputs'!$N$15,'Monthly PF Cash Flow'!BF152,'Assumptions &amp; Inputs'!$N$16)</f>
        <v>7.2500000000000009E-2</v>
      </c>
      <c r="BH152" s="42">
        <f>IF(BH6&lt;'Assumptions &amp; Inputs'!$N$15,'Monthly PF Cash Flow'!BG152,'Assumptions &amp; Inputs'!$N$16)</f>
        <v>7.2500000000000009E-2</v>
      </c>
      <c r="BI152" s="42">
        <f>IF(BI6&lt;'Assumptions &amp; Inputs'!$N$15,'Monthly PF Cash Flow'!BH152,'Assumptions &amp; Inputs'!$N$16)</f>
        <v>7.2500000000000009E-2</v>
      </c>
      <c r="BJ152" s="42">
        <f>IF(BJ6&lt;'Assumptions &amp; Inputs'!$N$15,'Monthly PF Cash Flow'!BI152,'Assumptions &amp; Inputs'!$N$16)</f>
        <v>7.2500000000000009E-2</v>
      </c>
      <c r="BK152" s="42">
        <f>IF(BK6&lt;'Assumptions &amp; Inputs'!$N$15,'Monthly PF Cash Flow'!BJ152,'Assumptions &amp; Inputs'!$N$16)</f>
        <v>7.2500000000000009E-2</v>
      </c>
      <c r="BL152" s="42">
        <f>IF(BL6&lt;'Assumptions &amp; Inputs'!$N$15,'Monthly PF Cash Flow'!BK152,'Assumptions &amp; Inputs'!$N$16)</f>
        <v>7.2500000000000009E-2</v>
      </c>
      <c r="BM152" s="42">
        <f>IF(BM6&lt;'Assumptions &amp; Inputs'!$N$15,'Monthly PF Cash Flow'!BL152,'Assumptions &amp; Inputs'!$N$16)</f>
        <v>7.2500000000000009E-2</v>
      </c>
      <c r="BN152" s="42">
        <f>IF(BN6&lt;'Assumptions &amp; Inputs'!$N$15,'Monthly PF Cash Flow'!BM152,'Assumptions &amp; Inputs'!$N$16)</f>
        <v>7.2500000000000009E-2</v>
      </c>
      <c r="BO152" s="42">
        <f>IF(BO6&lt;'Assumptions &amp; Inputs'!$N$15,'Monthly PF Cash Flow'!BN152,'Assumptions &amp; Inputs'!$N$16)</f>
        <v>7.2500000000000009E-2</v>
      </c>
      <c r="BP152" s="42">
        <f>IF(BP6&lt;'Assumptions &amp; Inputs'!$N$15,'Monthly PF Cash Flow'!BO152,'Assumptions &amp; Inputs'!$N$16)</f>
        <v>7.2500000000000009E-2</v>
      </c>
      <c r="BQ152" s="42">
        <f>IF(BQ6&lt;'Assumptions &amp; Inputs'!$N$15,'Monthly PF Cash Flow'!BP152,'Assumptions &amp; Inputs'!$N$16)</f>
        <v>7.2500000000000009E-2</v>
      </c>
      <c r="BR152" s="42">
        <f>IF(BR6&lt;'Assumptions &amp; Inputs'!$N$15,'Monthly PF Cash Flow'!BQ152,'Assumptions &amp; Inputs'!$N$16)</f>
        <v>7.2500000000000009E-2</v>
      </c>
      <c r="BS152" s="42">
        <f>IF(BS6&lt;'Assumptions &amp; Inputs'!$N$15,'Monthly PF Cash Flow'!BR152,'Assumptions &amp; Inputs'!$N$16)</f>
        <v>7.2500000000000009E-2</v>
      </c>
      <c r="BT152" s="42">
        <f>IF(BT6&lt;'Assumptions &amp; Inputs'!$N$15,'Monthly PF Cash Flow'!BS152,'Assumptions &amp; Inputs'!$N$16)</f>
        <v>7.2500000000000009E-2</v>
      </c>
      <c r="BU152" s="42">
        <f>IF(BU6&lt;'Assumptions &amp; Inputs'!$N$15,'Monthly PF Cash Flow'!BT152,'Assumptions &amp; Inputs'!$N$16)</f>
        <v>7.2500000000000009E-2</v>
      </c>
      <c r="BV152" s="42">
        <f>IF(BV6&lt;'Assumptions &amp; Inputs'!$N$15,'Monthly PF Cash Flow'!BU152,'Assumptions &amp; Inputs'!$N$16)</f>
        <v>7.2500000000000009E-2</v>
      </c>
      <c r="BW152" s="42">
        <f>IF(BW6&lt;'Assumptions &amp; Inputs'!$N$15,'Monthly PF Cash Flow'!BV152,'Assumptions &amp; Inputs'!$N$16)</f>
        <v>7.2500000000000009E-2</v>
      </c>
      <c r="BX152" s="42">
        <f>IF(BX6&lt;'Assumptions &amp; Inputs'!$N$15,'Monthly PF Cash Flow'!BW152,'Assumptions &amp; Inputs'!$N$16)</f>
        <v>7.2500000000000009E-2</v>
      </c>
      <c r="BY152" s="42">
        <f>IF(BY6&lt;'Assumptions &amp; Inputs'!$N$15,'Monthly PF Cash Flow'!BX152,'Assumptions &amp; Inputs'!$N$16)</f>
        <v>7.2500000000000009E-2</v>
      </c>
      <c r="BZ152" s="42">
        <f>IF(BZ6&lt;'Assumptions &amp; Inputs'!$N$15,'Monthly PF Cash Flow'!BY152,'Assumptions &amp; Inputs'!$N$16)</f>
        <v>7.2500000000000009E-2</v>
      </c>
      <c r="CA152" s="42">
        <f>IF(CA6&lt;'Assumptions &amp; Inputs'!$N$15,'Monthly PF Cash Flow'!BZ152,'Assumptions &amp; Inputs'!$N$16)</f>
        <v>7.2500000000000009E-2</v>
      </c>
    </row>
    <row r="153" spans="2:79">
      <c r="B153" s="14" t="s">
        <v>61</v>
      </c>
      <c r="E153" s="136">
        <f ca="1">SUM(G153:CA153)</f>
        <v>3535838.6038984526</v>
      </c>
      <c r="G153" s="136">
        <f>IF(G6&lt;='Assumptions &amp; Inputs'!$N$11*12,G150*((1+G152)^(1/12)-1),IF(G150=0,0,'Assumptions &amp; Inputs'!$N$19))</f>
        <v>0</v>
      </c>
      <c r="H153" s="136">
        <f ca="1">IF(H6&lt;='Assumptions &amp; Inputs'!$N$11*12,H150*((1+H152)^(1/12)-1),IF(H150=0,0,'Assumptions &amp; Inputs'!$N$19))</f>
        <v>0</v>
      </c>
      <c r="I153" s="136">
        <f ca="1">IF(I6&lt;='Assumptions &amp; Inputs'!$N$11*12,I150*((1+I152)^(1/12)-1),IF(I150=0,0,'Assumptions &amp; Inputs'!$N$19))</f>
        <v>5570.977417984217</v>
      </c>
      <c r="J153" s="136">
        <f ca="1">IF(J6&lt;='Assumptions &amp; Inputs'!$N$11*12,J150*((1+J152)^(1/12)-1),IF(J150=0,0,'Assumptions &amp; Inputs'!$N$19))</f>
        <v>13254.44740725597</v>
      </c>
      <c r="K153" s="136">
        <f ca="1">IF(K6&lt;='Assumptions &amp; Inputs'!$N$11*12,K150*((1+K152)^(1/12)-1),IF(K150=0,0,'Assumptions &amp; Inputs'!$N$19))</f>
        <v>20987.353073788006</v>
      </c>
      <c r="L153" s="136">
        <f ca="1">IF(L6&lt;='Assumptions &amp; Inputs'!$N$11*12,L150*((1+L152)^(1/12)-1),IF(L150=0,0,'Assumptions &amp; Inputs'!$N$19))</f>
        <v>28770.012488216322</v>
      </c>
      <c r="M153" s="136">
        <f ca="1">IF(M6&lt;='Assumptions &amp; Inputs'!$N$11*12,M150*((1+M152)^(1/12)-1),IF(M150=0,0,'Assumptions &amp; Inputs'!$N$19))</f>
        <v>36602.745767652967</v>
      </c>
      <c r="N153" s="136">
        <f ca="1">IF(N6&lt;='Assumptions &amp; Inputs'!$N$11*12,N150*((1+N152)^(1/12)-1),IF(N150=0,0,'Assumptions &amp; Inputs'!$N$19))</f>
        <v>44485.875088853143</v>
      </c>
      <c r="O153" s="136">
        <f ca="1">IF(O6&lt;='Assumptions &amp; Inputs'!$N$11*12,O150*((1+O152)^(1/12)-1),IF(O150=0,0,'Assumptions &amp; Inputs'!$N$19))</f>
        <v>52419.724701466963</v>
      </c>
      <c r="P153" s="136">
        <f ca="1">IF(P6&lt;='Assumptions &amp; Inputs'!$N$11*12,P150*((1+P152)^(1/12)-1),IF(P150=0,0,'Assumptions &amp; Inputs'!$N$19))</f>
        <v>60404.620941376583</v>
      </c>
      <c r="Q153" s="136">
        <f ca="1">IF(Q6&lt;='Assumptions &amp; Inputs'!$N$11*12,Q150*((1+Q152)^(1/12)-1),IF(Q150=0,0,'Assumptions &amp; Inputs'!$N$19))</f>
        <v>64436.860428282074</v>
      </c>
      <c r="R153" s="136">
        <f ca="1">IF(R6&lt;='Assumptions &amp; Inputs'!$N$11*12,R150*((1+R152)^(1/12)-1),IF(R150=0,0,'Assumptions &amp; Inputs'!$N$19))</f>
        <v>68457.77445354205</v>
      </c>
      <c r="S153" s="136">
        <f ca="1">IF(S6&lt;='Assumptions &amp; Inputs'!$N$11*12,S150*((1+S152)^(1/12)-1),IF(S150=0,0,'Assumptions &amp; Inputs'!$N$19))</f>
        <v>72460.499750772782</v>
      </c>
      <c r="T153" s="136">
        <f ca="1">IF(T6&lt;='Assumptions &amp; Inputs'!$N$11*12,T150*((1+T152)^(1/12)-1),IF(T150=0,0,'Assumptions &amp; Inputs'!$N$19))</f>
        <v>76449.552648457451</v>
      </c>
      <c r="U153" s="136">
        <f ca="1">IF(U6&lt;='Assumptions &amp; Inputs'!$N$11*12,U150*((1+U152)^(1/12)-1),IF(U150=0,0,'Assumptions &amp; Inputs'!$N$19))</f>
        <v>80423.954097105132</v>
      </c>
      <c r="V153" s="136">
        <f ca="1">IF(V6&lt;='Assumptions &amp; Inputs'!$N$11*12,V150*((1+V152)^(1/12)-1),IF(V150=0,0,'Assumptions &amp; Inputs'!$N$19))</f>
        <v>83893.768141856417</v>
      </c>
      <c r="W153" s="136">
        <f ca="1">IF(W6&lt;='Assumptions &amp; Inputs'!$N$11*12,W150*((1+W152)^(1/12)-1),IF(W150=0,0,'Assumptions &amp; Inputs'!$N$19))</f>
        <v>85111.29514243688</v>
      </c>
      <c r="X153" s="136">
        <f ca="1">IF(X6&lt;='Assumptions &amp; Inputs'!$N$11*12,X150*((1+X152)^(1/12)-1),IF(X150=0,0,'Assumptions &amp; Inputs'!$N$19))</f>
        <v>86085.153126331439</v>
      </c>
      <c r="Y153" s="136">
        <f ca="1">IF(Y6&lt;='Assumptions &amp; Inputs'!$N$11*12,Y150*((1+Y152)^(1/12)-1),IF(Y150=0,0,'Assumptions &amp; Inputs'!$N$19))</f>
        <v>87007.699082379608</v>
      </c>
      <c r="Z153" s="136">
        <f ca="1">IF(Z6&lt;='Assumptions &amp; Inputs'!$N$11*12,Z150*((1+Z152)^(1/12)-1),IF(Z150=0,0,'Assumptions &amp; Inputs'!$N$19))</f>
        <v>87870.024460273737</v>
      </c>
      <c r="AA153" s="136">
        <f ca="1">IF(AA6&lt;='Assumptions &amp; Inputs'!$N$11*12,AA150*((1+AA152)^(1/12)-1),IF(AA150=0,0,'Assumptions &amp; Inputs'!$N$19))</f>
        <v>88642.414749043863</v>
      </c>
      <c r="AB153" s="136">
        <f ca="1">IF(AB6&lt;='Assumptions &amp; Inputs'!$N$11*12,AB150*((1+AB152)^(1/12)-1),IF(AB150=0,0,'Assumptions &amp; Inputs'!$N$19))</f>
        <v>89338.630398267691</v>
      </c>
      <c r="AC153" s="136">
        <f ca="1">IF(AC6&lt;='Assumptions &amp; Inputs'!$N$11*12,AC150*((1+AC152)^(1/12)-1),IF(AC150=0,0,'Assumptions &amp; Inputs'!$N$19))</f>
        <v>89977.439121138741</v>
      </c>
      <c r="AD153" s="136">
        <f ca="1">IF(AD6&lt;='Assumptions &amp; Inputs'!$N$11*12,AD150*((1+AD152)^(1/12)-1),IF(AD150=0,0,'Assumptions &amp; Inputs'!$N$19))</f>
        <v>90571.400947247399</v>
      </c>
      <c r="AE153" s="136">
        <f ca="1">IF(AE6&lt;='Assumptions &amp; Inputs'!$N$11*12,AE150*((1+AE152)^(1/12)-1),IF(AE150=0,0,'Assumptions &amp; Inputs'!$N$19))</f>
        <v>91118.342431541008</v>
      </c>
      <c r="AF153" s="136">
        <f ca="1">IF(AF6&lt;='Assumptions &amp; Inputs'!$N$11*12,AF150*((1+AF152)^(1/12)-1),IF(AF150=0,0,'Assumptions &amp; Inputs'!$N$19))</f>
        <v>83300.311165675477</v>
      </c>
      <c r="AG153" s="136">
        <f ca="1">IF(AG6&lt;='Assumptions &amp; Inputs'!$N$11*12,AG150*((1+AG152)^(1/12)-1),IF(AG150=0,0,'Assumptions &amp; Inputs'!$N$19))</f>
        <v>83300.311165677689</v>
      </c>
      <c r="AH153" s="136">
        <f ca="1">IF(AH6&lt;='Assumptions &amp; Inputs'!$N$11*12,AH150*((1+AH152)^(1/12)-1),IF(AH150=0,0,'Assumptions &amp; Inputs'!$N$19))</f>
        <v>83300.311165680439</v>
      </c>
      <c r="AI153" s="136">
        <f ca="1">IF(AI6&lt;='Assumptions &amp; Inputs'!$N$11*12,AI150*((1+AI152)^(1/12)-1),IF(AI150=0,0,'Assumptions &amp; Inputs'!$N$19))</f>
        <v>83300.311165683772</v>
      </c>
      <c r="AJ153" s="136">
        <f ca="1">IF(AJ6&lt;='Assumptions &amp; Inputs'!$N$11*12,AJ150*((1+AJ152)^(1/12)-1),IF(AJ150=0,0,'Assumptions &amp; Inputs'!$N$19))</f>
        <v>83300.311165687584</v>
      </c>
      <c r="AK153" s="136">
        <f ca="1">IF(AK6&lt;='Assumptions &amp; Inputs'!$N$11*12,AK150*((1+AK152)^(1/12)-1),IF(AK150=0,0,'Assumptions &amp; Inputs'!$N$19))</f>
        <v>83300.31116569195</v>
      </c>
      <c r="AL153" s="136">
        <f ca="1">IF(AL6&lt;='Assumptions &amp; Inputs'!$N$11*12,AL150*((1+AL152)^(1/12)-1),IF(AL150=0,0,'Assumptions &amp; Inputs'!$N$19))</f>
        <v>83300.311165696869</v>
      </c>
      <c r="AM153" s="136">
        <f ca="1">IF(AM6&lt;='Assumptions &amp; Inputs'!$N$11*12,AM150*((1+AM152)^(1/12)-1),IF(AM150=0,0,'Assumptions &amp; Inputs'!$N$19))</f>
        <v>83300.311165702282</v>
      </c>
      <c r="AN153" s="136">
        <f ca="1">IF(AN6&lt;='Assumptions &amp; Inputs'!$N$11*12,AN150*((1+AN152)^(1/12)-1),IF(AN150=0,0,'Assumptions &amp; Inputs'!$N$19))</f>
        <v>83300.311165708059</v>
      </c>
      <c r="AO153" s="136">
        <f ca="1">IF(AO6&lt;='Assumptions &amp; Inputs'!$N$11*12,AO150*((1+AO152)^(1/12)-1),IF(AO150=0,0,'Assumptions &amp; Inputs'!$N$19))</f>
        <v>83300.311165713807</v>
      </c>
      <c r="AP153" s="136">
        <f ca="1">IF(AP6&lt;='Assumptions &amp; Inputs'!$N$11*12,AP150*((1+AP152)^(1/12)-1),IF(AP150=0,0,'Assumptions &amp; Inputs'!$N$19))</f>
        <v>83300.311165719075</v>
      </c>
      <c r="AQ153" s="136">
        <f ca="1">IF(AQ6&lt;='Assumptions &amp; Inputs'!$N$11*12,AQ150*((1+AQ152)^(1/12)-1),IF(AQ150=0,0,'Assumptions &amp; Inputs'!$N$19))</f>
        <v>83300.311165722975</v>
      </c>
      <c r="AR153" s="136">
        <f ca="1">IF(AR6&lt;='Assumptions &amp; Inputs'!$N$11*12,AR150*((1+AR152)^(1/12)-1),IF(AR150=0,0,'Assumptions &amp; Inputs'!$N$19))</f>
        <v>85991.192003941323</v>
      </c>
      <c r="AS153" s="136">
        <f ca="1">IF(AS6&lt;='Assumptions &amp; Inputs'!$N$11*12,AS150*((1+AS152)^(1/12)-1),IF(AS150=0,0,'Assumptions &amp; Inputs'!$N$19))</f>
        <v>85991.19200393866</v>
      </c>
      <c r="AT153" s="136">
        <f ca="1">IF(AT6&lt;='Assumptions &amp; Inputs'!$N$11*12,AT150*((1+AT152)^(1/12)-1),IF(AT150=0,0,'Assumptions &amp; Inputs'!$N$19))</f>
        <v>85991.192003930206</v>
      </c>
      <c r="AU153" s="136">
        <f ca="1">IF(AU6&lt;='Assumptions &amp; Inputs'!$N$11*12,AU150*((1+AU152)^(1/12)-1),IF(AU150=0,0,'Assumptions &amp; Inputs'!$N$19))</f>
        <v>85991.192003914068</v>
      </c>
      <c r="AV153" s="136">
        <f ca="1">IF(AV6&lt;='Assumptions &amp; Inputs'!$N$11*12,AV150*((1+AV152)^(1/12)-1),IF(AV150=0,0,'Assumptions &amp; Inputs'!$N$19))</f>
        <v>85991.192003888587</v>
      </c>
      <c r="AW153" s="136">
        <f ca="1">IF(AW6&lt;='Assumptions &amp; Inputs'!$N$11*12,AW150*((1+AW152)^(1/12)-1),IF(AW150=0,0,'Assumptions &amp; Inputs'!$N$19))</f>
        <v>85991.192003852557</v>
      </c>
      <c r="AX153" s="136">
        <f ca="1">IF(AX6&lt;='Assumptions &amp; Inputs'!$N$11*12,AX150*((1+AX152)^(1/12)-1),IF(AX150=0,0,'Assumptions &amp; Inputs'!$N$19))</f>
        <v>85991.192003805758</v>
      </c>
      <c r="AY153" s="136">
        <f ca="1">IF(AY6&lt;='Assumptions &amp; Inputs'!$N$11*12,AY150*((1+AY152)^(1/12)-1),IF(AY150=0,0,'Assumptions &amp; Inputs'!$N$19))</f>
        <v>85991.192003749107</v>
      </c>
      <c r="AZ153" s="136">
        <f ca="1">IF(AZ6&lt;='Assumptions &amp; Inputs'!$N$11*12,AZ150*((1+AZ152)^(1/12)-1),IF(AZ150=0,0,'Assumptions &amp; Inputs'!$N$19))</f>
        <v>85991.192003684439</v>
      </c>
      <c r="BA153" s="136">
        <f ca="1">IF(BA6&lt;='Assumptions &amp; Inputs'!$N$11*12,BA150*((1+BA152)^(1/12)-1),IF(BA150=0,0,'Assumptions &amp; Inputs'!$N$19))</f>
        <v>85991.19200361424</v>
      </c>
      <c r="BB153" s="136">
        <f ca="1">IF(BB6&lt;='Assumptions &amp; Inputs'!$N$11*12,BB150*((1+BB152)^(1/12)-1),IF(BB150=0,0,'Assumptions &amp; Inputs'!$N$19))</f>
        <v>85991.192003540724</v>
      </c>
      <c r="BC153" s="136">
        <f ca="1">IF(BC6&lt;='Assumptions &amp; Inputs'!$N$11*12,BC150*((1+BC152)^(1/12)-1),IF(BC150=0,0,'Assumptions &amp; Inputs'!$N$19))</f>
        <v>85991.192003465287</v>
      </c>
      <c r="BD153" s="136">
        <f ca="1">IF(BD6&lt;='Assumptions &amp; Inputs'!$N$11*12,BD150*((1+BD152)^(1/12)-1),IF(BD150=0,0,'Assumptions &amp; Inputs'!$N$19))</f>
        <v>0</v>
      </c>
      <c r="BE153" s="136">
        <f ca="1">IF(BE6&lt;='Assumptions &amp; Inputs'!$N$11*12,BE150*((1+BE152)^(1/12)-1),IF(BE150=0,0,'Assumptions &amp; Inputs'!$N$19))</f>
        <v>0</v>
      </c>
      <c r="BF153" s="136">
        <f ca="1">IF(BF6&lt;='Assumptions &amp; Inputs'!$N$11*12,BF150*((1+BF152)^(1/12)-1),IF(BF150=0,0,'Assumptions &amp; Inputs'!$N$19))</f>
        <v>0</v>
      </c>
      <c r="BG153" s="136">
        <f ca="1">IF(BG6&lt;='Assumptions &amp; Inputs'!$N$11*12,BG150*((1+BG152)^(1/12)-1),IF(BG150=0,0,'Assumptions &amp; Inputs'!$N$19))</f>
        <v>0</v>
      </c>
      <c r="BH153" s="136">
        <f ca="1">IF(BH6&lt;='Assumptions &amp; Inputs'!$N$11*12,BH150*((1+BH152)^(1/12)-1),IF(BH150=0,0,'Assumptions &amp; Inputs'!$N$19))</f>
        <v>0</v>
      </c>
      <c r="BI153" s="136">
        <f ca="1">IF(BI6&lt;='Assumptions &amp; Inputs'!$N$11*12,BI150*((1+BI152)^(1/12)-1),IF(BI150=0,0,'Assumptions &amp; Inputs'!$N$19))</f>
        <v>0</v>
      </c>
      <c r="BJ153" s="136">
        <f ca="1">IF(BJ6&lt;='Assumptions &amp; Inputs'!$N$11*12,BJ150*((1+BJ152)^(1/12)-1),IF(BJ150=0,0,'Assumptions &amp; Inputs'!$N$19))</f>
        <v>0</v>
      </c>
      <c r="BK153" s="136">
        <f ca="1">IF(BK6&lt;='Assumptions &amp; Inputs'!$N$11*12,BK150*((1+BK152)^(1/12)-1),IF(BK150=0,0,'Assumptions &amp; Inputs'!$N$19))</f>
        <v>0</v>
      </c>
      <c r="BL153" s="136">
        <f ca="1">IF(BL6&lt;='Assumptions &amp; Inputs'!$N$11*12,BL150*((1+BL152)^(1/12)-1),IF(BL150=0,0,'Assumptions &amp; Inputs'!$N$19))</f>
        <v>0</v>
      </c>
      <c r="BM153" s="136">
        <f ca="1">IF(BM6&lt;='Assumptions &amp; Inputs'!$N$11*12,BM150*((1+BM152)^(1/12)-1),IF(BM150=0,0,'Assumptions &amp; Inputs'!$N$19))</f>
        <v>0</v>
      </c>
      <c r="BN153" s="136">
        <f ca="1">IF(BN6&lt;='Assumptions &amp; Inputs'!$N$11*12,BN150*((1+BN152)^(1/12)-1),IF(BN150=0,0,'Assumptions &amp; Inputs'!$N$19))</f>
        <v>0</v>
      </c>
      <c r="BO153" s="136">
        <f ca="1">IF(BO6&lt;='Assumptions &amp; Inputs'!$N$11*12,BO150*((1+BO152)^(1/12)-1),IF(BO150=0,0,'Assumptions &amp; Inputs'!$N$19))</f>
        <v>0</v>
      </c>
      <c r="BP153" s="136">
        <f ca="1">IF(BP6&lt;='Assumptions &amp; Inputs'!$N$11*12,BP150*((1+BP152)^(1/12)-1),IF(BP150=0,0,'Assumptions &amp; Inputs'!$N$19))</f>
        <v>0</v>
      </c>
      <c r="BQ153" s="136">
        <f ca="1">IF(BQ6&lt;='Assumptions &amp; Inputs'!$N$11*12,BQ150*((1+BQ152)^(1/12)-1),IF(BQ150=0,0,'Assumptions &amp; Inputs'!$N$19))</f>
        <v>0</v>
      </c>
      <c r="BR153" s="136">
        <f ca="1">IF(BR6&lt;='Assumptions &amp; Inputs'!$N$11*12,BR150*((1+BR152)^(1/12)-1),IF(BR150=0,0,'Assumptions &amp; Inputs'!$N$19))</f>
        <v>0</v>
      </c>
      <c r="BS153" s="136">
        <f ca="1">IF(BS6&lt;='Assumptions &amp; Inputs'!$N$11*12,BS150*((1+BS152)^(1/12)-1),IF(BS150=0,0,'Assumptions &amp; Inputs'!$N$19))</f>
        <v>0</v>
      </c>
      <c r="BT153" s="136">
        <f ca="1">IF(BT6&lt;='Assumptions &amp; Inputs'!$N$11*12,BT150*((1+BT152)^(1/12)-1),IF(BT150=0,0,'Assumptions &amp; Inputs'!$N$19))</f>
        <v>0</v>
      </c>
      <c r="BU153" s="136">
        <f ca="1">IF(BU6&lt;='Assumptions &amp; Inputs'!$N$11*12,BU150*((1+BU152)^(1/12)-1),IF(BU150=0,0,'Assumptions &amp; Inputs'!$N$19))</f>
        <v>0</v>
      </c>
      <c r="BV153" s="136">
        <f ca="1">IF(BV6&lt;='Assumptions &amp; Inputs'!$N$11*12,BV150*((1+BV152)^(1/12)-1),IF(BV150=0,0,'Assumptions &amp; Inputs'!$N$19))</f>
        <v>0</v>
      </c>
      <c r="BW153" s="136">
        <f ca="1">IF(BW6&lt;='Assumptions &amp; Inputs'!$N$11*12,BW150*((1+BW152)^(1/12)-1),IF(BW150=0,0,'Assumptions &amp; Inputs'!$N$19))</f>
        <v>0</v>
      </c>
      <c r="BX153" s="136">
        <f ca="1">IF(BX6&lt;='Assumptions &amp; Inputs'!$N$11*12,BX150*((1+BX152)^(1/12)-1),IF(BX150=0,0,'Assumptions &amp; Inputs'!$N$19))</f>
        <v>0</v>
      </c>
      <c r="BY153" s="136">
        <f ca="1">IF(BY6&lt;='Assumptions &amp; Inputs'!$N$11*12,BY150*((1+BY152)^(1/12)-1),IF(BY150=0,0,'Assumptions &amp; Inputs'!$N$19))</f>
        <v>0</v>
      </c>
      <c r="BZ153" s="136">
        <f ca="1">IF(BZ6&lt;='Assumptions &amp; Inputs'!$N$11*12,BZ150*((1+BZ152)^(1/12)-1),IF(BZ150=0,0,'Assumptions &amp; Inputs'!$N$19))</f>
        <v>0</v>
      </c>
      <c r="CA153" s="136">
        <f ca="1">IF(CA6&lt;='Assumptions &amp; Inputs'!$N$11*12,CA150*((1+CA152)^(1/12)-1),IF(CA150=0,0,'Assumptions &amp; Inputs'!$N$19))</f>
        <v>0</v>
      </c>
    </row>
    <row r="154" spans="2:79">
      <c r="B154" s="14" t="s">
        <v>62</v>
      </c>
      <c r="E154" s="136">
        <f ca="1">SUM(G154:CA154)</f>
        <v>2545112.9312959174</v>
      </c>
      <c r="G154" s="136">
        <f>IF(G145&gt;G153,G153,G145)</f>
        <v>0</v>
      </c>
      <c r="H154" s="136">
        <f t="shared" ref="H154:BS154" ca="1" si="213">IF(H145&gt;H153,H153,H145)</f>
        <v>0</v>
      </c>
      <c r="I154" s="136">
        <f t="shared" ca="1" si="213"/>
        <v>0</v>
      </c>
      <c r="J154" s="136">
        <f t="shared" ca="1" si="213"/>
        <v>0</v>
      </c>
      <c r="K154" s="136">
        <f t="shared" ca="1" si="213"/>
        <v>0</v>
      </c>
      <c r="L154" s="136">
        <f t="shared" ca="1" si="213"/>
        <v>0</v>
      </c>
      <c r="M154" s="136">
        <f t="shared" ca="1" si="213"/>
        <v>0</v>
      </c>
      <c r="N154" s="136">
        <f t="shared" ca="1" si="213"/>
        <v>0</v>
      </c>
      <c r="O154" s="136">
        <f t="shared" ca="1" si="213"/>
        <v>0</v>
      </c>
      <c r="P154" s="136">
        <f t="shared" ca="1" si="213"/>
        <v>0</v>
      </c>
      <c r="Q154" s="136">
        <f t="shared" ca="1" si="213"/>
        <v>0</v>
      </c>
      <c r="R154" s="136">
        <f t="shared" ca="1" si="213"/>
        <v>0</v>
      </c>
      <c r="S154" s="136">
        <f t="shared" ca="1" si="213"/>
        <v>0</v>
      </c>
      <c r="T154" s="136">
        <f t="shared" ca="1" si="213"/>
        <v>0</v>
      </c>
      <c r="U154" s="136">
        <f t="shared" ca="1" si="213"/>
        <v>80423.954097105132</v>
      </c>
      <c r="V154" s="136">
        <f t="shared" ca="1" si="213"/>
        <v>163.91868955706377</v>
      </c>
      <c r="W154" s="136">
        <f t="shared" ca="1" si="213"/>
        <v>8653.3568437817794</v>
      </c>
      <c r="X154" s="136">
        <f t="shared" ca="1" si="213"/>
        <v>17602.313944269015</v>
      </c>
      <c r="Y154" s="136">
        <f t="shared" ca="1" si="213"/>
        <v>27884.557807310972</v>
      </c>
      <c r="Z154" s="136">
        <f t="shared" ca="1" si="213"/>
        <v>38538.139017227266</v>
      </c>
      <c r="AA154" s="136">
        <f t="shared" ca="1" si="213"/>
        <v>51149.86456618995</v>
      </c>
      <c r="AB154" s="136">
        <f t="shared" ca="1" si="213"/>
        <v>60768.470283797709</v>
      </c>
      <c r="AC154" s="136">
        <f t="shared" ca="1" si="213"/>
        <v>68377.544298557972</v>
      </c>
      <c r="AD154" s="136">
        <f t="shared" ca="1" si="213"/>
        <v>76279.576029788324</v>
      </c>
      <c r="AE154" s="136">
        <f t="shared" ca="1" si="213"/>
        <v>83773.197685151812</v>
      </c>
      <c r="AF154" s="136">
        <f t="shared" ca="1" si="213"/>
        <v>83300.311165675477</v>
      </c>
      <c r="AG154" s="136">
        <f t="shared" ca="1" si="213"/>
        <v>83300.311165677689</v>
      </c>
      <c r="AH154" s="136">
        <f t="shared" ca="1" si="213"/>
        <v>83300.311165680439</v>
      </c>
      <c r="AI154" s="136">
        <f t="shared" ca="1" si="213"/>
        <v>83300.311165683772</v>
      </c>
      <c r="AJ154" s="136">
        <f t="shared" ca="1" si="213"/>
        <v>83300.311165687584</v>
      </c>
      <c r="AK154" s="136">
        <f t="shared" ca="1" si="213"/>
        <v>83300.31116569195</v>
      </c>
      <c r="AL154" s="136">
        <f t="shared" ca="1" si="213"/>
        <v>83300.311165696869</v>
      </c>
      <c r="AM154" s="136">
        <f t="shared" ca="1" si="213"/>
        <v>83300.311165702282</v>
      </c>
      <c r="AN154" s="136">
        <f t="shared" ca="1" si="213"/>
        <v>83300.311165708059</v>
      </c>
      <c r="AO154" s="136">
        <f t="shared" ca="1" si="213"/>
        <v>83300.311165713807</v>
      </c>
      <c r="AP154" s="136">
        <f t="shared" ca="1" si="213"/>
        <v>83300.311165719075</v>
      </c>
      <c r="AQ154" s="136">
        <f t="shared" ca="1" si="213"/>
        <v>83300.311165722975</v>
      </c>
      <c r="AR154" s="136">
        <f t="shared" ca="1" si="213"/>
        <v>85991.192003941323</v>
      </c>
      <c r="AS154" s="136">
        <f t="shared" ca="1" si="213"/>
        <v>85991.19200393866</v>
      </c>
      <c r="AT154" s="136">
        <f t="shared" ca="1" si="213"/>
        <v>85991.192003930206</v>
      </c>
      <c r="AU154" s="136">
        <f t="shared" ca="1" si="213"/>
        <v>85991.192003914068</v>
      </c>
      <c r="AV154" s="136">
        <f t="shared" ca="1" si="213"/>
        <v>85991.192003888587</v>
      </c>
      <c r="AW154" s="136">
        <f t="shared" ca="1" si="213"/>
        <v>85991.192003852557</v>
      </c>
      <c r="AX154" s="136">
        <f t="shared" ca="1" si="213"/>
        <v>85991.192003805758</v>
      </c>
      <c r="AY154" s="136">
        <f t="shared" ca="1" si="213"/>
        <v>85991.192003749107</v>
      </c>
      <c r="AZ154" s="136">
        <f t="shared" ca="1" si="213"/>
        <v>85991.192003684439</v>
      </c>
      <c r="BA154" s="136">
        <f t="shared" ca="1" si="213"/>
        <v>85991.19200361424</v>
      </c>
      <c r="BB154" s="136">
        <f t="shared" ca="1" si="213"/>
        <v>85991.192003540724</v>
      </c>
      <c r="BC154" s="136">
        <f t="shared" ca="1" si="213"/>
        <v>85991.192003465287</v>
      </c>
      <c r="BD154" s="136">
        <f t="shared" ca="1" si="213"/>
        <v>0</v>
      </c>
      <c r="BE154" s="136">
        <f t="shared" ca="1" si="213"/>
        <v>0</v>
      </c>
      <c r="BF154" s="136">
        <f t="shared" ca="1" si="213"/>
        <v>0</v>
      </c>
      <c r="BG154" s="136">
        <f t="shared" ca="1" si="213"/>
        <v>0</v>
      </c>
      <c r="BH154" s="136">
        <f t="shared" ca="1" si="213"/>
        <v>0</v>
      </c>
      <c r="BI154" s="136">
        <f t="shared" ca="1" si="213"/>
        <v>0</v>
      </c>
      <c r="BJ154" s="136">
        <f t="shared" ca="1" si="213"/>
        <v>0</v>
      </c>
      <c r="BK154" s="136">
        <f t="shared" ca="1" si="213"/>
        <v>0</v>
      </c>
      <c r="BL154" s="136">
        <f t="shared" ca="1" si="213"/>
        <v>0</v>
      </c>
      <c r="BM154" s="136">
        <f t="shared" ca="1" si="213"/>
        <v>0</v>
      </c>
      <c r="BN154" s="136">
        <f t="shared" ca="1" si="213"/>
        <v>0</v>
      </c>
      <c r="BO154" s="136">
        <f t="shared" ca="1" si="213"/>
        <v>0</v>
      </c>
      <c r="BP154" s="136">
        <f t="shared" ca="1" si="213"/>
        <v>0</v>
      </c>
      <c r="BQ154" s="136">
        <f t="shared" ca="1" si="213"/>
        <v>0</v>
      </c>
      <c r="BR154" s="136">
        <f t="shared" ca="1" si="213"/>
        <v>0</v>
      </c>
      <c r="BS154" s="136">
        <f t="shared" ca="1" si="213"/>
        <v>0</v>
      </c>
      <c r="BT154" s="136">
        <f t="shared" ref="BT154:CA154" ca="1" si="214">IF(BT145&gt;BT153,BT153,BT145)</f>
        <v>0</v>
      </c>
      <c r="BU154" s="136">
        <f t="shared" ca="1" si="214"/>
        <v>0</v>
      </c>
      <c r="BV154" s="136">
        <f t="shared" ca="1" si="214"/>
        <v>0</v>
      </c>
      <c r="BW154" s="136">
        <f t="shared" ca="1" si="214"/>
        <v>0</v>
      </c>
      <c r="BX154" s="136">
        <f t="shared" ca="1" si="214"/>
        <v>0</v>
      </c>
      <c r="BY154" s="136">
        <f t="shared" ca="1" si="214"/>
        <v>0</v>
      </c>
      <c r="BZ154" s="136">
        <f t="shared" ca="1" si="214"/>
        <v>0</v>
      </c>
      <c r="CA154" s="136">
        <f t="shared" ca="1" si="214"/>
        <v>0</v>
      </c>
    </row>
    <row r="155" spans="2:79">
      <c r="B155" s="14" t="s">
        <v>63</v>
      </c>
      <c r="E155" s="136">
        <f ca="1">SUM(G155:CA155)</f>
        <v>990725.67260253441</v>
      </c>
      <c r="G155" s="136">
        <f>G153-G154</f>
        <v>0</v>
      </c>
      <c r="H155" s="136">
        <f t="shared" ref="H155:BT155" ca="1" si="215">H153-H154</f>
        <v>0</v>
      </c>
      <c r="I155" s="136">
        <f t="shared" ca="1" si="215"/>
        <v>5570.977417984217</v>
      </c>
      <c r="J155" s="136">
        <f t="shared" ca="1" si="215"/>
        <v>13254.44740725597</v>
      </c>
      <c r="K155" s="136">
        <f t="shared" ca="1" si="215"/>
        <v>20987.353073788006</v>
      </c>
      <c r="L155" s="136">
        <f t="shared" ca="1" si="215"/>
        <v>28770.012488216322</v>
      </c>
      <c r="M155" s="136">
        <f t="shared" ca="1" si="215"/>
        <v>36602.745767652967</v>
      </c>
      <c r="N155" s="136">
        <f t="shared" ca="1" si="215"/>
        <v>44485.875088853143</v>
      </c>
      <c r="O155" s="136">
        <f t="shared" ca="1" si="215"/>
        <v>52419.724701466963</v>
      </c>
      <c r="P155" s="136">
        <f t="shared" ca="1" si="215"/>
        <v>60404.620941376583</v>
      </c>
      <c r="Q155" s="136">
        <f t="shared" ca="1" si="215"/>
        <v>64436.860428282074</v>
      </c>
      <c r="R155" s="136">
        <f t="shared" ca="1" si="215"/>
        <v>68457.77445354205</v>
      </c>
      <c r="S155" s="136">
        <f t="shared" ca="1" si="215"/>
        <v>72460.499750772782</v>
      </c>
      <c r="T155" s="136">
        <f t="shared" ca="1" si="215"/>
        <v>76449.552648457451</v>
      </c>
      <c r="U155" s="136">
        <f t="shared" ca="1" si="215"/>
        <v>0</v>
      </c>
      <c r="V155" s="136">
        <f t="shared" ca="1" si="215"/>
        <v>83729.849452299357</v>
      </c>
      <c r="W155" s="136">
        <f t="shared" ca="1" si="215"/>
        <v>76457.938298655106</v>
      </c>
      <c r="X155" s="136">
        <f t="shared" ca="1" si="215"/>
        <v>68482.839182062424</v>
      </c>
      <c r="Y155" s="136">
        <f t="shared" ca="1" si="215"/>
        <v>59123.141275068636</v>
      </c>
      <c r="Z155" s="136">
        <f t="shared" ca="1" si="215"/>
        <v>49331.885443046471</v>
      </c>
      <c r="AA155" s="136">
        <f t="shared" ca="1" si="215"/>
        <v>37492.550182853913</v>
      </c>
      <c r="AB155" s="136">
        <f t="shared" ca="1" si="215"/>
        <v>28570.160114469982</v>
      </c>
      <c r="AC155" s="136">
        <f t="shared" ca="1" si="215"/>
        <v>21599.894822580769</v>
      </c>
      <c r="AD155" s="136">
        <f t="shared" ca="1" si="215"/>
        <v>14291.824917459075</v>
      </c>
      <c r="AE155" s="136">
        <f t="shared" ca="1" si="215"/>
        <v>7345.1447463891964</v>
      </c>
      <c r="AF155" s="136">
        <f t="shared" ca="1" si="215"/>
        <v>0</v>
      </c>
      <c r="AG155" s="136">
        <f t="shared" ca="1" si="215"/>
        <v>0</v>
      </c>
      <c r="AH155" s="136">
        <f t="shared" ca="1" si="215"/>
        <v>0</v>
      </c>
      <c r="AI155" s="136">
        <f ca="1">AI153-AI154</f>
        <v>0</v>
      </c>
      <c r="AJ155" s="136">
        <f t="shared" ca="1" si="215"/>
        <v>0</v>
      </c>
      <c r="AK155" s="136">
        <f t="shared" ca="1" si="215"/>
        <v>0</v>
      </c>
      <c r="AL155" s="136">
        <f t="shared" ca="1" si="215"/>
        <v>0</v>
      </c>
      <c r="AM155" s="136">
        <f t="shared" ca="1" si="215"/>
        <v>0</v>
      </c>
      <c r="AN155" s="136">
        <f t="shared" ca="1" si="215"/>
        <v>0</v>
      </c>
      <c r="AO155" s="136">
        <f t="shared" ca="1" si="215"/>
        <v>0</v>
      </c>
      <c r="AP155" s="136">
        <f t="shared" ca="1" si="215"/>
        <v>0</v>
      </c>
      <c r="AQ155" s="136">
        <f t="shared" ca="1" si="215"/>
        <v>0</v>
      </c>
      <c r="AR155" s="136">
        <f t="shared" ca="1" si="215"/>
        <v>0</v>
      </c>
      <c r="AS155" s="136">
        <f t="shared" ca="1" si="215"/>
        <v>0</v>
      </c>
      <c r="AT155" s="136">
        <f t="shared" ca="1" si="215"/>
        <v>0</v>
      </c>
      <c r="AU155" s="136">
        <f t="shared" ca="1" si="215"/>
        <v>0</v>
      </c>
      <c r="AV155" s="136">
        <f t="shared" ca="1" si="215"/>
        <v>0</v>
      </c>
      <c r="AW155" s="136">
        <f t="shared" ca="1" si="215"/>
        <v>0</v>
      </c>
      <c r="AX155" s="136">
        <f t="shared" ca="1" si="215"/>
        <v>0</v>
      </c>
      <c r="AY155" s="136">
        <f t="shared" ca="1" si="215"/>
        <v>0</v>
      </c>
      <c r="AZ155" s="136">
        <f t="shared" ca="1" si="215"/>
        <v>0</v>
      </c>
      <c r="BA155" s="136">
        <f t="shared" ca="1" si="215"/>
        <v>0</v>
      </c>
      <c r="BB155" s="136">
        <f t="shared" ca="1" si="215"/>
        <v>0</v>
      </c>
      <c r="BC155" s="136">
        <f t="shared" ca="1" si="215"/>
        <v>0</v>
      </c>
      <c r="BD155" s="136">
        <f t="shared" ca="1" si="215"/>
        <v>0</v>
      </c>
      <c r="BE155" s="136">
        <f t="shared" ca="1" si="215"/>
        <v>0</v>
      </c>
      <c r="BF155" s="136">
        <f t="shared" ca="1" si="215"/>
        <v>0</v>
      </c>
      <c r="BG155" s="136">
        <f t="shared" ca="1" si="215"/>
        <v>0</v>
      </c>
      <c r="BH155" s="136">
        <f t="shared" ca="1" si="215"/>
        <v>0</v>
      </c>
      <c r="BI155" s="136">
        <f t="shared" ca="1" si="215"/>
        <v>0</v>
      </c>
      <c r="BJ155" s="136">
        <f t="shared" ca="1" si="215"/>
        <v>0</v>
      </c>
      <c r="BK155" s="136">
        <f t="shared" ca="1" si="215"/>
        <v>0</v>
      </c>
      <c r="BL155" s="136">
        <f t="shared" ca="1" si="215"/>
        <v>0</v>
      </c>
      <c r="BM155" s="136">
        <f t="shared" ca="1" si="215"/>
        <v>0</v>
      </c>
      <c r="BN155" s="136">
        <f t="shared" ca="1" si="215"/>
        <v>0</v>
      </c>
      <c r="BO155" s="136">
        <f t="shared" ca="1" si="215"/>
        <v>0</v>
      </c>
      <c r="BP155" s="136">
        <f t="shared" ca="1" si="215"/>
        <v>0</v>
      </c>
      <c r="BQ155" s="136">
        <f t="shared" ca="1" si="215"/>
        <v>0</v>
      </c>
      <c r="BR155" s="136">
        <f t="shared" ca="1" si="215"/>
        <v>0</v>
      </c>
      <c r="BS155" s="136">
        <f t="shared" ca="1" si="215"/>
        <v>0</v>
      </c>
      <c r="BT155" s="136">
        <f t="shared" ca="1" si="215"/>
        <v>0</v>
      </c>
      <c r="BU155" s="136">
        <f t="shared" ref="BU155:CA155" ca="1" si="216">BU153-BU154</f>
        <v>0</v>
      </c>
      <c r="BV155" s="136">
        <f t="shared" ca="1" si="216"/>
        <v>0</v>
      </c>
      <c r="BW155" s="136">
        <f t="shared" ca="1" si="216"/>
        <v>0</v>
      </c>
      <c r="BX155" s="136">
        <f t="shared" ca="1" si="216"/>
        <v>0</v>
      </c>
      <c r="BY155" s="136">
        <f t="shared" ca="1" si="216"/>
        <v>0</v>
      </c>
      <c r="BZ155" s="136">
        <f t="shared" ca="1" si="216"/>
        <v>0</v>
      </c>
      <c r="CA155" s="136">
        <f t="shared" ca="1" si="216"/>
        <v>0</v>
      </c>
    </row>
    <row r="156" spans="2:79">
      <c r="B156" s="14" t="s">
        <v>64</v>
      </c>
      <c r="E156" s="136">
        <f ca="1">SUM(G156:CA156)</f>
        <v>14699999.999913974</v>
      </c>
      <c r="G156" s="136">
        <f>IF(G146&gt;0,G150+G151,0)</f>
        <v>0</v>
      </c>
      <c r="H156" s="136">
        <f t="shared" ref="H156:BS156" si="217">IF(H146&gt;0,H150+H151,0)</f>
        <v>0</v>
      </c>
      <c r="I156" s="136">
        <f t="shared" si="217"/>
        <v>0</v>
      </c>
      <c r="J156" s="136">
        <f t="shared" si="217"/>
        <v>0</v>
      </c>
      <c r="K156" s="136">
        <f t="shared" si="217"/>
        <v>0</v>
      </c>
      <c r="L156" s="136">
        <f t="shared" si="217"/>
        <v>0</v>
      </c>
      <c r="M156" s="136">
        <f t="shared" si="217"/>
        <v>0</v>
      </c>
      <c r="N156" s="136">
        <f t="shared" si="217"/>
        <v>0</v>
      </c>
      <c r="O156" s="136">
        <f t="shared" si="217"/>
        <v>0</v>
      </c>
      <c r="P156" s="136">
        <f t="shared" si="217"/>
        <v>0</v>
      </c>
      <c r="Q156" s="136">
        <f t="shared" si="217"/>
        <v>0</v>
      </c>
      <c r="R156" s="136">
        <f t="shared" si="217"/>
        <v>0</v>
      </c>
      <c r="S156" s="136">
        <f t="shared" si="217"/>
        <v>0</v>
      </c>
      <c r="T156" s="136">
        <f t="shared" si="217"/>
        <v>0</v>
      </c>
      <c r="U156" s="136">
        <f t="shared" si="217"/>
        <v>0</v>
      </c>
      <c r="V156" s="136">
        <f t="shared" si="217"/>
        <v>0</v>
      </c>
      <c r="W156" s="136">
        <f t="shared" si="217"/>
        <v>0</v>
      </c>
      <c r="X156" s="136">
        <f t="shared" si="217"/>
        <v>0</v>
      </c>
      <c r="Y156" s="136">
        <f t="shared" si="217"/>
        <v>0</v>
      </c>
      <c r="Z156" s="136">
        <f t="shared" si="217"/>
        <v>0</v>
      </c>
      <c r="AA156" s="136">
        <f t="shared" si="217"/>
        <v>0</v>
      </c>
      <c r="AB156" s="136">
        <f t="shared" si="217"/>
        <v>0</v>
      </c>
      <c r="AC156" s="136">
        <f t="shared" si="217"/>
        <v>0</v>
      </c>
      <c r="AD156" s="136">
        <f t="shared" si="217"/>
        <v>0</v>
      </c>
      <c r="AE156" s="136">
        <f t="shared" si="217"/>
        <v>0</v>
      </c>
      <c r="AF156" s="136">
        <f t="shared" si="217"/>
        <v>0</v>
      </c>
      <c r="AG156" s="136">
        <f t="shared" si="217"/>
        <v>0</v>
      </c>
      <c r="AH156" s="136">
        <f t="shared" si="217"/>
        <v>0</v>
      </c>
      <c r="AI156" s="136">
        <f t="shared" si="217"/>
        <v>0</v>
      </c>
      <c r="AJ156" s="136">
        <f t="shared" si="217"/>
        <v>0</v>
      </c>
      <c r="AK156" s="136">
        <f t="shared" si="217"/>
        <v>0</v>
      </c>
      <c r="AL156" s="136">
        <f t="shared" si="217"/>
        <v>0</v>
      </c>
      <c r="AM156" s="136">
        <f t="shared" si="217"/>
        <v>0</v>
      </c>
      <c r="AN156" s="136">
        <f t="shared" si="217"/>
        <v>0</v>
      </c>
      <c r="AO156" s="136">
        <f t="shared" si="217"/>
        <v>0</v>
      </c>
      <c r="AP156" s="136">
        <f t="shared" si="217"/>
        <v>0</v>
      </c>
      <c r="AQ156" s="136">
        <f t="shared" si="217"/>
        <v>0</v>
      </c>
      <c r="AR156" s="136">
        <f t="shared" si="217"/>
        <v>0</v>
      </c>
      <c r="AS156" s="136">
        <f t="shared" si="217"/>
        <v>0</v>
      </c>
      <c r="AT156" s="136">
        <f t="shared" si="217"/>
        <v>0</v>
      </c>
      <c r="AU156" s="136">
        <f t="shared" si="217"/>
        <v>0</v>
      </c>
      <c r="AV156" s="136">
        <f t="shared" si="217"/>
        <v>0</v>
      </c>
      <c r="AW156" s="136">
        <f t="shared" si="217"/>
        <v>0</v>
      </c>
      <c r="AX156" s="136">
        <f t="shared" si="217"/>
        <v>0</v>
      </c>
      <c r="AY156" s="136">
        <f t="shared" si="217"/>
        <v>0</v>
      </c>
      <c r="AZ156" s="136">
        <f t="shared" si="217"/>
        <v>0</v>
      </c>
      <c r="BA156" s="136">
        <f t="shared" si="217"/>
        <v>0</v>
      </c>
      <c r="BB156" s="136">
        <f t="shared" si="217"/>
        <v>0</v>
      </c>
      <c r="BC156" s="136">
        <f t="shared" ca="1" si="217"/>
        <v>14699999.999927148</v>
      </c>
      <c r="BD156" s="136">
        <f t="shared" si="217"/>
        <v>0</v>
      </c>
      <c r="BE156" s="136">
        <f t="shared" si="217"/>
        <v>0</v>
      </c>
      <c r="BF156" s="136">
        <f t="shared" si="217"/>
        <v>0</v>
      </c>
      <c r="BG156" s="136">
        <f t="shared" si="217"/>
        <v>0</v>
      </c>
      <c r="BH156" s="136">
        <f t="shared" si="217"/>
        <v>0</v>
      </c>
      <c r="BI156" s="136">
        <f t="shared" si="217"/>
        <v>0</v>
      </c>
      <c r="BJ156" s="136">
        <f t="shared" si="217"/>
        <v>0</v>
      </c>
      <c r="BK156" s="136">
        <f t="shared" si="217"/>
        <v>0</v>
      </c>
      <c r="BL156" s="136">
        <f t="shared" si="217"/>
        <v>0</v>
      </c>
      <c r="BM156" s="136">
        <f t="shared" si="217"/>
        <v>0</v>
      </c>
      <c r="BN156" s="136">
        <f t="shared" si="217"/>
        <v>0</v>
      </c>
      <c r="BO156" s="136">
        <f t="shared" si="217"/>
        <v>0</v>
      </c>
      <c r="BP156" s="136">
        <f t="shared" si="217"/>
        <v>0</v>
      </c>
      <c r="BQ156" s="136">
        <f t="shared" si="217"/>
        <v>0</v>
      </c>
      <c r="BR156" s="136">
        <f t="shared" si="217"/>
        <v>0</v>
      </c>
      <c r="BS156" s="136">
        <f t="shared" si="217"/>
        <v>0</v>
      </c>
      <c r="BT156" s="136">
        <f t="shared" ref="BT156:CA156" si="218">IF(BT146&gt;0,BT150+BT151,0)</f>
        <v>0</v>
      </c>
      <c r="BU156" s="136">
        <f t="shared" si="218"/>
        <v>0</v>
      </c>
      <c r="BV156" s="136">
        <f t="shared" si="218"/>
        <v>0</v>
      </c>
      <c r="BW156" s="136">
        <f t="shared" si="218"/>
        <v>0</v>
      </c>
      <c r="BX156" s="136">
        <f t="shared" si="218"/>
        <v>0</v>
      </c>
      <c r="BY156" s="136">
        <f t="shared" si="218"/>
        <v>0</v>
      </c>
      <c r="BZ156" s="136">
        <f t="shared" si="218"/>
        <v>0</v>
      </c>
      <c r="CA156" s="136">
        <f t="shared" si="218"/>
        <v>0</v>
      </c>
    </row>
    <row r="157" spans="2:79">
      <c r="B157" s="12" t="s">
        <v>65</v>
      </c>
      <c r="C157" s="12"/>
      <c r="D157" s="12"/>
      <c r="E157" s="12"/>
      <c r="F157" s="12"/>
      <c r="G157" s="269">
        <f t="shared" ref="G157:AL157" ca="1" si="219">G150+G151-G156</f>
        <v>0</v>
      </c>
      <c r="H157" s="269">
        <f ca="1">H150+H151-H156</f>
        <v>865861.26000913954</v>
      </c>
      <c r="I157" s="269">
        <f t="shared" ca="1" si="219"/>
        <v>2060053.6802972774</v>
      </c>
      <c r="J157" s="269">
        <f t="shared" ca="1" si="219"/>
        <v>3261929.5705746878</v>
      </c>
      <c r="K157" s="269">
        <f t="shared" ca="1" si="219"/>
        <v>4471538.3665186297</v>
      </c>
      <c r="L157" s="269">
        <f t="shared" ca="1" si="219"/>
        <v>5688929.8218769999</v>
      </c>
      <c r="M157" s="269">
        <f t="shared" ca="1" si="219"/>
        <v>6914154.0105148051</v>
      </c>
      <c r="N157" s="269">
        <f t="shared" ca="1" si="219"/>
        <v>8147261.3284738138</v>
      </c>
      <c r="O157" s="269">
        <f t="shared" ca="1" si="219"/>
        <v>9388302.496045433</v>
      </c>
      <c r="P157" s="269">
        <f t="shared" ca="1" si="219"/>
        <v>10015007.596575864</v>
      </c>
      <c r="Q157" s="269">
        <f t="shared" ca="1" si="219"/>
        <v>10639952.4533008</v>
      </c>
      <c r="R157" s="269">
        <f t="shared" ca="1" si="219"/>
        <v>11262070.35278148</v>
      </c>
      <c r="S157" s="269">
        <f t="shared" ca="1" si="219"/>
        <v>11882063.23896376</v>
      </c>
      <c r="T157" s="269">
        <f t="shared" ca="1" si="219"/>
        <v>12499778.944469778</v>
      </c>
      <c r="U157" s="269">
        <f t="shared" ca="1" si="219"/>
        <v>13039069.868731469</v>
      </c>
      <c r="V157" s="269">
        <f t="shared" ca="1" si="219"/>
        <v>13228302.275133725</v>
      </c>
      <c r="W157" s="269">
        <f t="shared" ca="1" si="219"/>
        <v>13379662.77038233</v>
      </c>
      <c r="X157" s="269">
        <f t="shared" ca="1" si="219"/>
        <v>13523048.166514343</v>
      </c>
      <c r="Y157" s="269">
        <f t="shared" ca="1" si="219"/>
        <v>13657073.864739366</v>
      </c>
      <c r="Z157" s="269">
        <f t="shared" ca="1" si="219"/>
        <v>13777121.529354604</v>
      </c>
      <c r="AA157" s="269">
        <f t="shared" ca="1" si="219"/>
        <v>13885329.858709665</v>
      </c>
      <c r="AB157" s="269">
        <f t="shared" ca="1" si="219"/>
        <v>13984615.797996372</v>
      </c>
      <c r="AC157" s="269">
        <f t="shared" ca="1" si="219"/>
        <v>14076931.471991254</v>
      </c>
      <c r="AD157" s="269">
        <f t="shared" ca="1" si="219"/>
        <v>14161939.076081065</v>
      </c>
      <c r="AE157" s="269">
        <f t="shared" ca="1" si="219"/>
        <v>14239999.999999886</v>
      </c>
      <c r="AF157" s="269">
        <f t="shared" ca="1" si="219"/>
        <v>14240000.000000179</v>
      </c>
      <c r="AG157" s="269">
        <f t="shared" ca="1" si="219"/>
        <v>14240000.000000557</v>
      </c>
      <c r="AH157" s="269">
        <f t="shared" ca="1" si="219"/>
        <v>14240000.000001026</v>
      </c>
      <c r="AI157" s="269">
        <f t="shared" ca="1" si="219"/>
        <v>14240000.000001596</v>
      </c>
      <c r="AJ157" s="269">
        <f t="shared" ca="1" si="219"/>
        <v>14240000.000002248</v>
      </c>
      <c r="AK157" s="269">
        <f t="shared" ca="1" si="219"/>
        <v>14240000.000002993</v>
      </c>
      <c r="AL157" s="269">
        <f t="shared" ca="1" si="219"/>
        <v>14240000.000003835</v>
      </c>
      <c r="AM157" s="269">
        <f t="shared" ref="AM157:BR157" ca="1" si="220">AM150+AM151-AM156</f>
        <v>14240000.000004761</v>
      </c>
      <c r="AN157" s="269">
        <f t="shared" ca="1" si="220"/>
        <v>14240000.000005748</v>
      </c>
      <c r="AO157" s="269">
        <f t="shared" ca="1" si="220"/>
        <v>14240000.00000673</v>
      </c>
      <c r="AP157" s="269">
        <f t="shared" ca="1" si="220"/>
        <v>14240000.000007631</v>
      </c>
      <c r="AQ157" s="269">
        <f t="shared" ca="1" si="220"/>
        <v>14700000.000008298</v>
      </c>
      <c r="AR157" s="269">
        <f t="shared" ca="1" si="220"/>
        <v>14700000.000008525</v>
      </c>
      <c r="AS157" s="269">
        <f t="shared" ca="1" si="220"/>
        <v>14700000.000008071</v>
      </c>
      <c r="AT157" s="269">
        <f t="shared" ca="1" si="220"/>
        <v>14700000.000006625</v>
      </c>
      <c r="AU157" s="269">
        <f t="shared" ca="1" si="220"/>
        <v>14700000.000003867</v>
      </c>
      <c r="AV157" s="269">
        <f t="shared" ca="1" si="220"/>
        <v>14699999.99999951</v>
      </c>
      <c r="AW157" s="269">
        <f t="shared" ca="1" si="220"/>
        <v>14699999.999993352</v>
      </c>
      <c r="AX157" s="269">
        <f t="shared" ca="1" si="220"/>
        <v>14699999.99998535</v>
      </c>
      <c r="AY157" s="269">
        <f t="shared" ca="1" si="220"/>
        <v>14699999.999975668</v>
      </c>
      <c r="AZ157" s="269">
        <f t="shared" ca="1" si="220"/>
        <v>14699999.999964612</v>
      </c>
      <c r="BA157" s="269">
        <f t="shared" ca="1" si="220"/>
        <v>14699999.999952612</v>
      </c>
      <c r="BB157" s="269">
        <f t="shared" ca="1" si="220"/>
        <v>14699999.999940043</v>
      </c>
      <c r="BC157" s="269">
        <f t="shared" ca="1" si="220"/>
        <v>0</v>
      </c>
      <c r="BD157" s="269">
        <f t="shared" ca="1" si="220"/>
        <v>0</v>
      </c>
      <c r="BE157" s="269">
        <f t="shared" ca="1" si="220"/>
        <v>0</v>
      </c>
      <c r="BF157" s="269">
        <f t="shared" ca="1" si="220"/>
        <v>0</v>
      </c>
      <c r="BG157" s="269">
        <f t="shared" ca="1" si="220"/>
        <v>0</v>
      </c>
      <c r="BH157" s="269">
        <f t="shared" ca="1" si="220"/>
        <v>0</v>
      </c>
      <c r="BI157" s="269">
        <f t="shared" ca="1" si="220"/>
        <v>0</v>
      </c>
      <c r="BJ157" s="269">
        <f t="shared" ca="1" si="220"/>
        <v>0</v>
      </c>
      <c r="BK157" s="269">
        <f t="shared" ca="1" si="220"/>
        <v>0</v>
      </c>
      <c r="BL157" s="269">
        <f t="shared" ca="1" si="220"/>
        <v>0</v>
      </c>
      <c r="BM157" s="269">
        <f t="shared" ca="1" si="220"/>
        <v>0</v>
      </c>
      <c r="BN157" s="269">
        <f t="shared" ca="1" si="220"/>
        <v>0</v>
      </c>
      <c r="BO157" s="269">
        <f t="shared" ca="1" si="220"/>
        <v>0</v>
      </c>
      <c r="BP157" s="269">
        <f t="shared" ca="1" si="220"/>
        <v>0</v>
      </c>
      <c r="BQ157" s="269">
        <f t="shared" ca="1" si="220"/>
        <v>0</v>
      </c>
      <c r="BR157" s="269">
        <f t="shared" ca="1" si="220"/>
        <v>0</v>
      </c>
      <c r="BS157" s="269">
        <f t="shared" ref="BS157:CA157" ca="1" si="221">BS150+BS151-BS156</f>
        <v>0</v>
      </c>
      <c r="BT157" s="269">
        <f t="shared" ca="1" si="221"/>
        <v>0</v>
      </c>
      <c r="BU157" s="269">
        <f t="shared" ca="1" si="221"/>
        <v>0</v>
      </c>
      <c r="BV157" s="269">
        <f t="shared" ca="1" si="221"/>
        <v>0</v>
      </c>
      <c r="BW157" s="269">
        <f t="shared" ca="1" si="221"/>
        <v>0</v>
      </c>
      <c r="BX157" s="269">
        <f t="shared" ca="1" si="221"/>
        <v>0</v>
      </c>
      <c r="BY157" s="269">
        <f t="shared" ca="1" si="221"/>
        <v>0</v>
      </c>
      <c r="BZ157" s="269">
        <f t="shared" ca="1" si="221"/>
        <v>0</v>
      </c>
      <c r="CA157" s="269">
        <f t="shared" ca="1" si="221"/>
        <v>0</v>
      </c>
    </row>
    <row r="158" spans="2:79">
      <c r="B158" s="25" t="s">
        <v>619</v>
      </c>
      <c r="G158" s="136"/>
      <c r="H158" s="136"/>
      <c r="I158" s="136"/>
      <c r="J158" s="136"/>
      <c r="K158" s="136"/>
      <c r="L158" s="136"/>
      <c r="M158" s="136"/>
      <c r="N158" s="136"/>
      <c r="O158" s="136"/>
      <c r="P158" s="136"/>
      <c r="Q158" s="136"/>
      <c r="R158" s="136"/>
      <c r="S158" s="136"/>
      <c r="T158" s="136"/>
      <c r="U158" s="136"/>
      <c r="V158" s="136"/>
      <c r="W158" s="450">
        <f t="shared" ref="W158:BB158" ca="1" si="222">W86/W153</f>
        <v>0.21437768709700053</v>
      </c>
      <c r="X158" s="450">
        <f t="shared" ca="1" si="222"/>
        <v>0.31590720015382928</v>
      </c>
      <c r="Y158" s="450">
        <f t="shared" ca="1" si="222"/>
        <v>0.43073387708496119</v>
      </c>
      <c r="Z158" s="450">
        <f t="shared" ca="1" si="222"/>
        <v>0.54774930435658764</v>
      </c>
      <c r="AA158" s="450">
        <f t="shared" ca="1" si="222"/>
        <v>0.68525288365442638</v>
      </c>
      <c r="AB158" s="450">
        <f t="shared" ca="1" si="222"/>
        <v>0.78757728571408736</v>
      </c>
      <c r="AC158" s="450">
        <f t="shared" ca="1" si="222"/>
        <v>0.8665522248112546</v>
      </c>
      <c r="AD158" s="450">
        <f t="shared" ca="1" si="222"/>
        <v>0.94811586092709244</v>
      </c>
      <c r="AE158" s="450">
        <f t="shared" ca="1" si="222"/>
        <v>1.024665297330045</v>
      </c>
      <c r="AF158" s="450">
        <f t="shared" ca="1" si="222"/>
        <v>1.2016632862749059</v>
      </c>
      <c r="AG158" s="450">
        <f t="shared" ca="1" si="222"/>
        <v>1.2921138020335194</v>
      </c>
      <c r="AH158" s="450">
        <f t="shared" ca="1" si="222"/>
        <v>1.3679284289788149</v>
      </c>
      <c r="AI158" s="450">
        <f t="shared" ca="1" si="222"/>
        <v>1.459986195567307</v>
      </c>
      <c r="AJ158" s="450">
        <f t="shared" ca="1" si="222"/>
        <v>1.5485882529474992</v>
      </c>
      <c r="AK158" s="450">
        <f t="shared" ca="1" si="222"/>
        <v>1.7641281621800333</v>
      </c>
      <c r="AL158" s="450">
        <f t="shared" ca="1" si="222"/>
        <v>1.8707730476083475</v>
      </c>
      <c r="AM158" s="450">
        <f t="shared" ca="1" si="222"/>
        <v>1.9422904253172923</v>
      </c>
      <c r="AN158" s="450">
        <f t="shared" ca="1" si="222"/>
        <v>1.7165599323449372</v>
      </c>
      <c r="AO158" s="450">
        <f t="shared" ca="1" si="222"/>
        <v>1.7234747016000593</v>
      </c>
      <c r="AP158" s="450">
        <f t="shared" ca="1" si="222"/>
        <v>1.7207466199001469</v>
      </c>
      <c r="AQ158" s="450">
        <f t="shared" ca="1" si="222"/>
        <v>1.8145506344443152</v>
      </c>
      <c r="AR158" s="450">
        <f t="shared" ca="1" si="222"/>
        <v>1.785953590056421</v>
      </c>
      <c r="AS158" s="450">
        <f t="shared" ca="1" si="222"/>
        <v>1.8150322753594652</v>
      </c>
      <c r="AT158" s="450">
        <f t="shared" ca="1" si="222"/>
        <v>1.8464812412236975</v>
      </c>
      <c r="AU158" s="450">
        <f t="shared" ca="1" si="222"/>
        <v>1.8815455438019839</v>
      </c>
      <c r="AV158" s="450">
        <f t="shared" ca="1" si="222"/>
        <v>1.9242192518006327</v>
      </c>
      <c r="AW158" s="450">
        <f t="shared" ca="1" si="222"/>
        <v>1.9513071049923829</v>
      </c>
      <c r="AX158" s="450">
        <f t="shared" ca="1" si="222"/>
        <v>1.9711749877596911</v>
      </c>
      <c r="AY158" s="450">
        <f t="shared" ca="1" si="222"/>
        <v>1.9893333993080198</v>
      </c>
      <c r="AZ158" s="450">
        <f t="shared" ca="1" si="222"/>
        <v>1.9811954637056179</v>
      </c>
      <c r="BA158" s="450">
        <f t="shared" ca="1" si="222"/>
        <v>1.9783385757597864</v>
      </c>
      <c r="BB158" s="450">
        <f t="shared" ca="1" si="222"/>
        <v>1.9671906182644403</v>
      </c>
      <c r="BC158" s="136"/>
      <c r="BD158" s="136"/>
      <c r="BE158" s="136"/>
      <c r="BF158" s="136"/>
      <c r="BG158" s="136"/>
      <c r="BH158" s="136"/>
      <c r="BI158" s="136"/>
      <c r="BJ158" s="136"/>
      <c r="BK158" s="136"/>
      <c r="BL158" s="136"/>
      <c r="BM158" s="136"/>
      <c r="BN158" s="136"/>
      <c r="BO158" s="136"/>
      <c r="BP158" s="136"/>
      <c r="BQ158" s="136"/>
      <c r="BR158" s="136"/>
      <c r="BS158" s="136"/>
      <c r="BT158" s="136"/>
      <c r="BU158" s="136"/>
      <c r="BV158" s="136"/>
      <c r="BW158" s="136"/>
      <c r="BX158" s="136"/>
      <c r="BY158" s="136"/>
      <c r="BZ158" s="136"/>
      <c r="CA158" s="136"/>
    </row>
    <row r="159" spans="2:79">
      <c r="B159" s="27"/>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36"/>
      <c r="AX159" s="136"/>
      <c r="AY159" s="136"/>
      <c r="BA159" s="136"/>
      <c r="BB159" s="136"/>
      <c r="BC159" s="136"/>
      <c r="BD159" s="136"/>
      <c r="BE159" s="136"/>
      <c r="BF159" s="136"/>
      <c r="BG159" s="136"/>
      <c r="BH159" s="136"/>
      <c r="BI159" s="136"/>
      <c r="BJ159" s="136"/>
      <c r="BK159" s="136"/>
      <c r="BL159" s="136"/>
      <c r="BM159" s="136"/>
      <c r="BN159" s="136"/>
      <c r="BO159" s="136"/>
      <c r="BP159" s="136"/>
      <c r="BQ159" s="136"/>
      <c r="BR159" s="136"/>
      <c r="BS159" s="136"/>
      <c r="BT159" s="136"/>
      <c r="BU159" s="136"/>
      <c r="BV159" s="136"/>
      <c r="BW159" s="136"/>
      <c r="BX159" s="136"/>
      <c r="BY159" s="136"/>
      <c r="BZ159" s="136"/>
      <c r="CA159" s="136"/>
    </row>
    <row r="160" spans="2:79">
      <c r="B160" s="632" t="s">
        <v>66</v>
      </c>
      <c r="C160" s="633"/>
      <c r="D160" s="633"/>
      <c r="E160" s="633"/>
      <c r="F160" s="633"/>
      <c r="G160" s="634"/>
      <c r="H160" s="634"/>
      <c r="I160" s="634"/>
      <c r="J160" s="634"/>
      <c r="K160" s="634"/>
      <c r="L160" s="634"/>
      <c r="M160" s="634"/>
      <c r="N160" s="634"/>
      <c r="O160" s="634"/>
      <c r="P160" s="634"/>
      <c r="Q160" s="634"/>
      <c r="R160" s="634"/>
      <c r="S160" s="634"/>
      <c r="T160" s="634"/>
      <c r="U160" s="634"/>
      <c r="V160" s="634"/>
      <c r="W160" s="634"/>
      <c r="X160" s="634"/>
      <c r="Y160" s="634"/>
      <c r="Z160" s="634"/>
      <c r="AA160" s="634"/>
      <c r="AB160" s="634"/>
      <c r="AC160" s="634"/>
      <c r="AD160" s="634"/>
      <c r="AE160" s="634"/>
      <c r="AF160" s="634"/>
      <c r="AG160" s="634"/>
      <c r="AH160" s="634"/>
      <c r="AI160" s="634"/>
      <c r="AJ160" s="634"/>
      <c r="AK160" s="634"/>
      <c r="AL160" s="634"/>
      <c r="AM160" s="634"/>
      <c r="AN160" s="634"/>
      <c r="AO160" s="634"/>
      <c r="AP160" s="634"/>
      <c r="AQ160" s="634"/>
      <c r="AR160" s="634"/>
      <c r="AS160" s="634"/>
      <c r="AT160" s="634"/>
      <c r="AU160" s="634"/>
      <c r="AV160" s="634"/>
      <c r="AW160" s="634"/>
      <c r="AX160" s="634"/>
      <c r="AY160" s="634"/>
      <c r="AZ160" s="634"/>
      <c r="BA160" s="634"/>
      <c r="BB160" s="634"/>
      <c r="BC160" s="634"/>
      <c r="BD160" s="634"/>
      <c r="BE160" s="634"/>
      <c r="BF160" s="634"/>
      <c r="BG160" s="634"/>
      <c r="BH160" s="634"/>
      <c r="BI160" s="634"/>
      <c r="BJ160" s="634"/>
      <c r="BK160" s="634"/>
      <c r="BL160" s="634"/>
      <c r="BM160" s="634"/>
      <c r="BN160" s="634"/>
      <c r="BO160" s="634"/>
      <c r="BP160" s="634"/>
      <c r="BQ160" s="634"/>
      <c r="BR160" s="634"/>
      <c r="BS160" s="634"/>
      <c r="BT160" s="634"/>
      <c r="BU160" s="634"/>
      <c r="BV160" s="634"/>
      <c r="BW160" s="634"/>
      <c r="BX160" s="634"/>
      <c r="BY160" s="634"/>
      <c r="BZ160" s="634"/>
      <c r="CA160" s="634"/>
    </row>
    <row r="161" spans="2:79">
      <c r="B161" s="635" t="s">
        <v>55</v>
      </c>
      <c r="C161" s="633"/>
      <c r="D161" s="633"/>
      <c r="E161" s="634">
        <f ca="1">SUM(G161:CA161)</f>
        <v>-14700000.000000093</v>
      </c>
      <c r="F161" s="633"/>
      <c r="G161" s="634">
        <f t="shared" ref="G161:AL161" ca="1" si="223">-G151</f>
        <v>0</v>
      </c>
      <c r="H161" s="634">
        <f t="shared" ca="1" si="223"/>
        <v>-865861.26000913954</v>
      </c>
      <c r="I161" s="634">
        <f t="shared" ca="1" si="223"/>
        <v>-1194192.4202881528</v>
      </c>
      <c r="J161" s="634">
        <f t="shared" ca="1" si="223"/>
        <v>-1201875.8902774246</v>
      </c>
      <c r="K161" s="634">
        <f t="shared" ca="1" si="223"/>
        <v>-1209608.7959439566</v>
      </c>
      <c r="L161" s="634">
        <f t="shared" ca="1" si="223"/>
        <v>-1217391.4553583849</v>
      </c>
      <c r="M161" s="634">
        <f t="shared" ca="1" si="223"/>
        <v>-1225224.1886378215</v>
      </c>
      <c r="N161" s="634">
        <f t="shared" ca="1" si="223"/>
        <v>-1233107.3179590218</v>
      </c>
      <c r="O161" s="634">
        <f t="shared" ca="1" si="223"/>
        <v>-1241041.1675716355</v>
      </c>
      <c r="P161" s="634">
        <f t="shared" ca="1" si="223"/>
        <v>-626705.10053044604</v>
      </c>
      <c r="Q161" s="634">
        <f t="shared" ca="1" si="223"/>
        <v>-624944.85672495479</v>
      </c>
      <c r="R161" s="634">
        <f t="shared" ca="1" si="223"/>
        <v>-622117.89948070608</v>
      </c>
      <c r="S161" s="634">
        <f t="shared" ca="1" si="223"/>
        <v>-619992.88618231437</v>
      </c>
      <c r="T161" s="634">
        <f t="shared" ca="1" si="223"/>
        <v>-617715.70550605899</v>
      </c>
      <c r="U161" s="634">
        <f t="shared" ca="1" si="223"/>
        <v>-539290.92426173959</v>
      </c>
      <c r="V161" s="634">
        <f t="shared" ca="1" si="223"/>
        <v>-189232.40640230937</v>
      </c>
      <c r="W161" s="634">
        <f t="shared" ca="1" si="223"/>
        <v>-151360.49524866516</v>
      </c>
      <c r="X161" s="634">
        <f t="shared" ca="1" si="223"/>
        <v>-143385.39613207249</v>
      </c>
      <c r="Y161" s="634">
        <f t="shared" ca="1" si="223"/>
        <v>-134025.69822507881</v>
      </c>
      <c r="Z161" s="634">
        <f t="shared" ca="1" si="223"/>
        <v>-120047.66461527895</v>
      </c>
      <c r="AA161" s="634">
        <f t="shared" ca="1" si="223"/>
        <v>-108208.32935508658</v>
      </c>
      <c r="AB161" s="634">
        <f t="shared" ca="1" si="223"/>
        <v>-99285.93928670304</v>
      </c>
      <c r="AC161" s="634">
        <f t="shared" ca="1" si="223"/>
        <v>-92315.673994814162</v>
      </c>
      <c r="AD161" s="634">
        <f t="shared" ca="1" si="223"/>
        <v>-85007.604089692977</v>
      </c>
      <c r="AE161" s="634">
        <f t="shared" ca="1" si="223"/>
        <v>-78060.923918623695</v>
      </c>
      <c r="AF161" s="634">
        <f t="shared" ca="1" si="223"/>
        <v>0</v>
      </c>
      <c r="AG161" s="634">
        <f t="shared" ca="1" si="223"/>
        <v>0</v>
      </c>
      <c r="AH161" s="634">
        <f t="shared" ca="1" si="223"/>
        <v>0</v>
      </c>
      <c r="AI161" s="634">
        <f t="shared" ca="1" si="223"/>
        <v>0</v>
      </c>
      <c r="AJ161" s="634">
        <f t="shared" ca="1" si="223"/>
        <v>0</v>
      </c>
      <c r="AK161" s="634">
        <f t="shared" ca="1" si="223"/>
        <v>0</v>
      </c>
      <c r="AL161" s="634">
        <f t="shared" ca="1" si="223"/>
        <v>0</v>
      </c>
      <c r="AM161" s="634">
        <f t="shared" ref="AM161:BR161" ca="1" si="224">-AM151</f>
        <v>0</v>
      </c>
      <c r="AN161" s="634">
        <f t="shared" ca="1" si="224"/>
        <v>0</v>
      </c>
      <c r="AO161" s="634">
        <f t="shared" ca="1" si="224"/>
        <v>0</v>
      </c>
      <c r="AP161" s="634">
        <f t="shared" ca="1" si="224"/>
        <v>0</v>
      </c>
      <c r="AQ161" s="634">
        <f t="shared" ca="1" si="224"/>
        <v>-460000</v>
      </c>
      <c r="AR161" s="634">
        <f t="shared" ca="1" si="224"/>
        <v>0</v>
      </c>
      <c r="AS161" s="634">
        <f t="shared" ca="1" si="224"/>
        <v>0</v>
      </c>
      <c r="AT161" s="634">
        <f t="shared" ca="1" si="224"/>
        <v>0</v>
      </c>
      <c r="AU161" s="634">
        <f t="shared" ca="1" si="224"/>
        <v>0</v>
      </c>
      <c r="AV161" s="634">
        <f t="shared" ca="1" si="224"/>
        <v>0</v>
      </c>
      <c r="AW161" s="634">
        <f t="shared" ca="1" si="224"/>
        <v>0</v>
      </c>
      <c r="AX161" s="634">
        <f t="shared" ca="1" si="224"/>
        <v>0</v>
      </c>
      <c r="AY161" s="634">
        <f t="shared" ca="1" si="224"/>
        <v>0</v>
      </c>
      <c r="AZ161" s="634">
        <f t="shared" ca="1" si="224"/>
        <v>0</v>
      </c>
      <c r="BA161" s="634">
        <f t="shared" ca="1" si="224"/>
        <v>0</v>
      </c>
      <c r="BB161" s="634">
        <f t="shared" ca="1" si="224"/>
        <v>0</v>
      </c>
      <c r="BC161" s="634">
        <f t="shared" ca="1" si="224"/>
        <v>0</v>
      </c>
      <c r="BD161" s="634">
        <f t="shared" ca="1" si="224"/>
        <v>0</v>
      </c>
      <c r="BE161" s="634">
        <f t="shared" ca="1" si="224"/>
        <v>0</v>
      </c>
      <c r="BF161" s="634">
        <f t="shared" ca="1" si="224"/>
        <v>0</v>
      </c>
      <c r="BG161" s="634">
        <f t="shared" ca="1" si="224"/>
        <v>0</v>
      </c>
      <c r="BH161" s="634">
        <f t="shared" ca="1" si="224"/>
        <v>0</v>
      </c>
      <c r="BI161" s="634">
        <f t="shared" ca="1" si="224"/>
        <v>0</v>
      </c>
      <c r="BJ161" s="634">
        <f t="shared" ca="1" si="224"/>
        <v>0</v>
      </c>
      <c r="BK161" s="634">
        <f t="shared" ca="1" si="224"/>
        <v>0</v>
      </c>
      <c r="BL161" s="634">
        <f t="shared" ca="1" si="224"/>
        <v>0</v>
      </c>
      <c r="BM161" s="634">
        <f t="shared" ca="1" si="224"/>
        <v>0</v>
      </c>
      <c r="BN161" s="634">
        <f t="shared" ca="1" si="224"/>
        <v>0</v>
      </c>
      <c r="BO161" s="634">
        <f t="shared" ca="1" si="224"/>
        <v>0</v>
      </c>
      <c r="BP161" s="634">
        <f t="shared" ca="1" si="224"/>
        <v>0</v>
      </c>
      <c r="BQ161" s="634">
        <f t="shared" ca="1" si="224"/>
        <v>0</v>
      </c>
      <c r="BR161" s="634">
        <f t="shared" ca="1" si="224"/>
        <v>0</v>
      </c>
      <c r="BS161" s="634">
        <f t="shared" ref="BS161:CA161" ca="1" si="225">-BS151</f>
        <v>0</v>
      </c>
      <c r="BT161" s="634">
        <f t="shared" ca="1" si="225"/>
        <v>0</v>
      </c>
      <c r="BU161" s="634">
        <f t="shared" ca="1" si="225"/>
        <v>0</v>
      </c>
      <c r="BV161" s="634">
        <f t="shared" ca="1" si="225"/>
        <v>0</v>
      </c>
      <c r="BW161" s="634">
        <f t="shared" ca="1" si="225"/>
        <v>0</v>
      </c>
      <c r="BX161" s="634">
        <f t="shared" ca="1" si="225"/>
        <v>0</v>
      </c>
      <c r="BY161" s="634">
        <f t="shared" ca="1" si="225"/>
        <v>0</v>
      </c>
      <c r="BZ161" s="634">
        <f t="shared" ca="1" si="225"/>
        <v>0</v>
      </c>
      <c r="CA161" s="634">
        <f t="shared" ca="1" si="225"/>
        <v>0</v>
      </c>
    </row>
    <row r="162" spans="2:79">
      <c r="B162" s="635" t="s">
        <v>67</v>
      </c>
      <c r="C162" s="633"/>
      <c r="D162" s="633"/>
      <c r="E162" s="634">
        <f ca="1">SUM(G162:CA162)</f>
        <v>18235838.603812426</v>
      </c>
      <c r="F162" s="633"/>
      <c r="G162" s="634">
        <f>SUM(G154:G156)</f>
        <v>0</v>
      </c>
      <c r="H162" s="634">
        <f t="shared" ref="H162:BS162" ca="1" si="226">SUM(H154:H156)</f>
        <v>0</v>
      </c>
      <c r="I162" s="634">
        <f t="shared" ca="1" si="226"/>
        <v>5570.977417984217</v>
      </c>
      <c r="J162" s="634">
        <f t="shared" ca="1" si="226"/>
        <v>13254.44740725597</v>
      </c>
      <c r="K162" s="634">
        <f t="shared" ca="1" si="226"/>
        <v>20987.353073788006</v>
      </c>
      <c r="L162" s="634">
        <f t="shared" ca="1" si="226"/>
        <v>28770.012488216322</v>
      </c>
      <c r="M162" s="634">
        <f t="shared" ca="1" si="226"/>
        <v>36602.745767652967</v>
      </c>
      <c r="N162" s="634">
        <f t="shared" ca="1" si="226"/>
        <v>44485.875088853143</v>
      </c>
      <c r="O162" s="634">
        <f t="shared" ca="1" si="226"/>
        <v>52419.724701466963</v>
      </c>
      <c r="P162" s="634">
        <f t="shared" ca="1" si="226"/>
        <v>60404.620941376583</v>
      </c>
      <c r="Q162" s="634">
        <f t="shared" ca="1" si="226"/>
        <v>64436.860428282074</v>
      </c>
      <c r="R162" s="634">
        <f t="shared" ca="1" si="226"/>
        <v>68457.77445354205</v>
      </c>
      <c r="S162" s="634">
        <f t="shared" ca="1" si="226"/>
        <v>72460.499750772782</v>
      </c>
      <c r="T162" s="634">
        <f t="shared" ca="1" si="226"/>
        <v>76449.552648457451</v>
      </c>
      <c r="U162" s="634">
        <f t="shared" ca="1" si="226"/>
        <v>80423.954097105132</v>
      </c>
      <c r="V162" s="634">
        <f t="shared" ca="1" si="226"/>
        <v>83893.768141856417</v>
      </c>
      <c r="W162" s="634">
        <f t="shared" ca="1" si="226"/>
        <v>85111.29514243688</v>
      </c>
      <c r="X162" s="634">
        <f t="shared" ca="1" si="226"/>
        <v>86085.153126331439</v>
      </c>
      <c r="Y162" s="634">
        <f t="shared" ca="1" si="226"/>
        <v>87007.699082379608</v>
      </c>
      <c r="Z162" s="634">
        <f t="shared" ca="1" si="226"/>
        <v>87870.024460273737</v>
      </c>
      <c r="AA162" s="634">
        <f t="shared" ca="1" si="226"/>
        <v>88642.414749043863</v>
      </c>
      <c r="AB162" s="634">
        <f t="shared" ca="1" si="226"/>
        <v>89338.630398267691</v>
      </c>
      <c r="AC162" s="634">
        <f t="shared" ca="1" si="226"/>
        <v>89977.439121138741</v>
      </c>
      <c r="AD162" s="634">
        <f t="shared" ca="1" si="226"/>
        <v>90571.400947247399</v>
      </c>
      <c r="AE162" s="634">
        <f t="shared" ca="1" si="226"/>
        <v>91118.342431541008</v>
      </c>
      <c r="AF162" s="634">
        <f t="shared" ca="1" si="226"/>
        <v>83300.311165675477</v>
      </c>
      <c r="AG162" s="634">
        <f t="shared" ca="1" si="226"/>
        <v>83300.311165677689</v>
      </c>
      <c r="AH162" s="634">
        <f t="shared" ca="1" si="226"/>
        <v>83300.311165680439</v>
      </c>
      <c r="AI162" s="634">
        <f t="shared" ca="1" si="226"/>
        <v>83300.311165683772</v>
      </c>
      <c r="AJ162" s="634">
        <f t="shared" ca="1" si="226"/>
        <v>83300.311165687584</v>
      </c>
      <c r="AK162" s="634">
        <f t="shared" ca="1" si="226"/>
        <v>83300.31116569195</v>
      </c>
      <c r="AL162" s="634">
        <f t="shared" ca="1" si="226"/>
        <v>83300.311165696869</v>
      </c>
      <c r="AM162" s="634">
        <f t="shared" ca="1" si="226"/>
        <v>83300.311165702282</v>
      </c>
      <c r="AN162" s="634">
        <f t="shared" ca="1" si="226"/>
        <v>83300.311165708059</v>
      </c>
      <c r="AO162" s="634">
        <f t="shared" ca="1" si="226"/>
        <v>83300.311165713807</v>
      </c>
      <c r="AP162" s="634">
        <f t="shared" ca="1" si="226"/>
        <v>83300.311165719075</v>
      </c>
      <c r="AQ162" s="634">
        <f t="shared" ca="1" si="226"/>
        <v>83300.311165722975</v>
      </c>
      <c r="AR162" s="634">
        <f t="shared" ca="1" si="226"/>
        <v>85991.192003941323</v>
      </c>
      <c r="AS162" s="634">
        <f t="shared" ca="1" si="226"/>
        <v>85991.19200393866</v>
      </c>
      <c r="AT162" s="634">
        <f t="shared" ca="1" si="226"/>
        <v>85991.192003930206</v>
      </c>
      <c r="AU162" s="634">
        <f t="shared" ca="1" si="226"/>
        <v>85991.192003914068</v>
      </c>
      <c r="AV162" s="634">
        <f t="shared" ca="1" si="226"/>
        <v>85991.192003888587</v>
      </c>
      <c r="AW162" s="634">
        <f t="shared" ca="1" si="226"/>
        <v>85991.192003852557</v>
      </c>
      <c r="AX162" s="634">
        <f t="shared" ca="1" si="226"/>
        <v>85991.192003805758</v>
      </c>
      <c r="AY162" s="634">
        <f t="shared" ca="1" si="226"/>
        <v>85991.192003749107</v>
      </c>
      <c r="AZ162" s="634">
        <f t="shared" ca="1" si="226"/>
        <v>85991.192003684439</v>
      </c>
      <c r="BA162" s="634">
        <f t="shared" ca="1" si="226"/>
        <v>85991.19200361424</v>
      </c>
      <c r="BB162" s="634">
        <f t="shared" ca="1" si="226"/>
        <v>85991.192003540724</v>
      </c>
      <c r="BC162" s="634">
        <f t="shared" ca="1" si="226"/>
        <v>14785991.191930614</v>
      </c>
      <c r="BD162" s="634">
        <f t="shared" ca="1" si="226"/>
        <v>0</v>
      </c>
      <c r="BE162" s="634">
        <f t="shared" ca="1" si="226"/>
        <v>0</v>
      </c>
      <c r="BF162" s="634">
        <f t="shared" ca="1" si="226"/>
        <v>0</v>
      </c>
      <c r="BG162" s="634">
        <f t="shared" ca="1" si="226"/>
        <v>0</v>
      </c>
      <c r="BH162" s="634">
        <f t="shared" ca="1" si="226"/>
        <v>0</v>
      </c>
      <c r="BI162" s="634">
        <f t="shared" ca="1" si="226"/>
        <v>0</v>
      </c>
      <c r="BJ162" s="634">
        <f t="shared" ca="1" si="226"/>
        <v>0</v>
      </c>
      <c r="BK162" s="634">
        <f t="shared" ca="1" si="226"/>
        <v>0</v>
      </c>
      <c r="BL162" s="634">
        <f t="shared" ca="1" si="226"/>
        <v>0</v>
      </c>
      <c r="BM162" s="634">
        <f t="shared" ca="1" si="226"/>
        <v>0</v>
      </c>
      <c r="BN162" s="634">
        <f t="shared" ca="1" si="226"/>
        <v>0</v>
      </c>
      <c r="BO162" s="634">
        <f t="shared" ca="1" si="226"/>
        <v>0</v>
      </c>
      <c r="BP162" s="634">
        <f t="shared" ca="1" si="226"/>
        <v>0</v>
      </c>
      <c r="BQ162" s="634">
        <f t="shared" ca="1" si="226"/>
        <v>0</v>
      </c>
      <c r="BR162" s="634">
        <f t="shared" ca="1" si="226"/>
        <v>0</v>
      </c>
      <c r="BS162" s="634">
        <f t="shared" ca="1" si="226"/>
        <v>0</v>
      </c>
      <c r="BT162" s="634">
        <f t="shared" ref="BT162:CA162" ca="1" si="227">SUM(BT154:BT156)</f>
        <v>0</v>
      </c>
      <c r="BU162" s="634">
        <f t="shared" ca="1" si="227"/>
        <v>0</v>
      </c>
      <c r="BV162" s="634">
        <f t="shared" ca="1" si="227"/>
        <v>0</v>
      </c>
      <c r="BW162" s="634">
        <f t="shared" ca="1" si="227"/>
        <v>0</v>
      </c>
      <c r="BX162" s="634">
        <f t="shared" ca="1" si="227"/>
        <v>0</v>
      </c>
      <c r="BY162" s="634">
        <f t="shared" ca="1" si="227"/>
        <v>0</v>
      </c>
      <c r="BZ162" s="634">
        <f t="shared" ca="1" si="227"/>
        <v>0</v>
      </c>
      <c r="CA162" s="634">
        <f t="shared" ca="1" si="227"/>
        <v>0</v>
      </c>
    </row>
    <row r="163" spans="2:79">
      <c r="B163" s="636" t="s">
        <v>68</v>
      </c>
      <c r="C163" s="636"/>
      <c r="D163" s="636"/>
      <c r="E163" s="637">
        <f ca="1">SUM(G163:CA163)</f>
        <v>3535838.6038123202</v>
      </c>
      <c r="F163" s="636"/>
      <c r="G163" s="637">
        <f ca="1">SUM(G161:G162)</f>
        <v>0</v>
      </c>
      <c r="H163" s="637">
        <f t="shared" ref="H163:BS163" ca="1" si="228">SUM(H161:H162)</f>
        <v>-865861.26000913954</v>
      </c>
      <c r="I163" s="637">
        <f t="shared" ca="1" si="228"/>
        <v>-1188621.4428701685</v>
      </c>
      <c r="J163" s="637">
        <f t="shared" ca="1" si="228"/>
        <v>-1188621.4428701687</v>
      </c>
      <c r="K163" s="637">
        <f t="shared" ca="1" si="228"/>
        <v>-1188621.4428701685</v>
      </c>
      <c r="L163" s="637">
        <f t="shared" ca="1" si="228"/>
        <v>-1188621.4428701685</v>
      </c>
      <c r="M163" s="637">
        <f t="shared" ca="1" si="228"/>
        <v>-1188621.4428701685</v>
      </c>
      <c r="N163" s="637">
        <f t="shared" ca="1" si="228"/>
        <v>-1188621.4428701687</v>
      </c>
      <c r="O163" s="637">
        <f t="shared" ca="1" si="228"/>
        <v>-1188621.4428701685</v>
      </c>
      <c r="P163" s="637">
        <f t="shared" ca="1" si="228"/>
        <v>-566300.47958906949</v>
      </c>
      <c r="Q163" s="637">
        <f t="shared" ca="1" si="228"/>
        <v>-560507.99629667273</v>
      </c>
      <c r="R163" s="637">
        <f t="shared" ca="1" si="228"/>
        <v>-553660.125027164</v>
      </c>
      <c r="S163" s="637">
        <f t="shared" ca="1" si="228"/>
        <v>-547532.38643154153</v>
      </c>
      <c r="T163" s="637">
        <f t="shared" ca="1" si="228"/>
        <v>-541266.15285760153</v>
      </c>
      <c r="U163" s="637">
        <f t="shared" ca="1" si="228"/>
        <v>-458866.97016463446</v>
      </c>
      <c r="V163" s="637">
        <f t="shared" ca="1" si="228"/>
        <v>-105338.63826045295</v>
      </c>
      <c r="W163" s="637">
        <f t="shared" ca="1" si="228"/>
        <v>-66249.20010622828</v>
      </c>
      <c r="X163" s="637">
        <f t="shared" ca="1" si="228"/>
        <v>-57300.243005741053</v>
      </c>
      <c r="Y163" s="637">
        <f t="shared" ca="1" si="228"/>
        <v>-47017.999142699206</v>
      </c>
      <c r="Z163" s="637">
        <f t="shared" ca="1" si="228"/>
        <v>-32177.640155005211</v>
      </c>
      <c r="AA163" s="637">
        <f t="shared" ca="1" si="228"/>
        <v>-19565.914606042716</v>
      </c>
      <c r="AB163" s="637">
        <f t="shared" ca="1" si="228"/>
        <v>-9947.3088884353492</v>
      </c>
      <c r="AC163" s="637">
        <f t="shared" ca="1" si="228"/>
        <v>-2338.2348736754211</v>
      </c>
      <c r="AD163" s="637">
        <f t="shared" ca="1" si="228"/>
        <v>5563.7968575544219</v>
      </c>
      <c r="AE163" s="637">
        <f t="shared" ca="1" si="228"/>
        <v>13057.418512917313</v>
      </c>
      <c r="AF163" s="637">
        <f t="shared" ca="1" si="228"/>
        <v>83300.311165675477</v>
      </c>
      <c r="AG163" s="637">
        <f t="shared" ca="1" si="228"/>
        <v>83300.311165677689</v>
      </c>
      <c r="AH163" s="637">
        <f t="shared" ca="1" si="228"/>
        <v>83300.311165680439</v>
      </c>
      <c r="AI163" s="637">
        <f t="shared" ca="1" si="228"/>
        <v>83300.311165683772</v>
      </c>
      <c r="AJ163" s="637">
        <f t="shared" ca="1" si="228"/>
        <v>83300.311165687584</v>
      </c>
      <c r="AK163" s="637">
        <f t="shared" ca="1" si="228"/>
        <v>83300.31116569195</v>
      </c>
      <c r="AL163" s="637">
        <f t="shared" ca="1" si="228"/>
        <v>83300.311165696869</v>
      </c>
      <c r="AM163" s="637">
        <f t="shared" ca="1" si="228"/>
        <v>83300.311165702282</v>
      </c>
      <c r="AN163" s="637">
        <f t="shared" ca="1" si="228"/>
        <v>83300.311165708059</v>
      </c>
      <c r="AO163" s="637">
        <f t="shared" ca="1" si="228"/>
        <v>83300.311165713807</v>
      </c>
      <c r="AP163" s="637">
        <f t="shared" ca="1" si="228"/>
        <v>83300.311165719075</v>
      </c>
      <c r="AQ163" s="637">
        <f t="shared" ca="1" si="228"/>
        <v>-376699.68883427704</v>
      </c>
      <c r="AR163" s="637">
        <f t="shared" ca="1" si="228"/>
        <v>85991.192003941323</v>
      </c>
      <c r="AS163" s="637">
        <f t="shared" ca="1" si="228"/>
        <v>85991.19200393866</v>
      </c>
      <c r="AT163" s="637">
        <f t="shared" ca="1" si="228"/>
        <v>85991.192003930206</v>
      </c>
      <c r="AU163" s="637">
        <f t="shared" ca="1" si="228"/>
        <v>85991.192003914068</v>
      </c>
      <c r="AV163" s="637">
        <f t="shared" ca="1" si="228"/>
        <v>85991.192003888587</v>
      </c>
      <c r="AW163" s="637">
        <f t="shared" ca="1" si="228"/>
        <v>85991.192003852557</v>
      </c>
      <c r="AX163" s="637">
        <f t="shared" ca="1" si="228"/>
        <v>85991.192003805758</v>
      </c>
      <c r="AY163" s="637">
        <f t="shared" ca="1" si="228"/>
        <v>85991.192003749107</v>
      </c>
      <c r="AZ163" s="637">
        <f t="shared" ca="1" si="228"/>
        <v>85991.192003684439</v>
      </c>
      <c r="BA163" s="637">
        <f t="shared" ca="1" si="228"/>
        <v>85991.19200361424</v>
      </c>
      <c r="BB163" s="637">
        <f t="shared" ca="1" si="228"/>
        <v>85991.192003540724</v>
      </c>
      <c r="BC163" s="637">
        <f t="shared" ca="1" si="228"/>
        <v>14785991.191930614</v>
      </c>
      <c r="BD163" s="637">
        <f t="shared" ca="1" si="228"/>
        <v>0</v>
      </c>
      <c r="BE163" s="637">
        <f t="shared" ca="1" si="228"/>
        <v>0</v>
      </c>
      <c r="BF163" s="637">
        <f t="shared" ca="1" si="228"/>
        <v>0</v>
      </c>
      <c r="BG163" s="637">
        <f t="shared" ca="1" si="228"/>
        <v>0</v>
      </c>
      <c r="BH163" s="637">
        <f t="shared" ca="1" si="228"/>
        <v>0</v>
      </c>
      <c r="BI163" s="637">
        <f t="shared" ca="1" si="228"/>
        <v>0</v>
      </c>
      <c r="BJ163" s="637">
        <f t="shared" ca="1" si="228"/>
        <v>0</v>
      </c>
      <c r="BK163" s="637">
        <f t="shared" ca="1" si="228"/>
        <v>0</v>
      </c>
      <c r="BL163" s="637">
        <f t="shared" ca="1" si="228"/>
        <v>0</v>
      </c>
      <c r="BM163" s="637">
        <f t="shared" ca="1" si="228"/>
        <v>0</v>
      </c>
      <c r="BN163" s="637">
        <f t="shared" ca="1" si="228"/>
        <v>0</v>
      </c>
      <c r="BO163" s="637">
        <f t="shared" ca="1" si="228"/>
        <v>0</v>
      </c>
      <c r="BP163" s="637">
        <f t="shared" ca="1" si="228"/>
        <v>0</v>
      </c>
      <c r="BQ163" s="637">
        <f t="shared" ca="1" si="228"/>
        <v>0</v>
      </c>
      <c r="BR163" s="637">
        <f t="shared" ca="1" si="228"/>
        <v>0</v>
      </c>
      <c r="BS163" s="637">
        <f t="shared" ca="1" si="228"/>
        <v>0</v>
      </c>
      <c r="BT163" s="637">
        <f t="shared" ref="BT163:CA163" ca="1" si="229">SUM(BT161:BT162)</f>
        <v>0</v>
      </c>
      <c r="BU163" s="637">
        <f t="shared" ca="1" si="229"/>
        <v>0</v>
      </c>
      <c r="BV163" s="637">
        <f t="shared" ca="1" si="229"/>
        <v>0</v>
      </c>
      <c r="BW163" s="637">
        <f t="shared" ca="1" si="229"/>
        <v>0</v>
      </c>
      <c r="BX163" s="637">
        <f t="shared" ca="1" si="229"/>
        <v>0</v>
      </c>
      <c r="BY163" s="637">
        <f t="shared" ca="1" si="229"/>
        <v>0</v>
      </c>
      <c r="BZ163" s="637">
        <f t="shared" ca="1" si="229"/>
        <v>0</v>
      </c>
      <c r="CA163" s="637">
        <f t="shared" ca="1" si="229"/>
        <v>0</v>
      </c>
    </row>
    <row r="164" spans="2:79">
      <c r="B164" s="635" t="s">
        <v>69</v>
      </c>
      <c r="C164" s="633"/>
      <c r="D164" s="633"/>
      <c r="E164" s="633"/>
      <c r="F164" s="633"/>
      <c r="G164" s="634"/>
      <c r="H164" s="634"/>
      <c r="I164" s="634"/>
      <c r="J164" s="634"/>
      <c r="K164" s="634"/>
      <c r="L164" s="634"/>
      <c r="M164" s="634"/>
      <c r="N164" s="634"/>
      <c r="O164" s="634"/>
      <c r="P164" s="634"/>
      <c r="Q164" s="634"/>
      <c r="R164" s="634"/>
      <c r="S164" s="634"/>
      <c r="T164" s="634"/>
      <c r="U164" s="634"/>
      <c r="V164" s="634"/>
      <c r="W164" s="634"/>
      <c r="X164" s="634"/>
      <c r="Y164" s="634"/>
      <c r="Z164" s="634"/>
      <c r="AA164" s="634"/>
      <c r="AB164" s="634"/>
      <c r="AC164" s="634"/>
      <c r="AD164" s="634"/>
      <c r="AE164" s="634"/>
      <c r="AF164" s="634"/>
      <c r="AG164" s="634"/>
      <c r="AH164" s="634"/>
      <c r="AI164" s="634"/>
      <c r="AJ164" s="634"/>
      <c r="AK164" s="634"/>
      <c r="AL164" s="634"/>
      <c r="AM164" s="634"/>
      <c r="AN164" s="634"/>
      <c r="AO164" s="634"/>
      <c r="AP164" s="634"/>
      <c r="AQ164" s="634"/>
      <c r="AR164" s="634"/>
      <c r="AS164" s="634"/>
      <c r="AT164" s="634"/>
      <c r="AU164" s="634"/>
      <c r="AV164" s="634"/>
      <c r="AW164" s="634"/>
      <c r="AX164" s="634"/>
      <c r="AY164" s="634"/>
      <c r="AZ164" s="634"/>
      <c r="BA164" s="634"/>
      <c r="BB164" s="634"/>
      <c r="BC164" s="634"/>
      <c r="BD164" s="634"/>
      <c r="BE164" s="634"/>
      <c r="BF164" s="634"/>
      <c r="BG164" s="634"/>
      <c r="BH164" s="634"/>
      <c r="BI164" s="634"/>
      <c r="BJ164" s="634"/>
      <c r="BK164" s="634"/>
      <c r="BL164" s="634"/>
      <c r="BM164" s="634"/>
      <c r="BN164" s="634"/>
      <c r="BO164" s="634"/>
      <c r="BP164" s="634"/>
      <c r="BQ164" s="634"/>
      <c r="BR164" s="634"/>
      <c r="BS164" s="634"/>
      <c r="BT164" s="634"/>
      <c r="BU164" s="634"/>
      <c r="BV164" s="634"/>
      <c r="BW164" s="634"/>
      <c r="BX164" s="634"/>
      <c r="BY164" s="634"/>
      <c r="BZ164" s="634"/>
      <c r="CA164" s="634"/>
    </row>
    <row r="165" spans="2:79">
      <c r="B165" s="638">
        <f ca="1">(1+IRR(G165:CA165,0.01))^12-1</f>
        <v>7.574495747852672E-2</v>
      </c>
      <c r="C165" s="633"/>
      <c r="D165" s="633"/>
      <c r="E165" s="634">
        <f ca="1">SUM(G165:CA165)</f>
        <v>3535838.6038123202</v>
      </c>
      <c r="F165" s="633"/>
      <c r="G165" s="634">
        <f t="shared" ref="G165:AL165" ca="1" si="230">-G151+G153+G156</f>
        <v>0</v>
      </c>
      <c r="H165" s="634">
        <f t="shared" ca="1" si="230"/>
        <v>-865861.26000913954</v>
      </c>
      <c r="I165" s="634">
        <f t="shared" ca="1" si="230"/>
        <v>-1188621.4428701685</v>
      </c>
      <c r="J165" s="634">
        <f t="shared" ca="1" si="230"/>
        <v>-1188621.4428701687</v>
      </c>
      <c r="K165" s="634">
        <f t="shared" ca="1" si="230"/>
        <v>-1188621.4428701685</v>
      </c>
      <c r="L165" s="634">
        <f t="shared" ca="1" si="230"/>
        <v>-1188621.4428701685</v>
      </c>
      <c r="M165" s="634">
        <f t="shared" ca="1" si="230"/>
        <v>-1188621.4428701685</v>
      </c>
      <c r="N165" s="634">
        <f t="shared" ca="1" si="230"/>
        <v>-1188621.4428701687</v>
      </c>
      <c r="O165" s="634">
        <f t="shared" ca="1" si="230"/>
        <v>-1188621.4428701685</v>
      </c>
      <c r="P165" s="634">
        <f t="shared" ca="1" si="230"/>
        <v>-566300.47958906949</v>
      </c>
      <c r="Q165" s="634">
        <f t="shared" ca="1" si="230"/>
        <v>-560507.99629667273</v>
      </c>
      <c r="R165" s="634">
        <f t="shared" ca="1" si="230"/>
        <v>-553660.125027164</v>
      </c>
      <c r="S165" s="634">
        <f t="shared" ca="1" si="230"/>
        <v>-547532.38643154153</v>
      </c>
      <c r="T165" s="634">
        <f t="shared" ca="1" si="230"/>
        <v>-541266.15285760153</v>
      </c>
      <c r="U165" s="634">
        <f t="shared" ca="1" si="230"/>
        <v>-458866.97016463446</v>
      </c>
      <c r="V165" s="634">
        <f t="shared" ca="1" si="230"/>
        <v>-105338.63826045295</v>
      </c>
      <c r="W165" s="634">
        <f t="shared" ca="1" si="230"/>
        <v>-66249.20010622828</v>
      </c>
      <c r="X165" s="634">
        <f t="shared" ca="1" si="230"/>
        <v>-57300.243005741053</v>
      </c>
      <c r="Y165" s="634">
        <f t="shared" ca="1" si="230"/>
        <v>-47017.999142699206</v>
      </c>
      <c r="Z165" s="634">
        <f t="shared" ca="1" si="230"/>
        <v>-32177.640155005211</v>
      </c>
      <c r="AA165" s="634">
        <f t="shared" ca="1" si="230"/>
        <v>-19565.914606042716</v>
      </c>
      <c r="AB165" s="634">
        <f t="shared" ca="1" si="230"/>
        <v>-9947.3088884353492</v>
      </c>
      <c r="AC165" s="634">
        <f t="shared" ca="1" si="230"/>
        <v>-2338.2348736754211</v>
      </c>
      <c r="AD165" s="634">
        <f t="shared" ca="1" si="230"/>
        <v>5563.7968575544219</v>
      </c>
      <c r="AE165" s="634">
        <f t="shared" ca="1" si="230"/>
        <v>13057.418512917313</v>
      </c>
      <c r="AF165" s="634">
        <f t="shared" ca="1" si="230"/>
        <v>83300.311165675477</v>
      </c>
      <c r="AG165" s="634">
        <f t="shared" ca="1" si="230"/>
        <v>83300.311165677689</v>
      </c>
      <c r="AH165" s="634">
        <f t="shared" ca="1" si="230"/>
        <v>83300.311165680439</v>
      </c>
      <c r="AI165" s="634">
        <f t="shared" ca="1" si="230"/>
        <v>83300.311165683772</v>
      </c>
      <c r="AJ165" s="634">
        <f t="shared" ca="1" si="230"/>
        <v>83300.311165687584</v>
      </c>
      <c r="AK165" s="634">
        <f t="shared" ca="1" si="230"/>
        <v>83300.31116569195</v>
      </c>
      <c r="AL165" s="634">
        <f t="shared" ca="1" si="230"/>
        <v>83300.311165696869</v>
      </c>
      <c r="AM165" s="634">
        <f t="shared" ref="AM165:BR165" ca="1" si="231">-AM151+AM153+AM156</f>
        <v>83300.311165702282</v>
      </c>
      <c r="AN165" s="634">
        <f t="shared" ca="1" si="231"/>
        <v>83300.311165708059</v>
      </c>
      <c r="AO165" s="634">
        <f t="shared" ca="1" si="231"/>
        <v>83300.311165713807</v>
      </c>
      <c r="AP165" s="634">
        <f t="shared" ca="1" si="231"/>
        <v>83300.311165719075</v>
      </c>
      <c r="AQ165" s="634">
        <f t="shared" ca="1" si="231"/>
        <v>-376699.68883427704</v>
      </c>
      <c r="AR165" s="634">
        <f t="shared" ca="1" si="231"/>
        <v>85991.192003941323</v>
      </c>
      <c r="AS165" s="634">
        <f t="shared" ca="1" si="231"/>
        <v>85991.19200393866</v>
      </c>
      <c r="AT165" s="634">
        <f t="shared" ca="1" si="231"/>
        <v>85991.192003930206</v>
      </c>
      <c r="AU165" s="634">
        <f t="shared" ca="1" si="231"/>
        <v>85991.192003914068</v>
      </c>
      <c r="AV165" s="634">
        <f t="shared" ca="1" si="231"/>
        <v>85991.192003888587</v>
      </c>
      <c r="AW165" s="634">
        <f t="shared" ca="1" si="231"/>
        <v>85991.192003852557</v>
      </c>
      <c r="AX165" s="634">
        <f t="shared" ca="1" si="231"/>
        <v>85991.192003805758</v>
      </c>
      <c r="AY165" s="634">
        <f t="shared" ca="1" si="231"/>
        <v>85991.192003749107</v>
      </c>
      <c r="AZ165" s="634">
        <f t="shared" ca="1" si="231"/>
        <v>85991.192003684439</v>
      </c>
      <c r="BA165" s="634">
        <f t="shared" ca="1" si="231"/>
        <v>85991.19200361424</v>
      </c>
      <c r="BB165" s="634">
        <f t="shared" ca="1" si="231"/>
        <v>85991.192003540724</v>
      </c>
      <c r="BC165" s="634">
        <f t="shared" ca="1" si="231"/>
        <v>14785991.191930614</v>
      </c>
      <c r="BD165" s="634">
        <f t="shared" ca="1" si="231"/>
        <v>0</v>
      </c>
      <c r="BE165" s="634">
        <f t="shared" ca="1" si="231"/>
        <v>0</v>
      </c>
      <c r="BF165" s="634">
        <f t="shared" ca="1" si="231"/>
        <v>0</v>
      </c>
      <c r="BG165" s="634">
        <f t="shared" ca="1" si="231"/>
        <v>0</v>
      </c>
      <c r="BH165" s="634">
        <f t="shared" ca="1" si="231"/>
        <v>0</v>
      </c>
      <c r="BI165" s="634">
        <f t="shared" ca="1" si="231"/>
        <v>0</v>
      </c>
      <c r="BJ165" s="634">
        <f t="shared" ca="1" si="231"/>
        <v>0</v>
      </c>
      <c r="BK165" s="634">
        <f t="shared" ca="1" si="231"/>
        <v>0</v>
      </c>
      <c r="BL165" s="634">
        <f t="shared" ca="1" si="231"/>
        <v>0</v>
      </c>
      <c r="BM165" s="634">
        <f t="shared" ca="1" si="231"/>
        <v>0</v>
      </c>
      <c r="BN165" s="634">
        <f t="shared" ca="1" si="231"/>
        <v>0</v>
      </c>
      <c r="BO165" s="634">
        <f t="shared" ca="1" si="231"/>
        <v>0</v>
      </c>
      <c r="BP165" s="634">
        <f t="shared" ca="1" si="231"/>
        <v>0</v>
      </c>
      <c r="BQ165" s="634">
        <f t="shared" ca="1" si="231"/>
        <v>0</v>
      </c>
      <c r="BR165" s="634">
        <f t="shared" ca="1" si="231"/>
        <v>0</v>
      </c>
      <c r="BS165" s="634">
        <f t="shared" ref="BS165:CA165" ca="1" si="232">-BS151+BS153+BS156</f>
        <v>0</v>
      </c>
      <c r="BT165" s="634">
        <f t="shared" ca="1" si="232"/>
        <v>0</v>
      </c>
      <c r="BU165" s="634">
        <f t="shared" ca="1" si="232"/>
        <v>0</v>
      </c>
      <c r="BV165" s="634">
        <f t="shared" ca="1" si="232"/>
        <v>0</v>
      </c>
      <c r="BW165" s="634">
        <f t="shared" ca="1" si="232"/>
        <v>0</v>
      </c>
      <c r="BX165" s="634">
        <f t="shared" ca="1" si="232"/>
        <v>0</v>
      </c>
      <c r="BY165" s="634">
        <f t="shared" ca="1" si="232"/>
        <v>0</v>
      </c>
      <c r="BZ165" s="634">
        <f t="shared" ca="1" si="232"/>
        <v>0</v>
      </c>
      <c r="CA165" s="634">
        <f t="shared" ca="1" si="232"/>
        <v>0</v>
      </c>
    </row>
    <row r="166" spans="2:79">
      <c r="B166" s="639" t="s">
        <v>70</v>
      </c>
      <c r="C166" s="640">
        <f ca="1">(1+IRR(G163:CA163,0.01))^12-1</f>
        <v>7.5744957478794506E-2</v>
      </c>
      <c r="D166" s="640"/>
      <c r="E166" s="641"/>
      <c r="F166" s="633"/>
      <c r="G166" s="634"/>
      <c r="H166" s="634"/>
      <c r="I166" s="634"/>
      <c r="J166" s="634"/>
      <c r="K166" s="634"/>
      <c r="L166" s="634"/>
      <c r="M166" s="634"/>
      <c r="N166" s="634"/>
      <c r="O166" s="634"/>
      <c r="P166" s="634"/>
      <c r="Q166" s="634"/>
      <c r="R166" s="634"/>
      <c r="S166" s="634"/>
      <c r="T166" s="634"/>
      <c r="U166" s="634"/>
      <c r="V166" s="634"/>
      <c r="W166" s="634"/>
      <c r="X166" s="634"/>
      <c r="Y166" s="634"/>
      <c r="Z166" s="634"/>
      <c r="AA166" s="634"/>
      <c r="AB166" s="634"/>
      <c r="AC166" s="634"/>
      <c r="AD166" s="634"/>
      <c r="AE166" s="634"/>
      <c r="AF166" s="634"/>
      <c r="AG166" s="634"/>
      <c r="AH166" s="634"/>
      <c r="AI166" s="634"/>
      <c r="AJ166" s="634"/>
      <c r="AK166" s="634"/>
      <c r="AL166" s="634"/>
      <c r="AM166" s="634"/>
      <c r="AN166" s="634"/>
      <c r="AO166" s="634"/>
      <c r="AP166" s="634"/>
      <c r="AQ166" s="634"/>
      <c r="AR166" s="634"/>
      <c r="AS166" s="634"/>
      <c r="AT166" s="634"/>
      <c r="AU166" s="634"/>
      <c r="AV166" s="634"/>
      <c r="AW166" s="634"/>
      <c r="AX166" s="634"/>
      <c r="AY166" s="634"/>
      <c r="AZ166" s="634"/>
      <c r="BA166" s="634"/>
      <c r="BB166" s="634"/>
      <c r="BC166" s="634"/>
      <c r="BD166" s="634"/>
      <c r="BE166" s="634"/>
      <c r="BF166" s="634"/>
      <c r="BG166" s="634"/>
      <c r="BH166" s="634"/>
      <c r="BI166" s="634"/>
      <c r="BJ166" s="634"/>
      <c r="BK166" s="634"/>
      <c r="BL166" s="634"/>
      <c r="BM166" s="634"/>
      <c r="BN166" s="634"/>
      <c r="BO166" s="634"/>
      <c r="BP166" s="634"/>
      <c r="BQ166" s="634"/>
      <c r="BR166" s="634"/>
      <c r="BS166" s="634"/>
      <c r="BT166" s="634"/>
      <c r="BU166" s="634"/>
      <c r="BV166" s="634"/>
      <c r="BW166" s="634"/>
      <c r="BX166" s="634"/>
      <c r="BY166" s="634"/>
      <c r="BZ166" s="634"/>
      <c r="CA166" s="634"/>
    </row>
    <row r="167" spans="2:79">
      <c r="B167" s="2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36"/>
      <c r="AX167" s="136"/>
      <c r="AY167" s="136"/>
      <c r="AZ167" s="136"/>
      <c r="BA167" s="136"/>
      <c r="BB167" s="136"/>
      <c r="BC167" s="136"/>
      <c r="BD167" s="136"/>
      <c r="BE167" s="136"/>
      <c r="BF167" s="136"/>
      <c r="BG167" s="136"/>
      <c r="BH167" s="136"/>
      <c r="BI167" s="136"/>
      <c r="BJ167" s="136"/>
      <c r="BK167" s="136"/>
      <c r="BL167" s="136"/>
      <c r="BM167" s="136"/>
      <c r="BN167" s="136"/>
      <c r="BO167" s="136"/>
      <c r="BP167" s="136"/>
      <c r="BQ167" s="136"/>
      <c r="BR167" s="136"/>
      <c r="BS167" s="136"/>
      <c r="BT167" s="136"/>
      <c r="BU167" s="136"/>
      <c r="BV167" s="136"/>
      <c r="BW167" s="136"/>
      <c r="BX167" s="136"/>
      <c r="BY167" s="136"/>
      <c r="BZ167" s="136"/>
      <c r="CA167" s="136"/>
    </row>
    <row r="168" spans="2:79" s="1041" customFormat="1">
      <c r="B168" s="1053" t="s">
        <v>71</v>
      </c>
      <c r="C168" s="1045"/>
      <c r="D168" s="1045"/>
      <c r="E168" s="1048">
        <f ca="1">SUM(G168:CA168)</f>
        <v>25273559.38126735</v>
      </c>
      <c r="F168" s="1045"/>
      <c r="G168" s="1048">
        <f t="shared" ref="G168:AL168" ca="1" si="233">G143+G151-G154-G156</f>
        <v>0</v>
      </c>
      <c r="H168" s="1048">
        <f t="shared" ca="1" si="233"/>
        <v>0</v>
      </c>
      <c r="I168" s="1048">
        <f t="shared" ca="1" si="233"/>
        <v>0</v>
      </c>
      <c r="J168" s="1048">
        <f t="shared" ca="1" si="233"/>
        <v>0</v>
      </c>
      <c r="K168" s="1048">
        <f t="shared" ca="1" si="233"/>
        <v>0</v>
      </c>
      <c r="L168" s="1048">
        <f t="shared" ca="1" si="233"/>
        <v>0</v>
      </c>
      <c r="M168" s="1048">
        <f t="shared" ca="1" si="233"/>
        <v>0</v>
      </c>
      <c r="N168" s="1048">
        <f t="shared" ca="1" si="233"/>
        <v>0</v>
      </c>
      <c r="O168" s="1048">
        <f t="shared" ca="1" si="233"/>
        <v>0</v>
      </c>
      <c r="P168" s="1048">
        <f t="shared" ca="1" si="233"/>
        <v>0</v>
      </c>
      <c r="Q168" s="1048">
        <f t="shared" ca="1" si="233"/>
        <v>0</v>
      </c>
      <c r="R168" s="1048">
        <f t="shared" ca="1" si="233"/>
        <v>0</v>
      </c>
      <c r="S168" s="1048">
        <f t="shared" ca="1" si="233"/>
        <v>0</v>
      </c>
      <c r="T168" s="1048">
        <f t="shared" ca="1" si="233"/>
        <v>0</v>
      </c>
      <c r="U168" s="1048">
        <f t="shared" ca="1" si="233"/>
        <v>132618.31297400902</v>
      </c>
      <c r="V168" s="1048">
        <f t="shared" ca="1" si="233"/>
        <v>-3.637978807091713E-12</v>
      </c>
      <c r="W168" s="1048">
        <f t="shared" ca="1" si="233"/>
        <v>-5.4569682106375694E-12</v>
      </c>
      <c r="X168" s="1048">
        <f t="shared" ca="1" si="233"/>
        <v>0</v>
      </c>
      <c r="Y168" s="1048">
        <f t="shared" ca="1" si="233"/>
        <v>7.2759576141834259E-12</v>
      </c>
      <c r="Z168" s="1048">
        <f t="shared" ca="1" si="233"/>
        <v>0</v>
      </c>
      <c r="AA168" s="1048">
        <f t="shared" ca="1" si="233"/>
        <v>0</v>
      </c>
      <c r="AB168" s="1048">
        <f t="shared" ca="1" si="233"/>
        <v>0</v>
      </c>
      <c r="AC168" s="1048">
        <f t="shared" ca="1" si="233"/>
        <v>0</v>
      </c>
      <c r="AD168" s="1048">
        <f t="shared" ca="1" si="233"/>
        <v>0</v>
      </c>
      <c r="AE168" s="1048">
        <f t="shared" ca="1" si="233"/>
        <v>0</v>
      </c>
      <c r="AF168" s="1048">
        <f t="shared" ca="1" si="233"/>
        <v>7206.008742708349</v>
      </c>
      <c r="AG168" s="1048">
        <f t="shared" ca="1" si="233"/>
        <v>173151.06485049735</v>
      </c>
      <c r="AH168" s="1048">
        <f t="shared" ca="1" si="233"/>
        <v>21055.94686595122</v>
      </c>
      <c r="AI168" s="1048">
        <f t="shared" ca="1" si="233"/>
        <v>28724.387467991735</v>
      </c>
      <c r="AJ168" s="1048">
        <f t="shared" ca="1" si="233"/>
        <v>36104.966417683609</v>
      </c>
      <c r="AK168" s="1048">
        <f t="shared" ca="1" si="233"/>
        <v>54059.507925381084</v>
      </c>
      <c r="AL168" s="1048">
        <f t="shared" ca="1" si="233"/>
        <v>62943.060065793499</v>
      </c>
      <c r="AM168" s="1048">
        <f t="shared" ref="AM168:BR168" ca="1" si="234">AM143+AM151-AM154-AM156</f>
        <v>68900.479882708387</v>
      </c>
      <c r="AN168" s="1048">
        <f t="shared" ca="1" si="234"/>
        <v>50097.059578527958</v>
      </c>
      <c r="AO168" s="1048">
        <f t="shared" ca="1" si="234"/>
        <v>50673.062009122877</v>
      </c>
      <c r="AP168" s="1048">
        <f t="shared" ca="1" si="234"/>
        <v>50445.81195463847</v>
      </c>
      <c r="AQ168" s="1048">
        <f t="shared" ca="1" si="234"/>
        <v>58259.715554764538</v>
      </c>
      <c r="AR168" s="1048">
        <f t="shared" ca="1" si="234"/>
        <v>57992.480314044675</v>
      </c>
      <c r="AS168" s="1048">
        <f t="shared" ca="1" si="234"/>
        <v>60492.991125158762</v>
      </c>
      <c r="AT168" s="1048">
        <f t="shared" ca="1" si="234"/>
        <v>63197.325187108116</v>
      </c>
      <c r="AU168" s="1048">
        <f t="shared" ca="1" si="234"/>
        <v>66212.546362587222</v>
      </c>
      <c r="AV168" s="1048">
        <f t="shared" ca="1" si="234"/>
        <v>69882.10938059444</v>
      </c>
      <c r="AW168" s="1048">
        <f t="shared" ca="1" si="234"/>
        <v>72211.42616534511</v>
      </c>
      <c r="AX168" s="1048">
        <f t="shared" ca="1" si="234"/>
        <v>73919.889087053292</v>
      </c>
      <c r="AY168" s="1048">
        <f t="shared" ca="1" si="234"/>
        <v>75481.352540933702</v>
      </c>
      <c r="AZ168" s="1048">
        <f t="shared" ca="1" si="234"/>
        <v>74781.561757969961</v>
      </c>
      <c r="BA168" s="1048">
        <f t="shared" ca="1" si="234"/>
        <v>74535.894558018277</v>
      </c>
      <c r="BB168" s="1048">
        <f t="shared" ca="1" si="234"/>
        <v>73577.268404516741</v>
      </c>
      <c r="BC168" s="1048">
        <f t="shared" ca="1" si="234"/>
        <v>23717035.152080566</v>
      </c>
      <c r="BD168" s="1048">
        <f t="shared" ca="1" si="234"/>
        <v>0</v>
      </c>
      <c r="BE168" s="1048">
        <f t="shared" ca="1" si="234"/>
        <v>0</v>
      </c>
      <c r="BF168" s="1048">
        <f t="shared" ca="1" si="234"/>
        <v>0</v>
      </c>
      <c r="BG168" s="1048">
        <f t="shared" ca="1" si="234"/>
        <v>0</v>
      </c>
      <c r="BH168" s="1048">
        <f t="shared" ca="1" si="234"/>
        <v>0</v>
      </c>
      <c r="BI168" s="1048">
        <f t="shared" ca="1" si="234"/>
        <v>0</v>
      </c>
      <c r="BJ168" s="1048">
        <f t="shared" ca="1" si="234"/>
        <v>0</v>
      </c>
      <c r="BK168" s="1048">
        <f t="shared" ca="1" si="234"/>
        <v>0</v>
      </c>
      <c r="BL168" s="1048">
        <f t="shared" ca="1" si="234"/>
        <v>0</v>
      </c>
      <c r="BM168" s="1048">
        <f t="shared" ca="1" si="234"/>
        <v>0</v>
      </c>
      <c r="BN168" s="1048">
        <f t="shared" ca="1" si="234"/>
        <v>0</v>
      </c>
      <c r="BO168" s="1048">
        <f t="shared" ca="1" si="234"/>
        <v>0</v>
      </c>
      <c r="BP168" s="1048">
        <f t="shared" ca="1" si="234"/>
        <v>0</v>
      </c>
      <c r="BQ168" s="1048">
        <f t="shared" ca="1" si="234"/>
        <v>0</v>
      </c>
      <c r="BR168" s="1048">
        <f t="shared" ca="1" si="234"/>
        <v>0</v>
      </c>
      <c r="BS168" s="1048">
        <f t="shared" ref="BS168:CA168" ca="1" si="235">BS143+BS151-BS154-BS156</f>
        <v>0</v>
      </c>
      <c r="BT168" s="1048">
        <f t="shared" ca="1" si="235"/>
        <v>0</v>
      </c>
      <c r="BU168" s="1048">
        <f t="shared" ca="1" si="235"/>
        <v>0</v>
      </c>
      <c r="BV168" s="1048">
        <f t="shared" ca="1" si="235"/>
        <v>0</v>
      </c>
      <c r="BW168" s="1048">
        <f t="shared" ca="1" si="235"/>
        <v>0</v>
      </c>
      <c r="BX168" s="1048">
        <f t="shared" ca="1" si="235"/>
        <v>0</v>
      </c>
      <c r="BY168" s="1048">
        <f t="shared" ca="1" si="235"/>
        <v>0</v>
      </c>
      <c r="BZ168" s="1048">
        <f t="shared" ca="1" si="235"/>
        <v>0</v>
      </c>
      <c r="CA168" s="1048">
        <f t="shared" ca="1" si="235"/>
        <v>0</v>
      </c>
    </row>
    <row r="169" spans="2:79" s="1041" customFormat="1">
      <c r="B169" s="23" t="s">
        <v>967</v>
      </c>
      <c r="E169" s="1040">
        <f ca="1">SUM(G169:CA169)</f>
        <v>0</v>
      </c>
      <c r="G169" s="1044">
        <f ca="1">G144+G151</f>
        <v>0</v>
      </c>
      <c r="H169" s="1044">
        <f t="shared" ref="H169:BS169" ca="1" si="236">H144+H151</f>
        <v>0</v>
      </c>
      <c r="I169" s="1044">
        <f t="shared" ca="1" si="236"/>
        <v>0</v>
      </c>
      <c r="J169" s="1044">
        <f t="shared" ca="1" si="236"/>
        <v>0</v>
      </c>
      <c r="K169" s="1044">
        <f t="shared" ca="1" si="236"/>
        <v>0</v>
      </c>
      <c r="L169" s="1044">
        <f t="shared" ca="1" si="236"/>
        <v>0</v>
      </c>
      <c r="M169" s="1044">
        <f t="shared" ca="1" si="236"/>
        <v>0</v>
      </c>
      <c r="N169" s="1044">
        <f t="shared" ca="1" si="236"/>
        <v>0</v>
      </c>
      <c r="O169" s="1044">
        <f t="shared" ca="1" si="236"/>
        <v>0</v>
      </c>
      <c r="P169" s="1044">
        <f t="shared" ca="1" si="236"/>
        <v>0</v>
      </c>
      <c r="Q169" s="1044">
        <f t="shared" ca="1" si="236"/>
        <v>0</v>
      </c>
      <c r="R169" s="1044">
        <f t="shared" ca="1" si="236"/>
        <v>0</v>
      </c>
      <c r="S169" s="1044">
        <f t="shared" ca="1" si="236"/>
        <v>0</v>
      </c>
      <c r="T169" s="1044">
        <f t="shared" ca="1" si="236"/>
        <v>0</v>
      </c>
      <c r="U169" s="1044">
        <f t="shared" ca="1" si="236"/>
        <v>0</v>
      </c>
      <c r="V169" s="1044">
        <f t="shared" ca="1" si="236"/>
        <v>0</v>
      </c>
      <c r="W169" s="1044">
        <f t="shared" ca="1" si="236"/>
        <v>0</v>
      </c>
      <c r="X169" s="1044">
        <f t="shared" ca="1" si="236"/>
        <v>0</v>
      </c>
      <c r="Y169" s="1044">
        <f t="shared" ca="1" si="236"/>
        <v>0</v>
      </c>
      <c r="Z169" s="1044">
        <f t="shared" ca="1" si="236"/>
        <v>0</v>
      </c>
      <c r="AA169" s="1044">
        <f t="shared" ca="1" si="236"/>
        <v>0</v>
      </c>
      <c r="AB169" s="1044">
        <f t="shared" ca="1" si="236"/>
        <v>0</v>
      </c>
      <c r="AC169" s="1044">
        <f t="shared" ca="1" si="236"/>
        <v>0</v>
      </c>
      <c r="AD169" s="1044">
        <f t="shared" ca="1" si="236"/>
        <v>0</v>
      </c>
      <c r="AE169" s="1044">
        <f t="shared" ca="1" si="236"/>
        <v>0</v>
      </c>
      <c r="AF169" s="1044">
        <f t="shared" ca="1" si="236"/>
        <v>0</v>
      </c>
      <c r="AG169" s="1044">
        <f t="shared" ca="1" si="236"/>
        <v>0</v>
      </c>
      <c r="AH169" s="1044">
        <f t="shared" ca="1" si="236"/>
        <v>0</v>
      </c>
      <c r="AI169" s="1044">
        <f t="shared" ca="1" si="236"/>
        <v>0</v>
      </c>
      <c r="AJ169" s="1044">
        <f t="shared" ca="1" si="236"/>
        <v>0</v>
      </c>
      <c r="AK169" s="1044">
        <f t="shared" ca="1" si="236"/>
        <v>0</v>
      </c>
      <c r="AL169" s="1044">
        <f t="shared" ca="1" si="236"/>
        <v>0</v>
      </c>
      <c r="AM169" s="1044">
        <f t="shared" ca="1" si="236"/>
        <v>0</v>
      </c>
      <c r="AN169" s="1044">
        <f t="shared" ca="1" si="236"/>
        <v>0</v>
      </c>
      <c r="AO169" s="1044">
        <f t="shared" ca="1" si="236"/>
        <v>0</v>
      </c>
      <c r="AP169" s="1044">
        <f t="shared" ca="1" si="236"/>
        <v>0</v>
      </c>
      <c r="AQ169" s="1044">
        <f t="shared" ca="1" si="236"/>
        <v>0</v>
      </c>
      <c r="AR169" s="1044">
        <f t="shared" ca="1" si="236"/>
        <v>0</v>
      </c>
      <c r="AS169" s="1044">
        <f t="shared" ca="1" si="236"/>
        <v>0</v>
      </c>
      <c r="AT169" s="1044">
        <f t="shared" ca="1" si="236"/>
        <v>0</v>
      </c>
      <c r="AU169" s="1044">
        <f t="shared" ca="1" si="236"/>
        <v>0</v>
      </c>
      <c r="AV169" s="1044">
        <f t="shared" ca="1" si="236"/>
        <v>0</v>
      </c>
      <c r="AW169" s="1044">
        <f t="shared" ca="1" si="236"/>
        <v>0</v>
      </c>
      <c r="AX169" s="1044">
        <f t="shared" ca="1" si="236"/>
        <v>0</v>
      </c>
      <c r="AY169" s="1044">
        <f t="shared" ca="1" si="236"/>
        <v>0</v>
      </c>
      <c r="AZ169" s="1044">
        <f t="shared" ca="1" si="236"/>
        <v>0</v>
      </c>
      <c r="BA169" s="1044">
        <f t="shared" ca="1" si="236"/>
        <v>0</v>
      </c>
      <c r="BB169" s="1044">
        <f t="shared" ca="1" si="236"/>
        <v>0</v>
      </c>
      <c r="BC169" s="1044">
        <f t="shared" ca="1" si="236"/>
        <v>0</v>
      </c>
      <c r="BD169" s="1044">
        <f t="shared" ca="1" si="236"/>
        <v>0</v>
      </c>
      <c r="BE169" s="1044">
        <f t="shared" ca="1" si="236"/>
        <v>0</v>
      </c>
      <c r="BF169" s="1044">
        <f t="shared" ca="1" si="236"/>
        <v>0</v>
      </c>
      <c r="BG169" s="1044">
        <f t="shared" ca="1" si="236"/>
        <v>0</v>
      </c>
      <c r="BH169" s="1044">
        <f t="shared" ca="1" si="236"/>
        <v>0</v>
      </c>
      <c r="BI169" s="1044">
        <f t="shared" ca="1" si="236"/>
        <v>0</v>
      </c>
      <c r="BJ169" s="1044">
        <f t="shared" ca="1" si="236"/>
        <v>0</v>
      </c>
      <c r="BK169" s="1044">
        <f t="shared" ca="1" si="236"/>
        <v>0</v>
      </c>
      <c r="BL169" s="1044">
        <f t="shared" ca="1" si="236"/>
        <v>0</v>
      </c>
      <c r="BM169" s="1044">
        <f t="shared" ca="1" si="236"/>
        <v>0</v>
      </c>
      <c r="BN169" s="1044">
        <f t="shared" ca="1" si="236"/>
        <v>0</v>
      </c>
      <c r="BO169" s="1044">
        <f t="shared" ca="1" si="236"/>
        <v>0</v>
      </c>
      <c r="BP169" s="1044">
        <f t="shared" ca="1" si="236"/>
        <v>0</v>
      </c>
      <c r="BQ169" s="1044">
        <f t="shared" ca="1" si="236"/>
        <v>0</v>
      </c>
      <c r="BR169" s="1044">
        <f t="shared" ca="1" si="236"/>
        <v>0</v>
      </c>
      <c r="BS169" s="1044">
        <f t="shared" ca="1" si="236"/>
        <v>0</v>
      </c>
      <c r="BT169" s="1044">
        <f t="shared" ref="BT169:CA169" ca="1" si="237">BT144+BT151</f>
        <v>0</v>
      </c>
      <c r="BU169" s="1044">
        <f t="shared" ca="1" si="237"/>
        <v>0</v>
      </c>
      <c r="BV169" s="1044">
        <f t="shared" ca="1" si="237"/>
        <v>0</v>
      </c>
      <c r="BW169" s="1044">
        <f t="shared" ca="1" si="237"/>
        <v>0</v>
      </c>
      <c r="BX169" s="1044">
        <f t="shared" ca="1" si="237"/>
        <v>0</v>
      </c>
      <c r="BY169" s="1044">
        <f t="shared" ca="1" si="237"/>
        <v>0</v>
      </c>
      <c r="BZ169" s="1044">
        <f t="shared" ca="1" si="237"/>
        <v>0</v>
      </c>
      <c r="CA169" s="1044">
        <f t="shared" ca="1" si="237"/>
        <v>0</v>
      </c>
    </row>
    <row r="170" spans="2:79" s="1041" customFormat="1">
      <c r="B170" s="23" t="s">
        <v>968</v>
      </c>
      <c r="E170" s="1044">
        <f t="shared" ref="E170:E171" ca="1" si="238">SUM(G170:CA170)</f>
        <v>1639798.0937647144</v>
      </c>
      <c r="G170" s="1044">
        <f>G145-G154</f>
        <v>0</v>
      </c>
      <c r="H170" s="1044">
        <f t="shared" ref="H170:BS170" ca="1" si="239">H145-H154</f>
        <v>0</v>
      </c>
      <c r="I170" s="1044">
        <f t="shared" ca="1" si="239"/>
        <v>0</v>
      </c>
      <c r="J170" s="1044">
        <f t="shared" ca="1" si="239"/>
        <v>0</v>
      </c>
      <c r="K170" s="1044">
        <f t="shared" ca="1" si="239"/>
        <v>0</v>
      </c>
      <c r="L170" s="1044">
        <f t="shared" ca="1" si="239"/>
        <v>0</v>
      </c>
      <c r="M170" s="1044">
        <f t="shared" ca="1" si="239"/>
        <v>0</v>
      </c>
      <c r="N170" s="1044">
        <f t="shared" ca="1" si="239"/>
        <v>0</v>
      </c>
      <c r="O170" s="1044">
        <f t="shared" ca="1" si="239"/>
        <v>0</v>
      </c>
      <c r="P170" s="1044">
        <f t="shared" ca="1" si="239"/>
        <v>0</v>
      </c>
      <c r="Q170" s="1044">
        <f t="shared" ca="1" si="239"/>
        <v>0</v>
      </c>
      <c r="R170" s="1044">
        <f t="shared" ca="1" si="239"/>
        <v>0</v>
      </c>
      <c r="S170" s="1044">
        <f t="shared" ca="1" si="239"/>
        <v>0</v>
      </c>
      <c r="T170" s="1044">
        <f t="shared" ca="1" si="239"/>
        <v>0</v>
      </c>
      <c r="U170" s="1044">
        <f t="shared" ca="1" si="239"/>
        <v>132618.31297400899</v>
      </c>
      <c r="V170" s="1044">
        <f t="shared" ca="1" si="239"/>
        <v>0</v>
      </c>
      <c r="W170" s="1044">
        <f t="shared" ca="1" si="239"/>
        <v>0</v>
      </c>
      <c r="X170" s="1044">
        <f t="shared" ca="1" si="239"/>
        <v>0</v>
      </c>
      <c r="Y170" s="1044">
        <f t="shared" ca="1" si="239"/>
        <v>0</v>
      </c>
      <c r="Z170" s="1044">
        <f t="shared" ca="1" si="239"/>
        <v>0</v>
      </c>
      <c r="AA170" s="1044">
        <f t="shared" ca="1" si="239"/>
        <v>0</v>
      </c>
      <c r="AB170" s="1044">
        <f t="shared" ca="1" si="239"/>
        <v>0</v>
      </c>
      <c r="AC170" s="1044">
        <f t="shared" ca="1" si="239"/>
        <v>0</v>
      </c>
      <c r="AD170" s="1044">
        <f t="shared" ca="1" si="239"/>
        <v>0</v>
      </c>
      <c r="AE170" s="1044">
        <f t="shared" ca="1" si="239"/>
        <v>0</v>
      </c>
      <c r="AF170" s="1044">
        <f t="shared" ca="1" si="239"/>
        <v>7206.008742708349</v>
      </c>
      <c r="AG170" s="1044">
        <f t="shared" ca="1" si="239"/>
        <v>173151.06485049735</v>
      </c>
      <c r="AH170" s="1044">
        <f t="shared" ca="1" si="239"/>
        <v>21055.94686595122</v>
      </c>
      <c r="AI170" s="1044">
        <f t="shared" ca="1" si="239"/>
        <v>28724.387467991735</v>
      </c>
      <c r="AJ170" s="1044">
        <f t="shared" ca="1" si="239"/>
        <v>36104.966417683609</v>
      </c>
      <c r="AK170" s="1044">
        <f t="shared" ca="1" si="239"/>
        <v>54059.507925381084</v>
      </c>
      <c r="AL170" s="1044">
        <f t="shared" ca="1" si="239"/>
        <v>62943.060065793499</v>
      </c>
      <c r="AM170" s="1044">
        <f t="shared" ca="1" si="239"/>
        <v>68900.479882708387</v>
      </c>
      <c r="AN170" s="1044">
        <f t="shared" ca="1" si="239"/>
        <v>50097.059578527958</v>
      </c>
      <c r="AO170" s="1044">
        <f t="shared" ca="1" si="239"/>
        <v>50673.062009122877</v>
      </c>
      <c r="AP170" s="1044">
        <f t="shared" ca="1" si="239"/>
        <v>50445.81195463847</v>
      </c>
      <c r="AQ170" s="1044">
        <f t="shared" ca="1" si="239"/>
        <v>58259.715554764509</v>
      </c>
      <c r="AR170" s="1044">
        <f t="shared" ca="1" si="239"/>
        <v>57992.480314044675</v>
      </c>
      <c r="AS170" s="1044">
        <f t="shared" ca="1" si="239"/>
        <v>60492.991125158762</v>
      </c>
      <c r="AT170" s="1044">
        <f t="shared" ca="1" si="239"/>
        <v>63197.325187108116</v>
      </c>
      <c r="AU170" s="1044">
        <f t="shared" ca="1" si="239"/>
        <v>66212.546362587222</v>
      </c>
      <c r="AV170" s="1044">
        <f t="shared" ca="1" si="239"/>
        <v>69882.10938059444</v>
      </c>
      <c r="AW170" s="1044">
        <f t="shared" ca="1" si="239"/>
        <v>72211.42616534511</v>
      </c>
      <c r="AX170" s="1044">
        <f t="shared" ca="1" si="239"/>
        <v>73919.889087053292</v>
      </c>
      <c r="AY170" s="1044">
        <f t="shared" ca="1" si="239"/>
        <v>75481.352540933702</v>
      </c>
      <c r="AZ170" s="1044">
        <f t="shared" ca="1" si="239"/>
        <v>74781.561757969961</v>
      </c>
      <c r="BA170" s="1044">
        <f t="shared" ca="1" si="239"/>
        <v>74535.894558018277</v>
      </c>
      <c r="BB170" s="1044">
        <f t="shared" ca="1" si="239"/>
        <v>73577.268404516741</v>
      </c>
      <c r="BC170" s="1044">
        <f t="shared" ca="1" si="239"/>
        <v>83273.864591101476</v>
      </c>
      <c r="BD170" s="1044">
        <f t="shared" ca="1" si="239"/>
        <v>0</v>
      </c>
      <c r="BE170" s="1044">
        <f t="shared" ca="1" si="239"/>
        <v>0</v>
      </c>
      <c r="BF170" s="1044">
        <f t="shared" ca="1" si="239"/>
        <v>0</v>
      </c>
      <c r="BG170" s="1044">
        <f t="shared" ca="1" si="239"/>
        <v>0</v>
      </c>
      <c r="BH170" s="1044">
        <f t="shared" ca="1" si="239"/>
        <v>0</v>
      </c>
      <c r="BI170" s="1044">
        <f t="shared" ca="1" si="239"/>
        <v>0</v>
      </c>
      <c r="BJ170" s="1044">
        <f t="shared" ca="1" si="239"/>
        <v>0</v>
      </c>
      <c r="BK170" s="1044">
        <f t="shared" ca="1" si="239"/>
        <v>0</v>
      </c>
      <c r="BL170" s="1044">
        <f t="shared" ca="1" si="239"/>
        <v>0</v>
      </c>
      <c r="BM170" s="1044">
        <f t="shared" ca="1" si="239"/>
        <v>0</v>
      </c>
      <c r="BN170" s="1044">
        <f t="shared" ca="1" si="239"/>
        <v>0</v>
      </c>
      <c r="BO170" s="1044">
        <f t="shared" ca="1" si="239"/>
        <v>0</v>
      </c>
      <c r="BP170" s="1044">
        <f t="shared" ca="1" si="239"/>
        <v>0</v>
      </c>
      <c r="BQ170" s="1044">
        <f t="shared" ca="1" si="239"/>
        <v>0</v>
      </c>
      <c r="BR170" s="1044">
        <f t="shared" ca="1" si="239"/>
        <v>0</v>
      </c>
      <c r="BS170" s="1044">
        <f t="shared" ca="1" si="239"/>
        <v>0</v>
      </c>
      <c r="BT170" s="1044">
        <f t="shared" ref="BT170:CA170" ca="1" si="240">BT145-BT154</f>
        <v>0</v>
      </c>
      <c r="BU170" s="1044">
        <f t="shared" ca="1" si="240"/>
        <v>0</v>
      </c>
      <c r="BV170" s="1044">
        <f t="shared" ca="1" si="240"/>
        <v>0</v>
      </c>
      <c r="BW170" s="1044">
        <f t="shared" ca="1" si="240"/>
        <v>0</v>
      </c>
      <c r="BX170" s="1044">
        <f t="shared" ca="1" si="240"/>
        <v>0</v>
      </c>
      <c r="BY170" s="1044">
        <f t="shared" ca="1" si="240"/>
        <v>0</v>
      </c>
      <c r="BZ170" s="1044">
        <f t="shared" ca="1" si="240"/>
        <v>0</v>
      </c>
      <c r="CA170" s="1044">
        <f t="shared" ca="1" si="240"/>
        <v>0</v>
      </c>
    </row>
    <row r="171" spans="2:79" s="1041" customFormat="1">
      <c r="B171" s="1050" t="s">
        <v>969</v>
      </c>
      <c r="C171" s="1051"/>
      <c r="D171" s="1051"/>
      <c r="E171" s="1052">
        <f t="shared" ca="1" si="238"/>
        <v>23633761.287502639</v>
      </c>
      <c r="F171" s="1051"/>
      <c r="G171" s="1052">
        <f>G146-G156</f>
        <v>0</v>
      </c>
      <c r="H171" s="1052">
        <f t="shared" ref="H171:BS171" si="241">H146-H156</f>
        <v>0</v>
      </c>
      <c r="I171" s="1052">
        <f t="shared" si="241"/>
        <v>0</v>
      </c>
      <c r="J171" s="1052">
        <f t="shared" si="241"/>
        <v>0</v>
      </c>
      <c r="K171" s="1052">
        <f t="shared" si="241"/>
        <v>0</v>
      </c>
      <c r="L171" s="1052">
        <f t="shared" si="241"/>
        <v>0</v>
      </c>
      <c r="M171" s="1052">
        <f t="shared" si="241"/>
        <v>0</v>
      </c>
      <c r="N171" s="1052">
        <f t="shared" si="241"/>
        <v>0</v>
      </c>
      <c r="O171" s="1052">
        <f t="shared" si="241"/>
        <v>0</v>
      </c>
      <c r="P171" s="1052">
        <f t="shared" si="241"/>
        <v>0</v>
      </c>
      <c r="Q171" s="1052">
        <f t="shared" si="241"/>
        <v>0</v>
      </c>
      <c r="R171" s="1052">
        <f t="shared" si="241"/>
        <v>0</v>
      </c>
      <c r="S171" s="1052">
        <f t="shared" si="241"/>
        <v>0</v>
      </c>
      <c r="T171" s="1052">
        <f t="shared" si="241"/>
        <v>0</v>
      </c>
      <c r="U171" s="1052">
        <f t="shared" si="241"/>
        <v>0</v>
      </c>
      <c r="V171" s="1052">
        <f t="shared" si="241"/>
        <v>0</v>
      </c>
      <c r="W171" s="1052">
        <f t="shared" si="241"/>
        <v>0</v>
      </c>
      <c r="X171" s="1052">
        <f t="shared" si="241"/>
        <v>0</v>
      </c>
      <c r="Y171" s="1052">
        <f t="shared" si="241"/>
        <v>0</v>
      </c>
      <c r="Z171" s="1052">
        <f t="shared" si="241"/>
        <v>0</v>
      </c>
      <c r="AA171" s="1052">
        <f t="shared" si="241"/>
        <v>0</v>
      </c>
      <c r="AB171" s="1052">
        <f t="shared" si="241"/>
        <v>0</v>
      </c>
      <c r="AC171" s="1052">
        <f t="shared" si="241"/>
        <v>0</v>
      </c>
      <c r="AD171" s="1052">
        <f t="shared" si="241"/>
        <v>0</v>
      </c>
      <c r="AE171" s="1052">
        <f t="shared" si="241"/>
        <v>0</v>
      </c>
      <c r="AF171" s="1052">
        <f t="shared" si="241"/>
        <v>0</v>
      </c>
      <c r="AG171" s="1052">
        <f t="shared" si="241"/>
        <v>0</v>
      </c>
      <c r="AH171" s="1052">
        <f t="shared" si="241"/>
        <v>0</v>
      </c>
      <c r="AI171" s="1052">
        <f t="shared" si="241"/>
        <v>0</v>
      </c>
      <c r="AJ171" s="1052">
        <f t="shared" si="241"/>
        <v>0</v>
      </c>
      <c r="AK171" s="1052">
        <f t="shared" si="241"/>
        <v>0</v>
      </c>
      <c r="AL171" s="1052">
        <f t="shared" si="241"/>
        <v>0</v>
      </c>
      <c r="AM171" s="1052">
        <f t="shared" si="241"/>
        <v>0</v>
      </c>
      <c r="AN171" s="1052">
        <f t="shared" si="241"/>
        <v>0</v>
      </c>
      <c r="AO171" s="1052">
        <f t="shared" si="241"/>
        <v>0</v>
      </c>
      <c r="AP171" s="1052">
        <f t="shared" si="241"/>
        <v>0</v>
      </c>
      <c r="AQ171" s="1052">
        <f t="shared" si="241"/>
        <v>0</v>
      </c>
      <c r="AR171" s="1052">
        <f t="shared" si="241"/>
        <v>0</v>
      </c>
      <c r="AS171" s="1052">
        <f t="shared" si="241"/>
        <v>0</v>
      </c>
      <c r="AT171" s="1052">
        <f t="shared" si="241"/>
        <v>0</v>
      </c>
      <c r="AU171" s="1052">
        <f t="shared" si="241"/>
        <v>0</v>
      </c>
      <c r="AV171" s="1052">
        <f t="shared" si="241"/>
        <v>0</v>
      </c>
      <c r="AW171" s="1052">
        <f t="shared" si="241"/>
        <v>0</v>
      </c>
      <c r="AX171" s="1052">
        <f t="shared" si="241"/>
        <v>0</v>
      </c>
      <c r="AY171" s="1052">
        <f t="shared" si="241"/>
        <v>0</v>
      </c>
      <c r="AZ171" s="1052">
        <f t="shared" si="241"/>
        <v>0</v>
      </c>
      <c r="BA171" s="1052">
        <f t="shared" si="241"/>
        <v>0</v>
      </c>
      <c r="BB171" s="1052">
        <f t="shared" si="241"/>
        <v>0</v>
      </c>
      <c r="BC171" s="1052">
        <f t="shared" ca="1" si="241"/>
        <v>23633761.287489466</v>
      </c>
      <c r="BD171" s="1052">
        <f t="shared" si="241"/>
        <v>0</v>
      </c>
      <c r="BE171" s="1052">
        <f t="shared" si="241"/>
        <v>0</v>
      </c>
      <c r="BF171" s="1052">
        <f t="shared" si="241"/>
        <v>0</v>
      </c>
      <c r="BG171" s="1052">
        <f t="shared" si="241"/>
        <v>0</v>
      </c>
      <c r="BH171" s="1052">
        <f t="shared" si="241"/>
        <v>0</v>
      </c>
      <c r="BI171" s="1052">
        <f t="shared" si="241"/>
        <v>0</v>
      </c>
      <c r="BJ171" s="1052">
        <f t="shared" si="241"/>
        <v>0</v>
      </c>
      <c r="BK171" s="1052">
        <f t="shared" si="241"/>
        <v>0</v>
      </c>
      <c r="BL171" s="1052">
        <f t="shared" si="241"/>
        <v>0</v>
      </c>
      <c r="BM171" s="1052">
        <f t="shared" si="241"/>
        <v>0</v>
      </c>
      <c r="BN171" s="1052">
        <f t="shared" si="241"/>
        <v>0</v>
      </c>
      <c r="BO171" s="1052">
        <f t="shared" si="241"/>
        <v>0</v>
      </c>
      <c r="BP171" s="1052">
        <f t="shared" si="241"/>
        <v>0</v>
      </c>
      <c r="BQ171" s="1052">
        <f t="shared" si="241"/>
        <v>0</v>
      </c>
      <c r="BR171" s="1052">
        <f t="shared" si="241"/>
        <v>0</v>
      </c>
      <c r="BS171" s="1052">
        <f t="shared" si="241"/>
        <v>0</v>
      </c>
      <c r="BT171" s="1052">
        <f t="shared" ref="BT171:CA171" si="242">BT146-BT156</f>
        <v>0</v>
      </c>
      <c r="BU171" s="1052">
        <f t="shared" si="242"/>
        <v>0</v>
      </c>
      <c r="BV171" s="1052">
        <f t="shared" si="242"/>
        <v>0</v>
      </c>
      <c r="BW171" s="1052">
        <f t="shared" si="242"/>
        <v>0</v>
      </c>
      <c r="BX171" s="1052">
        <f t="shared" si="242"/>
        <v>0</v>
      </c>
      <c r="BY171" s="1052">
        <f t="shared" si="242"/>
        <v>0</v>
      </c>
      <c r="BZ171" s="1052">
        <f t="shared" si="242"/>
        <v>0</v>
      </c>
      <c r="CA171" s="1052">
        <f t="shared" si="242"/>
        <v>0</v>
      </c>
    </row>
    <row r="172" spans="2:79">
      <c r="B172" s="288"/>
      <c r="E172" s="266"/>
      <c r="G172" s="266"/>
      <c r="H172" s="266"/>
      <c r="I172" s="266"/>
      <c r="J172" s="266"/>
      <c r="K172" s="266"/>
      <c r="L172" s="266"/>
      <c r="M172" s="266"/>
      <c r="N172" s="266"/>
      <c r="O172" s="266"/>
      <c r="P172" s="266"/>
      <c r="Q172" s="266"/>
      <c r="R172" s="266"/>
      <c r="S172" s="266"/>
      <c r="T172" s="266"/>
      <c r="U172" s="266"/>
      <c r="V172" s="266"/>
      <c r="W172" s="266"/>
      <c r="X172" s="266"/>
      <c r="Y172" s="266"/>
      <c r="Z172" s="266"/>
      <c r="AA172" s="266"/>
      <c r="AB172" s="266"/>
      <c r="AC172" s="266"/>
      <c r="AD172" s="266"/>
      <c r="AE172" s="266"/>
      <c r="AF172" s="266"/>
      <c r="AG172" s="266"/>
      <c r="AH172" s="266"/>
      <c r="AI172" s="266"/>
      <c r="AJ172" s="266"/>
      <c r="AK172" s="266"/>
      <c r="AL172" s="266"/>
      <c r="AM172" s="266"/>
      <c r="AN172" s="266"/>
      <c r="AO172" s="266"/>
      <c r="AP172" s="266"/>
      <c r="AQ172" s="266"/>
      <c r="AR172" s="266"/>
      <c r="AS172" s="266"/>
      <c r="AT172" s="266"/>
      <c r="AU172" s="266"/>
      <c r="AV172" s="266"/>
      <c r="AW172" s="266"/>
      <c r="AX172" s="266"/>
      <c r="AY172" s="266"/>
      <c r="AZ172" s="266"/>
      <c r="BA172" s="266"/>
      <c r="BB172" s="266"/>
      <c r="BC172" s="266"/>
      <c r="BD172" s="266"/>
      <c r="BE172" s="266"/>
      <c r="BF172" s="266"/>
      <c r="BG172" s="266"/>
      <c r="BH172" s="266"/>
      <c r="BI172" s="266"/>
      <c r="BJ172" s="266"/>
      <c r="BK172" s="266"/>
      <c r="BL172" s="266"/>
      <c r="BM172" s="266"/>
      <c r="BN172" s="266"/>
      <c r="BO172" s="266"/>
      <c r="BP172" s="266"/>
      <c r="BQ172" s="266"/>
      <c r="BR172" s="266"/>
      <c r="BS172" s="266"/>
      <c r="BT172" s="266"/>
      <c r="BU172" s="266"/>
      <c r="BV172" s="266"/>
      <c r="BW172" s="266"/>
      <c r="BX172" s="266"/>
      <c r="BY172" s="266"/>
      <c r="BZ172" s="266"/>
      <c r="CA172" s="266"/>
    </row>
    <row r="173" spans="2:79">
      <c r="B173" s="26"/>
      <c r="G173" s="136">
        <f t="shared" ref="G173:AL173" ca="1" si="243">G168+G156-G100</f>
        <v>0</v>
      </c>
      <c r="H173" s="136">
        <f t="shared" ca="1" si="243"/>
        <v>0</v>
      </c>
      <c r="I173" s="136">
        <f t="shared" ca="1" si="243"/>
        <v>0</v>
      </c>
      <c r="J173" s="136">
        <f t="shared" ca="1" si="243"/>
        <v>0</v>
      </c>
      <c r="K173" s="136">
        <f t="shared" ca="1" si="243"/>
        <v>0</v>
      </c>
      <c r="L173" s="136">
        <f t="shared" ca="1" si="243"/>
        <v>0</v>
      </c>
      <c r="M173" s="136">
        <f t="shared" ca="1" si="243"/>
        <v>0</v>
      </c>
      <c r="N173" s="136">
        <f t="shared" ca="1" si="243"/>
        <v>0</v>
      </c>
      <c r="O173" s="136">
        <f t="shared" ca="1" si="243"/>
        <v>0</v>
      </c>
      <c r="P173" s="136">
        <f t="shared" ca="1" si="243"/>
        <v>0</v>
      </c>
      <c r="Q173" s="136">
        <f t="shared" ca="1" si="243"/>
        <v>0</v>
      </c>
      <c r="R173" s="136">
        <f t="shared" ca="1" si="243"/>
        <v>0</v>
      </c>
      <c r="S173" s="136">
        <f t="shared" ca="1" si="243"/>
        <v>0</v>
      </c>
      <c r="T173" s="136">
        <f t="shared" ca="1" si="243"/>
        <v>0</v>
      </c>
      <c r="U173" s="136">
        <f t="shared" ca="1" si="243"/>
        <v>132618.31297400902</v>
      </c>
      <c r="V173" s="136">
        <f t="shared" ca="1" si="243"/>
        <v>-3.637978807091713E-12</v>
      </c>
      <c r="W173" s="136">
        <f t="shared" ca="1" si="243"/>
        <v>-5.4569682106375694E-12</v>
      </c>
      <c r="X173" s="136">
        <f t="shared" ca="1" si="243"/>
        <v>0</v>
      </c>
      <c r="Y173" s="136">
        <f t="shared" ca="1" si="243"/>
        <v>7.2759576141834259E-12</v>
      </c>
      <c r="Z173" s="136">
        <f t="shared" ca="1" si="243"/>
        <v>0</v>
      </c>
      <c r="AA173" s="136">
        <f t="shared" ca="1" si="243"/>
        <v>0</v>
      </c>
      <c r="AB173" s="136">
        <f t="shared" ca="1" si="243"/>
        <v>0</v>
      </c>
      <c r="AC173" s="136">
        <f t="shared" ca="1" si="243"/>
        <v>0</v>
      </c>
      <c r="AD173" s="136">
        <f t="shared" ca="1" si="243"/>
        <v>0</v>
      </c>
      <c r="AE173" s="136">
        <f t="shared" ca="1" si="243"/>
        <v>0</v>
      </c>
      <c r="AF173" s="136">
        <f t="shared" ca="1" si="243"/>
        <v>7206.008742708349</v>
      </c>
      <c r="AG173" s="136">
        <f t="shared" ca="1" si="243"/>
        <v>173151.06485049735</v>
      </c>
      <c r="AH173" s="136">
        <f t="shared" ca="1" si="243"/>
        <v>21055.94686595122</v>
      </c>
      <c r="AI173" s="136">
        <f t="shared" ca="1" si="243"/>
        <v>28724.387467991735</v>
      </c>
      <c r="AJ173" s="136">
        <f t="shared" ca="1" si="243"/>
        <v>36104.966417683609</v>
      </c>
      <c r="AK173" s="136">
        <f t="shared" ca="1" si="243"/>
        <v>54059.507925381084</v>
      </c>
      <c r="AL173" s="136">
        <f t="shared" ca="1" si="243"/>
        <v>62943.060065793499</v>
      </c>
      <c r="AM173" s="136">
        <f t="shared" ref="AM173:BC173" ca="1" si="244">AM168+AM156-AM100</f>
        <v>68900.479882708387</v>
      </c>
      <c r="AN173" s="136">
        <f t="shared" ca="1" si="244"/>
        <v>50097.059578527958</v>
      </c>
      <c r="AO173" s="136">
        <f t="shared" ca="1" si="244"/>
        <v>50673.062009122877</v>
      </c>
      <c r="AP173" s="136">
        <f t="shared" ca="1" si="244"/>
        <v>50445.81195463847</v>
      </c>
      <c r="AQ173" s="136">
        <f t="shared" ca="1" si="244"/>
        <v>58259.715554764538</v>
      </c>
      <c r="AR173" s="136">
        <f t="shared" ca="1" si="244"/>
        <v>57992.480314044675</v>
      </c>
      <c r="AS173" s="136">
        <f t="shared" ca="1" si="244"/>
        <v>60492.991125158762</v>
      </c>
      <c r="AT173" s="136">
        <f t="shared" ca="1" si="244"/>
        <v>63197.325187108116</v>
      </c>
      <c r="AU173" s="136">
        <f t="shared" ca="1" si="244"/>
        <v>66212.546362587222</v>
      </c>
      <c r="AV173" s="136">
        <f t="shared" ca="1" si="244"/>
        <v>69882.10938059444</v>
      </c>
      <c r="AW173" s="136">
        <f t="shared" ca="1" si="244"/>
        <v>72211.42616534511</v>
      </c>
      <c r="AX173" s="136">
        <f t="shared" ca="1" si="244"/>
        <v>73919.889087053292</v>
      </c>
      <c r="AY173" s="136">
        <f t="shared" ca="1" si="244"/>
        <v>75481.352540933702</v>
      </c>
      <c r="AZ173" s="136">
        <f t="shared" ca="1" si="244"/>
        <v>74781.561757969961</v>
      </c>
      <c r="BA173" s="136">
        <f t="shared" ca="1" si="244"/>
        <v>74535.894558018277</v>
      </c>
      <c r="BB173" s="136">
        <f t="shared" ca="1" si="244"/>
        <v>73577.268404516741</v>
      </c>
      <c r="BC173" s="136">
        <f t="shared" ca="1" si="244"/>
        <v>83273.864591099322</v>
      </c>
      <c r="BD173" s="136"/>
      <c r="BE173" s="136"/>
      <c r="BF173" s="136"/>
      <c r="BG173" s="136"/>
      <c r="BH173" s="136"/>
      <c r="BI173" s="136"/>
      <c r="BJ173" s="136"/>
      <c r="BK173" s="136"/>
      <c r="BL173" s="136"/>
      <c r="BM173" s="136"/>
      <c r="BN173" s="136"/>
      <c r="BO173" s="136"/>
      <c r="BP173" s="136"/>
      <c r="BQ173" s="136"/>
      <c r="BR173" s="136"/>
      <c r="BS173" s="136"/>
      <c r="BT173" s="136"/>
      <c r="BU173" s="136"/>
      <c r="BV173" s="136"/>
      <c r="BW173" s="136"/>
      <c r="BX173" s="136"/>
      <c r="BY173" s="136"/>
      <c r="BZ173" s="136"/>
      <c r="CA173" s="136"/>
    </row>
    <row r="174" spans="2:79">
      <c r="B174" s="2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36"/>
      <c r="AX174" s="136"/>
      <c r="AY174" s="136"/>
      <c r="AZ174" s="136"/>
      <c r="BA174" s="136"/>
      <c r="BB174" s="136"/>
      <c r="BC174" s="136"/>
      <c r="BD174" s="136"/>
      <c r="BE174" s="136"/>
      <c r="BF174" s="136"/>
      <c r="BG174" s="136"/>
      <c r="BH174" s="136"/>
      <c r="BI174" s="136"/>
      <c r="BJ174" s="136"/>
      <c r="BK174" s="136"/>
      <c r="BL174" s="136"/>
      <c r="BM174" s="136"/>
      <c r="BN174" s="136"/>
      <c r="BO174" s="136"/>
      <c r="BP174" s="136"/>
      <c r="BQ174" s="136"/>
      <c r="BR174" s="136"/>
      <c r="BS174" s="136"/>
      <c r="BT174" s="136"/>
      <c r="BU174" s="136"/>
      <c r="BV174" s="136"/>
      <c r="BW174" s="136"/>
      <c r="BX174" s="136"/>
      <c r="BY174" s="136"/>
      <c r="BZ174" s="136"/>
      <c r="CA174" s="136"/>
    </row>
    <row r="175" spans="2:79">
      <c r="B175" s="642" t="s">
        <v>72</v>
      </c>
      <c r="C175" s="643"/>
      <c r="D175" s="643"/>
      <c r="E175" s="643"/>
      <c r="F175" s="643"/>
      <c r="G175" s="644"/>
      <c r="H175" s="644"/>
      <c r="I175" s="644"/>
      <c r="J175" s="644"/>
      <c r="K175" s="644"/>
      <c r="L175" s="644"/>
      <c r="M175" s="644"/>
      <c r="N175" s="644"/>
      <c r="O175" s="644"/>
      <c r="P175" s="644"/>
      <c r="Q175" s="644"/>
      <c r="R175" s="644"/>
      <c r="S175" s="644"/>
      <c r="T175" s="644"/>
      <c r="U175" s="644"/>
      <c r="V175" s="644"/>
      <c r="W175" s="644"/>
      <c r="X175" s="644"/>
      <c r="Y175" s="644"/>
      <c r="Z175" s="644"/>
      <c r="AA175" s="644"/>
      <c r="AB175" s="644"/>
      <c r="AC175" s="644"/>
      <c r="AD175" s="644"/>
      <c r="AE175" s="644"/>
      <c r="AF175" s="644"/>
      <c r="AG175" s="644"/>
      <c r="AH175" s="644"/>
      <c r="AI175" s="644"/>
      <c r="AJ175" s="644"/>
      <c r="AK175" s="644"/>
      <c r="AL175" s="644"/>
      <c r="AM175" s="644"/>
      <c r="AN175" s="644"/>
      <c r="AO175" s="644"/>
      <c r="AP175" s="644"/>
      <c r="AQ175" s="644"/>
      <c r="AR175" s="644"/>
      <c r="AS175" s="644"/>
      <c r="AT175" s="644"/>
      <c r="AU175" s="644"/>
      <c r="AV175" s="644"/>
      <c r="AW175" s="644"/>
      <c r="AX175" s="644"/>
      <c r="AY175" s="644"/>
      <c r="AZ175" s="644"/>
      <c r="BA175" s="644"/>
      <c r="BB175" s="644"/>
      <c r="BC175" s="644"/>
      <c r="BD175" s="644"/>
      <c r="BE175" s="644"/>
      <c r="BF175" s="644"/>
      <c r="BG175" s="644"/>
      <c r="BH175" s="644"/>
      <c r="BI175" s="644"/>
      <c r="BJ175" s="644"/>
      <c r="BK175" s="644"/>
      <c r="BL175" s="644"/>
      <c r="BM175" s="644"/>
      <c r="BN175" s="644"/>
      <c r="BO175" s="644"/>
      <c r="BP175" s="644"/>
      <c r="BQ175" s="644"/>
      <c r="BR175" s="644"/>
      <c r="BS175" s="644"/>
      <c r="BT175" s="644"/>
      <c r="BU175" s="644"/>
      <c r="BV175" s="644"/>
      <c r="BW175" s="644"/>
      <c r="BX175" s="644"/>
      <c r="BY175" s="644"/>
      <c r="BZ175" s="644"/>
      <c r="CA175" s="644"/>
    </row>
    <row r="176" spans="2:79">
      <c r="B176" s="645" t="s">
        <v>73</v>
      </c>
      <c r="C176" s="645"/>
      <c r="D176" s="645"/>
      <c r="E176" s="646">
        <f ca="1">SUM(G176:CA176)</f>
        <v>-6926965.7014693134</v>
      </c>
      <c r="F176" s="645"/>
      <c r="G176" s="646">
        <f t="shared" ref="G176:AL176" ca="1" si="245">-G140</f>
        <v>-6170830.5186084146</v>
      </c>
      <c r="H176" s="646">
        <f t="shared" ca="1" si="245"/>
        <v>-756135.18286101427</v>
      </c>
      <c r="I176" s="646">
        <f t="shared" ca="1" si="245"/>
        <v>1.4901161193847656E-8</v>
      </c>
      <c r="J176" s="646">
        <f t="shared" ca="1" si="245"/>
        <v>1.4901161193847656E-8</v>
      </c>
      <c r="K176" s="646">
        <f t="shared" ca="1" si="245"/>
        <v>1.4901161193847656E-8</v>
      </c>
      <c r="L176" s="646">
        <f t="shared" ca="1" si="245"/>
        <v>1.4901161193847656E-8</v>
      </c>
      <c r="M176" s="646">
        <f t="shared" ca="1" si="245"/>
        <v>1.4901161193847656E-8</v>
      </c>
      <c r="N176" s="646">
        <f t="shared" ca="1" si="245"/>
        <v>1.4901161193847656E-8</v>
      </c>
      <c r="O176" s="646">
        <f t="shared" ca="1" si="245"/>
        <v>1.4901161193847656E-8</v>
      </c>
      <c r="P176" s="646">
        <f t="shared" si="245"/>
        <v>0</v>
      </c>
      <c r="Q176" s="646">
        <f t="shared" si="245"/>
        <v>0</v>
      </c>
      <c r="R176" s="646">
        <f t="shared" si="245"/>
        <v>0</v>
      </c>
      <c r="S176" s="646">
        <f t="shared" si="245"/>
        <v>0</v>
      </c>
      <c r="T176" s="646">
        <f t="shared" si="245"/>
        <v>0</v>
      </c>
      <c r="U176" s="646">
        <f t="shared" si="245"/>
        <v>0</v>
      </c>
      <c r="V176" s="646">
        <f t="shared" si="245"/>
        <v>0</v>
      </c>
      <c r="W176" s="646">
        <f t="shared" si="245"/>
        <v>0</v>
      </c>
      <c r="X176" s="646">
        <f t="shared" si="245"/>
        <v>0</v>
      </c>
      <c r="Y176" s="646">
        <f t="shared" si="245"/>
        <v>0</v>
      </c>
      <c r="Z176" s="646">
        <f t="shared" si="245"/>
        <v>0</v>
      </c>
      <c r="AA176" s="646">
        <f t="shared" si="245"/>
        <v>0</v>
      </c>
      <c r="AB176" s="646">
        <f t="shared" si="245"/>
        <v>0</v>
      </c>
      <c r="AC176" s="646">
        <f t="shared" si="245"/>
        <v>0</v>
      </c>
      <c r="AD176" s="646">
        <f t="shared" si="245"/>
        <v>0</v>
      </c>
      <c r="AE176" s="646">
        <f t="shared" si="245"/>
        <v>0</v>
      </c>
      <c r="AF176" s="646">
        <f t="shared" si="245"/>
        <v>0</v>
      </c>
      <c r="AG176" s="646">
        <f t="shared" si="245"/>
        <v>0</v>
      </c>
      <c r="AH176" s="646">
        <f t="shared" si="245"/>
        <v>0</v>
      </c>
      <c r="AI176" s="646">
        <f t="shared" si="245"/>
        <v>0</v>
      </c>
      <c r="AJ176" s="646">
        <f t="shared" si="245"/>
        <v>0</v>
      </c>
      <c r="AK176" s="646">
        <f t="shared" si="245"/>
        <v>0</v>
      </c>
      <c r="AL176" s="646">
        <f t="shared" si="245"/>
        <v>0</v>
      </c>
      <c r="AM176" s="646">
        <f t="shared" ref="AM176:BR176" si="246">-AM140</f>
        <v>0</v>
      </c>
      <c r="AN176" s="646">
        <f t="shared" si="246"/>
        <v>0</v>
      </c>
      <c r="AO176" s="646">
        <f t="shared" si="246"/>
        <v>0</v>
      </c>
      <c r="AP176" s="646">
        <f t="shared" si="246"/>
        <v>0</v>
      </c>
      <c r="AQ176" s="646">
        <f t="shared" si="246"/>
        <v>0</v>
      </c>
      <c r="AR176" s="646">
        <f t="shared" si="246"/>
        <v>0</v>
      </c>
      <c r="AS176" s="646">
        <f t="shared" si="246"/>
        <v>0</v>
      </c>
      <c r="AT176" s="646">
        <f t="shared" si="246"/>
        <v>0</v>
      </c>
      <c r="AU176" s="646">
        <f t="shared" si="246"/>
        <v>0</v>
      </c>
      <c r="AV176" s="646">
        <f t="shared" si="246"/>
        <v>0</v>
      </c>
      <c r="AW176" s="646">
        <f t="shared" si="246"/>
        <v>0</v>
      </c>
      <c r="AX176" s="646">
        <f t="shared" si="246"/>
        <v>0</v>
      </c>
      <c r="AY176" s="646">
        <f t="shared" si="246"/>
        <v>0</v>
      </c>
      <c r="AZ176" s="646">
        <f t="shared" si="246"/>
        <v>0</v>
      </c>
      <c r="BA176" s="646">
        <f t="shared" si="246"/>
        <v>0</v>
      </c>
      <c r="BB176" s="646">
        <f t="shared" si="246"/>
        <v>0</v>
      </c>
      <c r="BC176" s="646">
        <f t="shared" si="246"/>
        <v>0</v>
      </c>
      <c r="BD176" s="646">
        <f t="shared" si="246"/>
        <v>0</v>
      </c>
      <c r="BE176" s="646">
        <f t="shared" si="246"/>
        <v>0</v>
      </c>
      <c r="BF176" s="646">
        <f t="shared" si="246"/>
        <v>0</v>
      </c>
      <c r="BG176" s="646">
        <f t="shared" si="246"/>
        <v>0</v>
      </c>
      <c r="BH176" s="646">
        <f t="shared" si="246"/>
        <v>0</v>
      </c>
      <c r="BI176" s="646">
        <f t="shared" si="246"/>
        <v>0</v>
      </c>
      <c r="BJ176" s="646">
        <f t="shared" si="246"/>
        <v>0</v>
      </c>
      <c r="BK176" s="646">
        <f t="shared" si="246"/>
        <v>0</v>
      </c>
      <c r="BL176" s="646">
        <f t="shared" si="246"/>
        <v>0</v>
      </c>
      <c r="BM176" s="646">
        <f t="shared" si="246"/>
        <v>0</v>
      </c>
      <c r="BN176" s="646">
        <f t="shared" si="246"/>
        <v>0</v>
      </c>
      <c r="BO176" s="646">
        <f t="shared" si="246"/>
        <v>0</v>
      </c>
      <c r="BP176" s="646">
        <f t="shared" si="246"/>
        <v>0</v>
      </c>
      <c r="BQ176" s="646">
        <f t="shared" si="246"/>
        <v>0</v>
      </c>
      <c r="BR176" s="646">
        <f t="shared" si="246"/>
        <v>0</v>
      </c>
      <c r="BS176" s="646">
        <f t="shared" ref="BS176:CA176" si="247">-BS140</f>
        <v>0</v>
      </c>
      <c r="BT176" s="646">
        <f t="shared" si="247"/>
        <v>0</v>
      </c>
      <c r="BU176" s="646">
        <f t="shared" si="247"/>
        <v>0</v>
      </c>
      <c r="BV176" s="646">
        <f t="shared" si="247"/>
        <v>0</v>
      </c>
      <c r="BW176" s="646">
        <f t="shared" si="247"/>
        <v>0</v>
      </c>
      <c r="BX176" s="646">
        <f t="shared" si="247"/>
        <v>0</v>
      </c>
      <c r="BY176" s="646">
        <f t="shared" si="247"/>
        <v>0</v>
      </c>
      <c r="BZ176" s="646">
        <f t="shared" si="247"/>
        <v>0</v>
      </c>
      <c r="CA176" s="646">
        <f t="shared" si="247"/>
        <v>0</v>
      </c>
    </row>
    <row r="177" spans="2:79">
      <c r="B177" s="647" t="s">
        <v>68</v>
      </c>
      <c r="C177" s="645"/>
      <c r="D177" s="645"/>
      <c r="E177" s="646">
        <f ca="1">SUM(G177:CA177)</f>
        <v>25273559.381267354</v>
      </c>
      <c r="F177" s="645"/>
      <c r="G177" s="646">
        <f>SUM(G170:G171)</f>
        <v>0</v>
      </c>
      <c r="H177" s="646">
        <f t="shared" ref="H177:BS177" ca="1" si="248">SUM(H170:H171)</f>
        <v>0</v>
      </c>
      <c r="I177" s="646">
        <f t="shared" ca="1" si="248"/>
        <v>0</v>
      </c>
      <c r="J177" s="646">
        <f t="shared" ca="1" si="248"/>
        <v>0</v>
      </c>
      <c r="K177" s="646">
        <f t="shared" ca="1" si="248"/>
        <v>0</v>
      </c>
      <c r="L177" s="646">
        <f t="shared" ca="1" si="248"/>
        <v>0</v>
      </c>
      <c r="M177" s="646">
        <f t="shared" ca="1" si="248"/>
        <v>0</v>
      </c>
      <c r="N177" s="646">
        <f t="shared" ca="1" si="248"/>
        <v>0</v>
      </c>
      <c r="O177" s="646">
        <f t="shared" ca="1" si="248"/>
        <v>0</v>
      </c>
      <c r="P177" s="646">
        <f t="shared" ca="1" si="248"/>
        <v>0</v>
      </c>
      <c r="Q177" s="646">
        <f t="shared" ca="1" si="248"/>
        <v>0</v>
      </c>
      <c r="R177" s="646">
        <f t="shared" ca="1" si="248"/>
        <v>0</v>
      </c>
      <c r="S177" s="646">
        <f t="shared" ca="1" si="248"/>
        <v>0</v>
      </c>
      <c r="T177" s="646">
        <f t="shared" ca="1" si="248"/>
        <v>0</v>
      </c>
      <c r="U177" s="646">
        <f t="shared" ca="1" si="248"/>
        <v>132618.31297400899</v>
      </c>
      <c r="V177" s="646">
        <f t="shared" ca="1" si="248"/>
        <v>0</v>
      </c>
      <c r="W177" s="646">
        <f t="shared" ca="1" si="248"/>
        <v>0</v>
      </c>
      <c r="X177" s="646">
        <f t="shared" ca="1" si="248"/>
        <v>0</v>
      </c>
      <c r="Y177" s="646">
        <f t="shared" ca="1" si="248"/>
        <v>0</v>
      </c>
      <c r="Z177" s="646">
        <f t="shared" ca="1" si="248"/>
        <v>0</v>
      </c>
      <c r="AA177" s="646">
        <f t="shared" ca="1" si="248"/>
        <v>0</v>
      </c>
      <c r="AB177" s="646">
        <f t="shared" ca="1" si="248"/>
        <v>0</v>
      </c>
      <c r="AC177" s="646">
        <f t="shared" ca="1" si="248"/>
        <v>0</v>
      </c>
      <c r="AD177" s="646">
        <f t="shared" ca="1" si="248"/>
        <v>0</v>
      </c>
      <c r="AE177" s="646">
        <f t="shared" ca="1" si="248"/>
        <v>0</v>
      </c>
      <c r="AF177" s="646">
        <f t="shared" ca="1" si="248"/>
        <v>7206.008742708349</v>
      </c>
      <c r="AG177" s="646">
        <f t="shared" ca="1" si="248"/>
        <v>173151.06485049735</v>
      </c>
      <c r="AH177" s="646">
        <f t="shared" ca="1" si="248"/>
        <v>21055.94686595122</v>
      </c>
      <c r="AI177" s="646">
        <f t="shared" ca="1" si="248"/>
        <v>28724.387467991735</v>
      </c>
      <c r="AJ177" s="646">
        <f t="shared" ca="1" si="248"/>
        <v>36104.966417683609</v>
      </c>
      <c r="AK177" s="646">
        <f t="shared" ca="1" si="248"/>
        <v>54059.507925381084</v>
      </c>
      <c r="AL177" s="646">
        <f t="shared" ca="1" si="248"/>
        <v>62943.060065793499</v>
      </c>
      <c r="AM177" s="646">
        <f t="shared" ca="1" si="248"/>
        <v>68900.479882708387</v>
      </c>
      <c r="AN177" s="646">
        <f t="shared" ca="1" si="248"/>
        <v>50097.059578527958</v>
      </c>
      <c r="AO177" s="646">
        <f t="shared" ca="1" si="248"/>
        <v>50673.062009122877</v>
      </c>
      <c r="AP177" s="646">
        <f t="shared" ca="1" si="248"/>
        <v>50445.81195463847</v>
      </c>
      <c r="AQ177" s="646">
        <f t="shared" ca="1" si="248"/>
        <v>58259.715554764509</v>
      </c>
      <c r="AR177" s="646">
        <f t="shared" ca="1" si="248"/>
        <v>57992.480314044675</v>
      </c>
      <c r="AS177" s="646">
        <f t="shared" ca="1" si="248"/>
        <v>60492.991125158762</v>
      </c>
      <c r="AT177" s="646">
        <f t="shared" ca="1" si="248"/>
        <v>63197.325187108116</v>
      </c>
      <c r="AU177" s="646">
        <f t="shared" ca="1" si="248"/>
        <v>66212.546362587222</v>
      </c>
      <c r="AV177" s="646">
        <f t="shared" ca="1" si="248"/>
        <v>69882.10938059444</v>
      </c>
      <c r="AW177" s="646">
        <f t="shared" ca="1" si="248"/>
        <v>72211.42616534511</v>
      </c>
      <c r="AX177" s="646">
        <f t="shared" ca="1" si="248"/>
        <v>73919.889087053292</v>
      </c>
      <c r="AY177" s="646">
        <f t="shared" ca="1" si="248"/>
        <v>75481.352540933702</v>
      </c>
      <c r="AZ177" s="646">
        <f t="shared" ca="1" si="248"/>
        <v>74781.561757969961</v>
      </c>
      <c r="BA177" s="646">
        <f t="shared" ca="1" si="248"/>
        <v>74535.894558018277</v>
      </c>
      <c r="BB177" s="646">
        <f t="shared" ca="1" si="248"/>
        <v>73577.268404516741</v>
      </c>
      <c r="BC177" s="646">
        <f t="shared" ca="1" si="248"/>
        <v>23717035.152080569</v>
      </c>
      <c r="BD177" s="646">
        <f t="shared" ca="1" si="248"/>
        <v>0</v>
      </c>
      <c r="BE177" s="646">
        <f t="shared" ca="1" si="248"/>
        <v>0</v>
      </c>
      <c r="BF177" s="646">
        <f t="shared" ca="1" si="248"/>
        <v>0</v>
      </c>
      <c r="BG177" s="646">
        <f t="shared" ca="1" si="248"/>
        <v>0</v>
      </c>
      <c r="BH177" s="646">
        <f t="shared" ca="1" si="248"/>
        <v>0</v>
      </c>
      <c r="BI177" s="646">
        <f t="shared" ca="1" si="248"/>
        <v>0</v>
      </c>
      <c r="BJ177" s="646">
        <f t="shared" ca="1" si="248"/>
        <v>0</v>
      </c>
      <c r="BK177" s="646">
        <f t="shared" ca="1" si="248"/>
        <v>0</v>
      </c>
      <c r="BL177" s="646">
        <f t="shared" ca="1" si="248"/>
        <v>0</v>
      </c>
      <c r="BM177" s="646">
        <f t="shared" ca="1" si="248"/>
        <v>0</v>
      </c>
      <c r="BN177" s="646">
        <f t="shared" ca="1" si="248"/>
        <v>0</v>
      </c>
      <c r="BO177" s="646">
        <f t="shared" ca="1" si="248"/>
        <v>0</v>
      </c>
      <c r="BP177" s="646">
        <f t="shared" ca="1" si="248"/>
        <v>0</v>
      </c>
      <c r="BQ177" s="646">
        <f t="shared" ca="1" si="248"/>
        <v>0</v>
      </c>
      <c r="BR177" s="646">
        <f t="shared" ca="1" si="248"/>
        <v>0</v>
      </c>
      <c r="BS177" s="646">
        <f t="shared" ca="1" si="248"/>
        <v>0</v>
      </c>
      <c r="BT177" s="646">
        <f t="shared" ref="BT177:CA177" ca="1" si="249">SUM(BT170:BT171)</f>
        <v>0</v>
      </c>
      <c r="BU177" s="646">
        <f t="shared" ca="1" si="249"/>
        <v>0</v>
      </c>
      <c r="BV177" s="646">
        <f t="shared" ca="1" si="249"/>
        <v>0</v>
      </c>
      <c r="BW177" s="646">
        <f t="shared" ca="1" si="249"/>
        <v>0</v>
      </c>
      <c r="BX177" s="646">
        <f t="shared" ca="1" si="249"/>
        <v>0</v>
      </c>
      <c r="BY177" s="646">
        <f t="shared" ca="1" si="249"/>
        <v>0</v>
      </c>
      <c r="BZ177" s="646">
        <f t="shared" ca="1" si="249"/>
        <v>0</v>
      </c>
      <c r="CA177" s="646">
        <f t="shared" ca="1" si="249"/>
        <v>0</v>
      </c>
    </row>
    <row r="178" spans="2:79">
      <c r="B178" s="648" t="s">
        <v>74</v>
      </c>
      <c r="C178" s="649"/>
      <c r="D178" s="649"/>
      <c r="E178" s="650">
        <f ca="1">SUM(G178:CA178)</f>
        <v>18346593.679798037</v>
      </c>
      <c r="F178" s="649"/>
      <c r="G178" s="650">
        <f ca="1">SUM(G176:G177)</f>
        <v>-6170830.5186084146</v>
      </c>
      <c r="H178" s="650">
        <f t="shared" ref="H178:BS178" ca="1" si="250">SUM(H176:H177)</f>
        <v>-756135.18286101427</v>
      </c>
      <c r="I178" s="650">
        <f t="shared" ca="1" si="250"/>
        <v>1.4901161193847656E-8</v>
      </c>
      <c r="J178" s="650">
        <f t="shared" ca="1" si="250"/>
        <v>1.4901161193847656E-8</v>
      </c>
      <c r="K178" s="650">
        <f t="shared" ca="1" si="250"/>
        <v>1.4901161193847656E-8</v>
      </c>
      <c r="L178" s="650">
        <f t="shared" ca="1" si="250"/>
        <v>1.4901161193847656E-8</v>
      </c>
      <c r="M178" s="650">
        <f t="shared" ca="1" si="250"/>
        <v>1.4901161193847656E-8</v>
      </c>
      <c r="N178" s="650">
        <f t="shared" ca="1" si="250"/>
        <v>1.4901161193847656E-8</v>
      </c>
      <c r="O178" s="650">
        <f t="shared" ca="1" si="250"/>
        <v>1.4901161193847656E-8</v>
      </c>
      <c r="P178" s="650">
        <f t="shared" ca="1" si="250"/>
        <v>0</v>
      </c>
      <c r="Q178" s="650">
        <f t="shared" ca="1" si="250"/>
        <v>0</v>
      </c>
      <c r="R178" s="650">
        <f t="shared" ca="1" si="250"/>
        <v>0</v>
      </c>
      <c r="S178" s="650">
        <f t="shared" ca="1" si="250"/>
        <v>0</v>
      </c>
      <c r="T178" s="650">
        <f t="shared" ca="1" si="250"/>
        <v>0</v>
      </c>
      <c r="U178" s="650">
        <f t="shared" ca="1" si="250"/>
        <v>132618.31297400899</v>
      </c>
      <c r="V178" s="650">
        <f t="shared" ca="1" si="250"/>
        <v>0</v>
      </c>
      <c r="W178" s="650">
        <f t="shared" ca="1" si="250"/>
        <v>0</v>
      </c>
      <c r="X178" s="650">
        <f t="shared" ca="1" si="250"/>
        <v>0</v>
      </c>
      <c r="Y178" s="650">
        <f t="shared" ca="1" si="250"/>
        <v>0</v>
      </c>
      <c r="Z178" s="650">
        <f t="shared" ca="1" si="250"/>
        <v>0</v>
      </c>
      <c r="AA178" s="650">
        <f t="shared" ca="1" si="250"/>
        <v>0</v>
      </c>
      <c r="AB178" s="650">
        <f t="shared" ca="1" si="250"/>
        <v>0</v>
      </c>
      <c r="AC178" s="650">
        <f t="shared" ca="1" si="250"/>
        <v>0</v>
      </c>
      <c r="AD178" s="650">
        <f t="shared" ca="1" si="250"/>
        <v>0</v>
      </c>
      <c r="AE178" s="650">
        <f t="shared" ca="1" si="250"/>
        <v>0</v>
      </c>
      <c r="AF178" s="650">
        <f t="shared" ca="1" si="250"/>
        <v>7206.008742708349</v>
      </c>
      <c r="AG178" s="650">
        <f t="shared" ca="1" si="250"/>
        <v>173151.06485049735</v>
      </c>
      <c r="AH178" s="650">
        <f t="shared" ca="1" si="250"/>
        <v>21055.94686595122</v>
      </c>
      <c r="AI178" s="650">
        <f t="shared" ca="1" si="250"/>
        <v>28724.387467991735</v>
      </c>
      <c r="AJ178" s="650">
        <f t="shared" ca="1" si="250"/>
        <v>36104.966417683609</v>
      </c>
      <c r="AK178" s="650">
        <f t="shared" ca="1" si="250"/>
        <v>54059.507925381084</v>
      </c>
      <c r="AL178" s="650">
        <f t="shared" ca="1" si="250"/>
        <v>62943.060065793499</v>
      </c>
      <c r="AM178" s="650">
        <f t="shared" ca="1" si="250"/>
        <v>68900.479882708387</v>
      </c>
      <c r="AN178" s="650">
        <f t="shared" ca="1" si="250"/>
        <v>50097.059578527958</v>
      </c>
      <c r="AO178" s="650">
        <f t="shared" ca="1" si="250"/>
        <v>50673.062009122877</v>
      </c>
      <c r="AP178" s="650">
        <f t="shared" ca="1" si="250"/>
        <v>50445.81195463847</v>
      </c>
      <c r="AQ178" s="650">
        <f t="shared" ca="1" si="250"/>
        <v>58259.715554764509</v>
      </c>
      <c r="AR178" s="650">
        <f t="shared" ca="1" si="250"/>
        <v>57992.480314044675</v>
      </c>
      <c r="AS178" s="650">
        <f t="shared" ca="1" si="250"/>
        <v>60492.991125158762</v>
      </c>
      <c r="AT178" s="650">
        <f t="shared" ca="1" si="250"/>
        <v>63197.325187108116</v>
      </c>
      <c r="AU178" s="650">
        <f t="shared" ca="1" si="250"/>
        <v>66212.546362587222</v>
      </c>
      <c r="AV178" s="650">
        <f t="shared" ca="1" si="250"/>
        <v>69882.10938059444</v>
      </c>
      <c r="AW178" s="650">
        <f t="shared" ca="1" si="250"/>
        <v>72211.42616534511</v>
      </c>
      <c r="AX178" s="650">
        <f t="shared" ca="1" si="250"/>
        <v>73919.889087053292</v>
      </c>
      <c r="AY178" s="650">
        <f t="shared" ca="1" si="250"/>
        <v>75481.352540933702</v>
      </c>
      <c r="AZ178" s="650">
        <f t="shared" ca="1" si="250"/>
        <v>74781.561757969961</v>
      </c>
      <c r="BA178" s="650">
        <f t="shared" ca="1" si="250"/>
        <v>74535.894558018277</v>
      </c>
      <c r="BB178" s="650">
        <f t="shared" ca="1" si="250"/>
        <v>73577.268404516741</v>
      </c>
      <c r="BC178" s="650">
        <f t="shared" ca="1" si="250"/>
        <v>23717035.152080569</v>
      </c>
      <c r="BD178" s="650">
        <f t="shared" ca="1" si="250"/>
        <v>0</v>
      </c>
      <c r="BE178" s="650">
        <f t="shared" ca="1" si="250"/>
        <v>0</v>
      </c>
      <c r="BF178" s="650">
        <f t="shared" ca="1" si="250"/>
        <v>0</v>
      </c>
      <c r="BG178" s="650">
        <f t="shared" ca="1" si="250"/>
        <v>0</v>
      </c>
      <c r="BH178" s="650">
        <f t="shared" ca="1" si="250"/>
        <v>0</v>
      </c>
      <c r="BI178" s="650">
        <f t="shared" ca="1" si="250"/>
        <v>0</v>
      </c>
      <c r="BJ178" s="650">
        <f t="shared" ca="1" si="250"/>
        <v>0</v>
      </c>
      <c r="BK178" s="650">
        <f t="shared" ca="1" si="250"/>
        <v>0</v>
      </c>
      <c r="BL178" s="650">
        <f t="shared" ca="1" si="250"/>
        <v>0</v>
      </c>
      <c r="BM178" s="650">
        <f t="shared" ca="1" si="250"/>
        <v>0</v>
      </c>
      <c r="BN178" s="650">
        <f t="shared" ca="1" si="250"/>
        <v>0</v>
      </c>
      <c r="BO178" s="650">
        <f t="shared" ca="1" si="250"/>
        <v>0</v>
      </c>
      <c r="BP178" s="650">
        <f t="shared" ca="1" si="250"/>
        <v>0</v>
      </c>
      <c r="BQ178" s="650">
        <f t="shared" ca="1" si="250"/>
        <v>0</v>
      </c>
      <c r="BR178" s="650">
        <f t="shared" ca="1" si="250"/>
        <v>0</v>
      </c>
      <c r="BS178" s="650">
        <f t="shared" ca="1" si="250"/>
        <v>0</v>
      </c>
      <c r="BT178" s="650">
        <f t="shared" ref="BT178:CA178" ca="1" si="251">SUM(BT176:BT177)</f>
        <v>0</v>
      </c>
      <c r="BU178" s="650">
        <f t="shared" ca="1" si="251"/>
        <v>0</v>
      </c>
      <c r="BV178" s="650">
        <f t="shared" ca="1" si="251"/>
        <v>0</v>
      </c>
      <c r="BW178" s="650">
        <f t="shared" ca="1" si="251"/>
        <v>0</v>
      </c>
      <c r="BX178" s="650">
        <f t="shared" ca="1" si="251"/>
        <v>0</v>
      </c>
      <c r="BY178" s="650">
        <f t="shared" ca="1" si="251"/>
        <v>0</v>
      </c>
      <c r="BZ178" s="650">
        <f t="shared" ca="1" si="251"/>
        <v>0</v>
      </c>
      <c r="CA178" s="650">
        <f t="shared" ca="1" si="251"/>
        <v>0</v>
      </c>
    </row>
    <row r="179" spans="2:79">
      <c r="B179" s="651"/>
      <c r="C179" s="645"/>
      <c r="D179" s="645"/>
      <c r="E179" s="645"/>
      <c r="F179" s="645"/>
      <c r="G179" s="646"/>
      <c r="H179" s="646"/>
      <c r="I179" s="646"/>
      <c r="J179" s="646"/>
      <c r="K179" s="646"/>
      <c r="L179" s="646"/>
      <c r="M179" s="646"/>
      <c r="N179" s="646"/>
      <c r="O179" s="646"/>
      <c r="P179" s="646"/>
      <c r="Q179" s="646"/>
      <c r="R179" s="646"/>
      <c r="S179" s="646"/>
      <c r="T179" s="646"/>
      <c r="U179" s="646"/>
      <c r="V179" s="646"/>
      <c r="W179" s="646"/>
      <c r="X179" s="646"/>
      <c r="Y179" s="646"/>
      <c r="Z179" s="646"/>
      <c r="AA179" s="646"/>
      <c r="AB179" s="646"/>
      <c r="AC179" s="646"/>
      <c r="AD179" s="646"/>
      <c r="AE179" s="646"/>
      <c r="AF179" s="646"/>
      <c r="AG179" s="646"/>
      <c r="AH179" s="646"/>
      <c r="AI179" s="646"/>
      <c r="AJ179" s="646"/>
      <c r="AK179" s="646"/>
      <c r="AL179" s="646"/>
      <c r="AM179" s="646"/>
      <c r="AN179" s="646"/>
      <c r="AO179" s="646"/>
      <c r="AP179" s="646"/>
      <c r="AQ179" s="646"/>
      <c r="AR179" s="646"/>
      <c r="AS179" s="646"/>
      <c r="AT179" s="646"/>
      <c r="AU179" s="646"/>
      <c r="AV179" s="646"/>
      <c r="AW179" s="646"/>
      <c r="AX179" s="646"/>
      <c r="AY179" s="646"/>
      <c r="AZ179" s="646"/>
      <c r="BA179" s="646"/>
      <c r="BB179" s="646"/>
      <c r="BC179" s="646"/>
      <c r="BD179" s="646"/>
      <c r="BE179" s="646"/>
      <c r="BF179" s="646"/>
      <c r="BG179" s="646"/>
      <c r="BH179" s="646"/>
      <c r="BI179" s="646"/>
      <c r="BJ179" s="646"/>
      <c r="BK179" s="646"/>
      <c r="BL179" s="646"/>
      <c r="BM179" s="646"/>
      <c r="BN179" s="646"/>
      <c r="BO179" s="646"/>
      <c r="BP179" s="646"/>
      <c r="BQ179" s="646"/>
      <c r="BR179" s="646"/>
      <c r="BS179" s="646"/>
      <c r="BT179" s="646"/>
      <c r="BU179" s="646"/>
      <c r="BV179" s="646"/>
      <c r="BW179" s="646"/>
      <c r="BX179" s="646"/>
      <c r="BY179" s="646"/>
      <c r="BZ179" s="646"/>
      <c r="CA179" s="646"/>
    </row>
    <row r="180" spans="2:79">
      <c r="B180" s="652" t="s">
        <v>360</v>
      </c>
      <c r="C180" s="653">
        <f ca="1">XIRR(G178:CA178,G7:CA7)</f>
        <v>0.40168938040733349</v>
      </c>
      <c r="D180" s="653"/>
      <c r="E180" s="645"/>
      <c r="F180" s="645"/>
      <c r="G180" s="646"/>
      <c r="H180" s="646"/>
      <c r="I180" s="646"/>
      <c r="J180" s="646"/>
      <c r="K180" s="646"/>
      <c r="L180" s="646"/>
      <c r="M180" s="646"/>
      <c r="N180" s="646"/>
      <c r="O180" s="646"/>
      <c r="P180" s="646"/>
      <c r="Q180" s="646"/>
      <c r="R180" s="646"/>
      <c r="S180" s="646"/>
      <c r="T180" s="646"/>
      <c r="U180" s="646"/>
      <c r="V180" s="646"/>
      <c r="W180" s="646"/>
      <c r="X180" s="646"/>
      <c r="Y180" s="646"/>
      <c r="Z180" s="646"/>
      <c r="AA180" s="646"/>
      <c r="AB180" s="646"/>
      <c r="AC180" s="646"/>
      <c r="AD180" s="646"/>
      <c r="AE180" s="646"/>
      <c r="AF180" s="646"/>
      <c r="AG180" s="646"/>
      <c r="AH180" s="646"/>
      <c r="AI180" s="646"/>
      <c r="AJ180" s="646"/>
      <c r="AK180" s="646"/>
      <c r="AL180" s="646"/>
      <c r="AM180" s="646"/>
      <c r="AN180" s="646"/>
      <c r="AO180" s="646"/>
      <c r="AP180" s="646"/>
      <c r="AQ180" s="646"/>
      <c r="AR180" s="646"/>
      <c r="AS180" s="646"/>
      <c r="AT180" s="646"/>
      <c r="AU180" s="646"/>
      <c r="AV180" s="646"/>
      <c r="AW180" s="646"/>
      <c r="AX180" s="646"/>
      <c r="AY180" s="646"/>
      <c r="AZ180" s="646"/>
      <c r="BA180" s="646"/>
      <c r="BB180" s="646"/>
      <c r="BC180" s="646"/>
      <c r="BD180" s="646"/>
      <c r="BE180" s="646"/>
      <c r="BF180" s="646"/>
      <c r="BG180" s="646"/>
      <c r="BH180" s="646"/>
      <c r="BI180" s="646"/>
      <c r="BJ180" s="646"/>
      <c r="BK180" s="646"/>
      <c r="BL180" s="646"/>
      <c r="BM180" s="646"/>
      <c r="BN180" s="646"/>
      <c r="BO180" s="646"/>
      <c r="BP180" s="646"/>
      <c r="BQ180" s="646"/>
      <c r="BR180" s="646"/>
      <c r="BS180" s="646"/>
      <c r="BT180" s="646"/>
      <c r="BU180" s="646"/>
      <c r="BV180" s="646"/>
      <c r="BW180" s="646"/>
      <c r="BX180" s="646"/>
      <c r="BY180" s="646"/>
      <c r="BZ180" s="646"/>
      <c r="CA180" s="646"/>
    </row>
    <row r="181" spans="2:79">
      <c r="B181" s="652" t="s">
        <v>361</v>
      </c>
      <c r="C181" s="654">
        <f ca="1">(1+IRR(G178:CA178,0.01))^12-1</f>
        <v>0.39339794100202852</v>
      </c>
      <c r="D181" s="654"/>
      <c r="E181" s="645"/>
      <c r="F181" s="645"/>
      <c r="G181" s="646"/>
      <c r="H181" s="646"/>
      <c r="I181" s="646"/>
      <c r="J181" s="646"/>
      <c r="K181" s="646"/>
      <c r="L181" s="646"/>
      <c r="M181" s="646"/>
      <c r="N181" s="646"/>
      <c r="O181" s="646"/>
      <c r="P181" s="646"/>
      <c r="Q181" s="646"/>
      <c r="R181" s="646"/>
      <c r="S181" s="646"/>
      <c r="T181" s="646"/>
      <c r="U181" s="646"/>
      <c r="V181" s="646"/>
      <c r="W181" s="646"/>
      <c r="X181" s="646"/>
      <c r="Y181" s="646"/>
      <c r="Z181" s="646"/>
      <c r="AA181" s="646"/>
      <c r="AB181" s="646"/>
      <c r="AC181" s="646"/>
      <c r="AD181" s="646"/>
      <c r="AE181" s="646"/>
      <c r="AF181" s="646"/>
      <c r="AG181" s="646"/>
      <c r="AH181" s="646"/>
      <c r="AI181" s="646"/>
      <c r="AJ181" s="646"/>
      <c r="AK181" s="646"/>
      <c r="AL181" s="646"/>
      <c r="AM181" s="646"/>
      <c r="AN181" s="646"/>
      <c r="AO181" s="646"/>
      <c r="AP181" s="646"/>
      <c r="AQ181" s="646"/>
      <c r="AR181" s="646"/>
      <c r="AS181" s="646"/>
      <c r="AT181" s="646"/>
      <c r="AU181" s="646"/>
      <c r="AV181" s="646"/>
      <c r="AW181" s="646"/>
      <c r="AX181" s="646"/>
      <c r="AY181" s="646"/>
      <c r="AZ181" s="646"/>
      <c r="BA181" s="646"/>
      <c r="BB181" s="646"/>
      <c r="BC181" s="646"/>
      <c r="BD181" s="646"/>
      <c r="BE181" s="646"/>
      <c r="BF181" s="646"/>
      <c r="BG181" s="646"/>
      <c r="BH181" s="646"/>
      <c r="BI181" s="646"/>
      <c r="BJ181" s="646"/>
      <c r="BK181" s="646"/>
      <c r="BL181" s="646"/>
      <c r="BM181" s="646"/>
      <c r="BN181" s="646"/>
      <c r="BO181" s="646"/>
      <c r="BP181" s="646"/>
      <c r="BQ181" s="646"/>
      <c r="BR181" s="646"/>
      <c r="BS181" s="646"/>
      <c r="BT181" s="646"/>
      <c r="BU181" s="646"/>
      <c r="BV181" s="646"/>
      <c r="BW181" s="646"/>
      <c r="BX181" s="646"/>
      <c r="BY181" s="646"/>
      <c r="BZ181" s="646"/>
      <c r="CA181" s="646"/>
    </row>
    <row r="182" spans="2:79">
      <c r="B182" s="652" t="s">
        <v>362</v>
      </c>
      <c r="C182" s="646">
        <f ca="1">SUM(G178:CA178)</f>
        <v>18346593.679784354</v>
      </c>
      <c r="D182" s="646"/>
      <c r="E182" s="645"/>
      <c r="F182" s="645"/>
      <c r="G182" s="646"/>
      <c r="H182" s="646"/>
      <c r="I182" s="646"/>
      <c r="J182" s="646"/>
      <c r="K182" s="646"/>
      <c r="L182" s="646"/>
      <c r="M182" s="646"/>
      <c r="N182" s="646"/>
      <c r="O182" s="646"/>
      <c r="P182" s="646"/>
      <c r="Q182" s="646"/>
      <c r="R182" s="646"/>
      <c r="S182" s="646"/>
      <c r="T182" s="646"/>
      <c r="U182" s="646"/>
      <c r="V182" s="646"/>
      <c r="W182" s="646"/>
      <c r="X182" s="646"/>
      <c r="Y182" s="646"/>
      <c r="Z182" s="646"/>
      <c r="AA182" s="646"/>
      <c r="AB182" s="646"/>
      <c r="AC182" s="646"/>
      <c r="AD182" s="646"/>
      <c r="AE182" s="646"/>
      <c r="AF182" s="646"/>
      <c r="AG182" s="646"/>
      <c r="AH182" s="646"/>
      <c r="AI182" s="646"/>
      <c r="AJ182" s="646"/>
      <c r="AK182" s="646"/>
      <c r="AL182" s="646"/>
      <c r="AM182" s="646"/>
      <c r="AN182" s="646"/>
      <c r="AO182" s="646"/>
      <c r="AP182" s="646"/>
      <c r="AQ182" s="646"/>
      <c r="AR182" s="646"/>
      <c r="AS182" s="646"/>
      <c r="AT182" s="646"/>
      <c r="AU182" s="646"/>
      <c r="AV182" s="646"/>
      <c r="AW182" s="646"/>
      <c r="AX182" s="646"/>
      <c r="AY182" s="646"/>
      <c r="AZ182" s="646"/>
      <c r="BA182" s="646"/>
      <c r="BB182" s="646"/>
      <c r="BC182" s="646"/>
      <c r="BD182" s="646"/>
      <c r="BE182" s="646"/>
      <c r="BF182" s="646"/>
      <c r="BG182" s="646"/>
      <c r="BH182" s="646"/>
      <c r="BI182" s="646"/>
      <c r="BJ182" s="646"/>
      <c r="BK182" s="646"/>
      <c r="BL182" s="646"/>
      <c r="BM182" s="646"/>
      <c r="BN182" s="646"/>
      <c r="BO182" s="646"/>
      <c r="BP182" s="646"/>
      <c r="BQ182" s="646"/>
      <c r="BR182" s="646"/>
      <c r="BS182" s="646"/>
      <c r="BT182" s="646"/>
      <c r="BU182" s="646"/>
      <c r="BV182" s="646"/>
      <c r="BW182" s="646"/>
      <c r="BX182" s="646"/>
      <c r="BY182" s="646"/>
      <c r="BZ182" s="646"/>
      <c r="CA182" s="646"/>
    </row>
    <row r="183" spans="2:79">
      <c r="B183" s="655" t="s">
        <v>351</v>
      </c>
      <c r="C183" s="656">
        <f ca="1">SUM(C182-E176)/-E176</f>
        <v>3.6485757935675598</v>
      </c>
      <c r="D183" s="656"/>
      <c r="E183" s="657"/>
      <c r="F183" s="658"/>
      <c r="G183" s="659"/>
      <c r="H183" s="659"/>
      <c r="I183" s="659"/>
      <c r="J183" s="659"/>
      <c r="K183" s="659"/>
      <c r="L183" s="659"/>
      <c r="M183" s="659"/>
      <c r="N183" s="659"/>
      <c r="O183" s="659"/>
      <c r="P183" s="659"/>
      <c r="Q183" s="659"/>
      <c r="R183" s="659"/>
      <c r="S183" s="659"/>
      <c r="T183" s="659"/>
      <c r="U183" s="659"/>
      <c r="V183" s="659"/>
      <c r="W183" s="659"/>
      <c r="X183" s="659"/>
      <c r="Y183" s="659"/>
      <c r="Z183" s="659"/>
      <c r="AA183" s="659"/>
      <c r="AB183" s="659"/>
      <c r="AC183" s="659"/>
      <c r="AD183" s="659"/>
      <c r="AE183" s="659"/>
      <c r="AF183" s="659"/>
      <c r="AG183" s="659"/>
      <c r="AH183" s="659"/>
      <c r="AI183" s="659"/>
      <c r="AJ183" s="659"/>
      <c r="AK183" s="659"/>
      <c r="AL183" s="659"/>
      <c r="AM183" s="659"/>
      <c r="AN183" s="659"/>
      <c r="AO183" s="659"/>
      <c r="AP183" s="659"/>
      <c r="AQ183" s="659"/>
      <c r="AR183" s="659"/>
      <c r="AS183" s="659"/>
      <c r="AT183" s="659"/>
      <c r="AU183" s="659"/>
      <c r="AV183" s="659"/>
      <c r="AW183" s="659"/>
      <c r="AX183" s="659"/>
      <c r="AY183" s="659"/>
      <c r="AZ183" s="659"/>
      <c r="BA183" s="659"/>
      <c r="BB183" s="659"/>
      <c r="BC183" s="659"/>
      <c r="BD183" s="659"/>
      <c r="BE183" s="659"/>
      <c r="BF183" s="659"/>
      <c r="BG183" s="659"/>
      <c r="BH183" s="659"/>
      <c r="BI183" s="659"/>
      <c r="BJ183" s="659"/>
      <c r="BK183" s="659"/>
      <c r="BL183" s="659"/>
      <c r="BM183" s="659"/>
      <c r="BN183" s="659"/>
      <c r="BO183" s="659"/>
      <c r="BP183" s="659"/>
      <c r="BQ183" s="659"/>
      <c r="BR183" s="659"/>
      <c r="BS183" s="659"/>
      <c r="BT183" s="659"/>
      <c r="BU183" s="659"/>
      <c r="BV183" s="659"/>
      <c r="BW183" s="659"/>
      <c r="BX183" s="659"/>
      <c r="BY183" s="659"/>
      <c r="BZ183" s="659"/>
      <c r="CA183" s="659"/>
    </row>
    <row r="184" spans="2:79">
      <c r="B184" s="28" t="s">
        <v>75</v>
      </c>
      <c r="E184" s="136">
        <f ca="1">SUM(G184:CA184)</f>
        <v>3994838.6038984526</v>
      </c>
      <c r="G184" s="136">
        <f>G154+G155+G119</f>
        <v>0</v>
      </c>
      <c r="H184" s="136">
        <f t="shared" ref="H184:BS184" ca="1" si="252">H154+H155+H119</f>
        <v>30600</v>
      </c>
      <c r="I184" s="136">
        <f t="shared" ca="1" si="252"/>
        <v>36170.977417984221</v>
      </c>
      <c r="J184" s="136">
        <f t="shared" ca="1" si="252"/>
        <v>43854.447407255968</v>
      </c>
      <c r="K184" s="136">
        <f t="shared" ca="1" si="252"/>
        <v>51587.353073788006</v>
      </c>
      <c r="L184" s="136">
        <f t="shared" ca="1" si="252"/>
        <v>59370.012488216322</v>
      </c>
      <c r="M184" s="136">
        <f t="shared" ca="1" si="252"/>
        <v>67202.745767652959</v>
      </c>
      <c r="N184" s="136">
        <f t="shared" ca="1" si="252"/>
        <v>75085.87508885315</v>
      </c>
      <c r="O184" s="136">
        <f t="shared" ca="1" si="252"/>
        <v>83019.72470146697</v>
      </c>
      <c r="P184" s="136">
        <f t="shared" ca="1" si="252"/>
        <v>91004.620941376576</v>
      </c>
      <c r="Q184" s="136">
        <f t="shared" ca="1" si="252"/>
        <v>95036.860428282074</v>
      </c>
      <c r="R184" s="136">
        <f t="shared" ca="1" si="252"/>
        <v>99057.77445354205</v>
      </c>
      <c r="S184" s="136">
        <f t="shared" ca="1" si="252"/>
        <v>103060.49975077278</v>
      </c>
      <c r="T184" s="136">
        <f t="shared" ca="1" si="252"/>
        <v>107049.55264845745</v>
      </c>
      <c r="U184" s="136">
        <f t="shared" ca="1" si="252"/>
        <v>111023.95409710513</v>
      </c>
      <c r="V184" s="136">
        <f t="shared" ca="1" si="252"/>
        <v>114493.76814185642</v>
      </c>
      <c r="W184" s="136">
        <f t="shared" ca="1" si="252"/>
        <v>85111.29514243688</v>
      </c>
      <c r="X184" s="136">
        <f t="shared" ca="1" si="252"/>
        <v>86085.153126331439</v>
      </c>
      <c r="Y184" s="136">
        <f t="shared" ca="1" si="252"/>
        <v>87007.699082379608</v>
      </c>
      <c r="Z184" s="136">
        <f t="shared" ca="1" si="252"/>
        <v>87870.024460273737</v>
      </c>
      <c r="AA184" s="136">
        <f t="shared" ca="1" si="252"/>
        <v>88642.414749043863</v>
      </c>
      <c r="AB184" s="136">
        <f t="shared" ca="1" si="252"/>
        <v>89338.630398267691</v>
      </c>
      <c r="AC184" s="136">
        <f t="shared" ca="1" si="252"/>
        <v>89977.439121138741</v>
      </c>
      <c r="AD184" s="136">
        <f t="shared" ca="1" si="252"/>
        <v>90571.400947247399</v>
      </c>
      <c r="AE184" s="136">
        <f t="shared" ca="1" si="252"/>
        <v>91118.342431541008</v>
      </c>
      <c r="AF184" s="136">
        <f t="shared" ca="1" si="252"/>
        <v>83300.311165675477</v>
      </c>
      <c r="AG184" s="136">
        <f t="shared" ca="1" si="252"/>
        <v>83300.311165677689</v>
      </c>
      <c r="AH184" s="136">
        <f t="shared" ca="1" si="252"/>
        <v>83300.311165680439</v>
      </c>
      <c r="AI184" s="136">
        <f t="shared" ca="1" si="252"/>
        <v>83300.311165683772</v>
      </c>
      <c r="AJ184" s="136">
        <f t="shared" ca="1" si="252"/>
        <v>83300.311165687584</v>
      </c>
      <c r="AK184" s="136">
        <f t="shared" ca="1" si="252"/>
        <v>83300.31116569195</v>
      </c>
      <c r="AL184" s="136">
        <f t="shared" ca="1" si="252"/>
        <v>83300.311165696869</v>
      </c>
      <c r="AM184" s="136">
        <f t="shared" ca="1" si="252"/>
        <v>83300.311165702282</v>
      </c>
      <c r="AN184" s="136">
        <f t="shared" ca="1" si="252"/>
        <v>83300.311165708059</v>
      </c>
      <c r="AO184" s="136">
        <f t="shared" ca="1" si="252"/>
        <v>83300.311165713807</v>
      </c>
      <c r="AP184" s="136">
        <f t="shared" ca="1" si="252"/>
        <v>83300.311165719075</v>
      </c>
      <c r="AQ184" s="136">
        <f t="shared" ca="1" si="252"/>
        <v>83300.311165722975</v>
      </c>
      <c r="AR184" s="136">
        <f t="shared" ca="1" si="252"/>
        <v>85991.192003941323</v>
      </c>
      <c r="AS184" s="136">
        <f t="shared" ca="1" si="252"/>
        <v>85991.19200393866</v>
      </c>
      <c r="AT184" s="136">
        <f t="shared" ca="1" si="252"/>
        <v>85991.192003930206</v>
      </c>
      <c r="AU184" s="136">
        <f t="shared" ca="1" si="252"/>
        <v>85991.192003914068</v>
      </c>
      <c r="AV184" s="136">
        <f t="shared" ca="1" si="252"/>
        <v>85991.192003888587</v>
      </c>
      <c r="AW184" s="136">
        <f t="shared" ca="1" si="252"/>
        <v>85991.192003852557</v>
      </c>
      <c r="AX184" s="136">
        <f t="shared" ca="1" si="252"/>
        <v>85991.192003805758</v>
      </c>
      <c r="AY184" s="136">
        <f t="shared" ca="1" si="252"/>
        <v>85991.192003749107</v>
      </c>
      <c r="AZ184" s="136">
        <f t="shared" ca="1" si="252"/>
        <v>85991.192003684439</v>
      </c>
      <c r="BA184" s="136">
        <f t="shared" ca="1" si="252"/>
        <v>85991.19200361424</v>
      </c>
      <c r="BB184" s="136">
        <f t="shared" ca="1" si="252"/>
        <v>85991.192003540724</v>
      </c>
      <c r="BC184" s="136">
        <f t="shared" ca="1" si="252"/>
        <v>85991.192003465287</v>
      </c>
      <c r="BD184" s="136">
        <f t="shared" ca="1" si="252"/>
        <v>0</v>
      </c>
      <c r="BE184" s="136">
        <f t="shared" ca="1" si="252"/>
        <v>0</v>
      </c>
      <c r="BF184" s="136">
        <f t="shared" ca="1" si="252"/>
        <v>0</v>
      </c>
      <c r="BG184" s="136">
        <f t="shared" ca="1" si="252"/>
        <v>0</v>
      </c>
      <c r="BH184" s="136">
        <f t="shared" ca="1" si="252"/>
        <v>0</v>
      </c>
      <c r="BI184" s="136">
        <f t="shared" ca="1" si="252"/>
        <v>0</v>
      </c>
      <c r="BJ184" s="136">
        <f t="shared" ca="1" si="252"/>
        <v>0</v>
      </c>
      <c r="BK184" s="136">
        <f t="shared" ca="1" si="252"/>
        <v>0</v>
      </c>
      <c r="BL184" s="136">
        <f t="shared" ca="1" si="252"/>
        <v>0</v>
      </c>
      <c r="BM184" s="136">
        <f t="shared" ca="1" si="252"/>
        <v>0</v>
      </c>
      <c r="BN184" s="136">
        <f t="shared" ca="1" si="252"/>
        <v>0</v>
      </c>
      <c r="BO184" s="136">
        <f t="shared" ca="1" si="252"/>
        <v>0</v>
      </c>
      <c r="BP184" s="136">
        <f t="shared" ca="1" si="252"/>
        <v>0</v>
      </c>
      <c r="BQ184" s="136">
        <f t="shared" ca="1" si="252"/>
        <v>0</v>
      </c>
      <c r="BR184" s="136">
        <f t="shared" ca="1" si="252"/>
        <v>0</v>
      </c>
      <c r="BS184" s="136">
        <f t="shared" ca="1" si="252"/>
        <v>0</v>
      </c>
      <c r="BT184" s="136">
        <f t="shared" ref="BT184:CA184" ca="1" si="253">BT154+BT155+BT119</f>
        <v>0</v>
      </c>
      <c r="BU184" s="136">
        <f t="shared" ca="1" si="253"/>
        <v>0</v>
      </c>
      <c r="BV184" s="136">
        <f t="shared" ca="1" si="253"/>
        <v>0</v>
      </c>
      <c r="BW184" s="136">
        <f t="shared" ca="1" si="253"/>
        <v>0</v>
      </c>
      <c r="BX184" s="136">
        <f t="shared" ca="1" si="253"/>
        <v>0</v>
      </c>
      <c r="BY184" s="136">
        <f t="shared" ca="1" si="253"/>
        <v>0</v>
      </c>
      <c r="BZ184" s="136">
        <f t="shared" ca="1" si="253"/>
        <v>0</v>
      </c>
      <c r="CA184" s="136">
        <f t="shared" ca="1" si="253"/>
        <v>0</v>
      </c>
    </row>
    <row r="185" spans="2:79">
      <c r="B185" s="28" t="s">
        <v>76</v>
      </c>
      <c r="E185" s="378">
        <f ca="1">E178+E184</f>
        <v>22341432.283696488</v>
      </c>
      <c r="G185" s="136"/>
      <c r="H185" s="136">
        <f t="shared" ref="H185:BB185" ca="1" si="254">H161</f>
        <v>-865861.26000913954</v>
      </c>
      <c r="I185" s="136">
        <f t="shared" ca="1" si="254"/>
        <v>-1194192.4202881528</v>
      </c>
      <c r="J185" s="136">
        <f t="shared" ca="1" si="254"/>
        <v>-1201875.8902774246</v>
      </c>
      <c r="K185" s="136">
        <f t="shared" ca="1" si="254"/>
        <v>-1209608.7959439566</v>
      </c>
      <c r="L185" s="136">
        <f t="shared" ca="1" si="254"/>
        <v>-1217391.4553583849</v>
      </c>
      <c r="M185" s="136">
        <f t="shared" ca="1" si="254"/>
        <v>-1225224.1886378215</v>
      </c>
      <c r="N185" s="136">
        <f t="shared" ca="1" si="254"/>
        <v>-1233107.3179590218</v>
      </c>
      <c r="O185" s="136">
        <f t="shared" ca="1" si="254"/>
        <v>-1241041.1675716355</v>
      </c>
      <c r="P185" s="136">
        <f t="shared" ca="1" si="254"/>
        <v>-626705.10053044604</v>
      </c>
      <c r="Q185" s="136">
        <f t="shared" ca="1" si="254"/>
        <v>-624944.85672495479</v>
      </c>
      <c r="R185" s="136">
        <f t="shared" ca="1" si="254"/>
        <v>-622117.89948070608</v>
      </c>
      <c r="S185" s="136">
        <f t="shared" ca="1" si="254"/>
        <v>-619992.88618231437</v>
      </c>
      <c r="T185" s="136">
        <f t="shared" ca="1" si="254"/>
        <v>-617715.70550605899</v>
      </c>
      <c r="U185" s="136">
        <f t="shared" ca="1" si="254"/>
        <v>-539290.92426173959</v>
      </c>
      <c r="V185" s="136">
        <f t="shared" ca="1" si="254"/>
        <v>-189232.40640230937</v>
      </c>
      <c r="W185" s="136">
        <f t="shared" ca="1" si="254"/>
        <v>-151360.49524866516</v>
      </c>
      <c r="X185" s="136">
        <f t="shared" ca="1" si="254"/>
        <v>-143385.39613207249</v>
      </c>
      <c r="Y185" s="136">
        <f t="shared" ca="1" si="254"/>
        <v>-134025.69822507881</v>
      </c>
      <c r="Z185" s="136">
        <f t="shared" ca="1" si="254"/>
        <v>-120047.66461527895</v>
      </c>
      <c r="AA185" s="136">
        <f t="shared" ca="1" si="254"/>
        <v>-108208.32935508658</v>
      </c>
      <c r="AB185" s="136">
        <f t="shared" ca="1" si="254"/>
        <v>-99285.93928670304</v>
      </c>
      <c r="AC185" s="136">
        <f t="shared" ca="1" si="254"/>
        <v>-92315.673994814162</v>
      </c>
      <c r="AD185" s="136">
        <f t="shared" ca="1" si="254"/>
        <v>-85007.604089692977</v>
      </c>
      <c r="AE185" s="136">
        <f t="shared" ca="1" si="254"/>
        <v>-78060.923918623695</v>
      </c>
      <c r="AF185" s="136">
        <f t="shared" ca="1" si="254"/>
        <v>0</v>
      </c>
      <c r="AG185" s="136">
        <f t="shared" ca="1" si="254"/>
        <v>0</v>
      </c>
      <c r="AH185" s="136">
        <f t="shared" ca="1" si="254"/>
        <v>0</v>
      </c>
      <c r="AI185" s="136">
        <f t="shared" ca="1" si="254"/>
        <v>0</v>
      </c>
      <c r="AJ185" s="136">
        <f t="shared" ca="1" si="254"/>
        <v>0</v>
      </c>
      <c r="AK185" s="136">
        <f t="shared" ca="1" si="254"/>
        <v>0</v>
      </c>
      <c r="AL185" s="136">
        <f t="shared" ca="1" si="254"/>
        <v>0</v>
      </c>
      <c r="AM185" s="136">
        <f t="shared" ca="1" si="254"/>
        <v>0</v>
      </c>
      <c r="AN185" s="136">
        <f t="shared" ca="1" si="254"/>
        <v>0</v>
      </c>
      <c r="AO185" s="136">
        <f t="shared" ca="1" si="254"/>
        <v>0</v>
      </c>
      <c r="AP185" s="136">
        <f t="shared" ca="1" si="254"/>
        <v>0</v>
      </c>
      <c r="AQ185" s="136">
        <f t="shared" ca="1" si="254"/>
        <v>-460000</v>
      </c>
      <c r="AR185" s="136">
        <f t="shared" ca="1" si="254"/>
        <v>0</v>
      </c>
      <c r="AS185" s="136">
        <f t="shared" ca="1" si="254"/>
        <v>0</v>
      </c>
      <c r="AT185" s="136">
        <f t="shared" ca="1" si="254"/>
        <v>0</v>
      </c>
      <c r="AU185" s="136">
        <f t="shared" ca="1" si="254"/>
        <v>0</v>
      </c>
      <c r="AV185" s="136">
        <f t="shared" ca="1" si="254"/>
        <v>0</v>
      </c>
      <c r="AW185" s="136">
        <f t="shared" ca="1" si="254"/>
        <v>0</v>
      </c>
      <c r="AX185" s="136">
        <f t="shared" ca="1" si="254"/>
        <v>0</v>
      </c>
      <c r="AY185" s="136">
        <f t="shared" ca="1" si="254"/>
        <v>0</v>
      </c>
      <c r="AZ185" s="136">
        <f t="shared" ca="1" si="254"/>
        <v>0</v>
      </c>
      <c r="BA185" s="136">
        <f t="shared" ca="1" si="254"/>
        <v>0</v>
      </c>
      <c r="BB185" s="136">
        <f t="shared" ca="1" si="254"/>
        <v>0</v>
      </c>
      <c r="BC185" s="136">
        <f ca="1">BC161+BC162</f>
        <v>14785991.191930614</v>
      </c>
      <c r="BD185" s="136"/>
      <c r="BE185" s="136"/>
      <c r="BF185" s="136"/>
      <c r="BG185" s="136"/>
      <c r="BH185" s="136"/>
      <c r="BI185" s="136"/>
      <c r="BJ185" s="136"/>
      <c r="BK185" s="136"/>
      <c r="BL185" s="136"/>
      <c r="BM185" s="136"/>
      <c r="BN185" s="136"/>
      <c r="BO185" s="136"/>
      <c r="BP185" s="136"/>
      <c r="BQ185" s="136"/>
      <c r="BR185" s="136"/>
      <c r="BS185" s="136"/>
      <c r="BT185" s="136"/>
      <c r="BU185" s="136"/>
      <c r="BV185" s="136"/>
      <c r="BW185" s="136"/>
      <c r="BX185" s="136"/>
      <c r="BY185" s="136"/>
      <c r="BZ185" s="136"/>
      <c r="CA185" s="136"/>
    </row>
    <row r="186" spans="2:79">
      <c r="B186" s="29"/>
      <c r="E186" s="1120">
        <f ca="1">C192-E185</f>
        <v>-8.6121261119842529E-5</v>
      </c>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36"/>
      <c r="BB186" s="136"/>
      <c r="BC186" s="136"/>
      <c r="BD186" s="136"/>
      <c r="BE186" s="136"/>
      <c r="BF186" s="136"/>
      <c r="BG186" s="136"/>
      <c r="BH186" s="136"/>
      <c r="BI186" s="136"/>
      <c r="BJ186" s="136"/>
      <c r="BK186" s="136"/>
      <c r="BL186" s="136"/>
      <c r="BM186" s="136"/>
      <c r="BN186" s="136"/>
      <c r="BO186" s="136"/>
      <c r="BP186" s="136"/>
      <c r="BQ186" s="136"/>
      <c r="BR186" s="136"/>
      <c r="BS186" s="136"/>
      <c r="BT186" s="136"/>
      <c r="BU186" s="136"/>
      <c r="BV186" s="136"/>
      <c r="BW186" s="136"/>
      <c r="BX186" s="136"/>
      <c r="BY186" s="136"/>
      <c r="BZ186" s="136"/>
      <c r="CA186" s="136"/>
    </row>
    <row r="187" spans="2:79">
      <c r="B187" s="660" t="s">
        <v>77</v>
      </c>
      <c r="C187" s="105"/>
      <c r="D187" s="105"/>
      <c r="E187" s="105"/>
      <c r="F187" s="105"/>
      <c r="G187" s="271"/>
      <c r="H187" s="271"/>
      <c r="I187" s="271"/>
      <c r="J187" s="271"/>
      <c r="K187" s="271"/>
      <c r="L187" s="271"/>
      <c r="M187" s="271"/>
      <c r="N187" s="271"/>
      <c r="O187" s="271"/>
      <c r="P187" s="271"/>
      <c r="Q187" s="271"/>
      <c r="R187" s="271"/>
      <c r="S187" s="271"/>
      <c r="T187" s="271"/>
      <c r="U187" s="271"/>
      <c r="V187" s="271"/>
      <c r="W187" s="271"/>
      <c r="X187" s="271"/>
      <c r="Y187" s="271"/>
      <c r="Z187" s="271"/>
      <c r="AA187" s="271"/>
      <c r="AB187" s="271"/>
      <c r="AC187" s="271"/>
      <c r="AD187" s="271"/>
      <c r="AE187" s="271"/>
      <c r="AF187" s="271"/>
      <c r="AG187" s="271"/>
      <c r="AH187" s="271"/>
      <c r="AI187" s="271"/>
      <c r="AJ187" s="271"/>
      <c r="AK187" s="271"/>
      <c r="AL187" s="271"/>
      <c r="AM187" s="271"/>
      <c r="AN187" s="271"/>
      <c r="AO187" s="271"/>
      <c r="AP187" s="271"/>
      <c r="AQ187" s="271"/>
      <c r="AR187" s="271"/>
      <c r="AS187" s="271"/>
      <c r="AT187" s="271"/>
      <c r="AU187" s="271"/>
      <c r="AV187" s="271"/>
      <c r="AW187" s="271"/>
      <c r="AX187" s="271"/>
      <c r="AY187" s="271"/>
      <c r="AZ187" s="271"/>
      <c r="BA187" s="271"/>
      <c r="BB187" s="271"/>
      <c r="BC187" s="271"/>
      <c r="BD187" s="271"/>
      <c r="BE187" s="271"/>
      <c r="BF187" s="271"/>
      <c r="BG187" s="271"/>
      <c r="BH187" s="271"/>
      <c r="BI187" s="271"/>
      <c r="BJ187" s="271"/>
      <c r="BK187" s="271"/>
      <c r="BL187" s="271"/>
      <c r="BM187" s="271"/>
      <c r="BN187" s="271"/>
      <c r="BO187" s="271"/>
      <c r="BP187" s="271"/>
      <c r="BQ187" s="271"/>
      <c r="BR187" s="271"/>
      <c r="BS187" s="271"/>
      <c r="BT187" s="271"/>
      <c r="BU187" s="271"/>
      <c r="BV187" s="271"/>
      <c r="BW187" s="271"/>
      <c r="BX187" s="271"/>
      <c r="BY187" s="271"/>
      <c r="BZ187" s="271"/>
      <c r="CA187" s="271"/>
    </row>
    <row r="188" spans="2:79">
      <c r="B188" s="105" t="s">
        <v>73</v>
      </c>
      <c r="C188" s="105"/>
      <c r="D188" s="105"/>
      <c r="E188" s="271">
        <f ca="1">SUM(G188:CA188)</f>
        <v>-20177240.02886688</v>
      </c>
      <c r="F188" s="105"/>
      <c r="G188" s="271">
        <f>G127</f>
        <v>-6170830.5186084146</v>
      </c>
      <c r="H188" s="271">
        <f t="shared" ref="H188:BS188" ca="1" si="255">H127</f>
        <v>-1591396.4428701538</v>
      </c>
      <c r="I188" s="271">
        <f t="shared" ca="1" si="255"/>
        <v>-1158021.4428701538</v>
      </c>
      <c r="J188" s="271">
        <f t="shared" ca="1" si="255"/>
        <v>-1158021.4428701538</v>
      </c>
      <c r="K188" s="271">
        <f t="shared" ca="1" si="255"/>
        <v>-1158021.4428701538</v>
      </c>
      <c r="L188" s="271">
        <f t="shared" ca="1" si="255"/>
        <v>-1158021.4428701538</v>
      </c>
      <c r="M188" s="271">
        <f t="shared" ca="1" si="255"/>
        <v>-1158021.4428701538</v>
      </c>
      <c r="N188" s="271">
        <f t="shared" ca="1" si="255"/>
        <v>-1158021.4428701538</v>
      </c>
      <c r="O188" s="271">
        <f t="shared" ca="1" si="255"/>
        <v>-1158021.4428701538</v>
      </c>
      <c r="P188" s="271">
        <f t="shared" ca="1" si="255"/>
        <v>-535700.47958906961</v>
      </c>
      <c r="Q188" s="271">
        <f t="shared" ca="1" si="255"/>
        <v>-529907.99629667285</v>
      </c>
      <c r="R188" s="271">
        <f t="shared" ca="1" si="255"/>
        <v>-523060.12502716423</v>
      </c>
      <c r="S188" s="271">
        <f t="shared" ca="1" si="255"/>
        <v>-516932.38643154188</v>
      </c>
      <c r="T188" s="271">
        <f t="shared" ca="1" si="255"/>
        <v>-510666.15285760188</v>
      </c>
      <c r="U188" s="271">
        <f t="shared" ca="1" si="255"/>
        <v>-508690.92426173959</v>
      </c>
      <c r="V188" s="271">
        <f t="shared" ca="1" si="255"/>
        <v>-74902.556950010417</v>
      </c>
      <c r="W188" s="271">
        <f t="shared" ca="1" si="255"/>
        <v>-74902.556950010432</v>
      </c>
      <c r="X188" s="271">
        <f t="shared" ca="1" si="255"/>
        <v>-74902.556950010417</v>
      </c>
      <c r="Y188" s="271">
        <f t="shared" ca="1" si="255"/>
        <v>-74902.556950010432</v>
      </c>
      <c r="Z188" s="271">
        <f t="shared" ca="1" si="255"/>
        <v>-70715.779172232636</v>
      </c>
      <c r="AA188" s="271">
        <f t="shared" ca="1" si="255"/>
        <v>-70715.779172232636</v>
      </c>
      <c r="AB188" s="271">
        <f t="shared" ca="1" si="255"/>
        <v>-70715.779172232636</v>
      </c>
      <c r="AC188" s="271">
        <f t="shared" ca="1" si="255"/>
        <v>-70715.779172232636</v>
      </c>
      <c r="AD188" s="271">
        <f t="shared" ca="1" si="255"/>
        <v>-70715.779172232636</v>
      </c>
      <c r="AE188" s="271">
        <f t="shared" ca="1" si="255"/>
        <v>-70715.779172232636</v>
      </c>
      <c r="AF188" s="271">
        <f t="shared" ca="1" si="255"/>
        <v>0</v>
      </c>
      <c r="AG188" s="271">
        <f t="shared" ca="1" si="255"/>
        <v>0</v>
      </c>
      <c r="AH188" s="271">
        <f t="shared" ca="1" si="255"/>
        <v>0</v>
      </c>
      <c r="AI188" s="271">
        <f t="shared" ca="1" si="255"/>
        <v>0</v>
      </c>
      <c r="AJ188" s="271">
        <f t="shared" ca="1" si="255"/>
        <v>0</v>
      </c>
      <c r="AK188" s="271">
        <f t="shared" ca="1" si="255"/>
        <v>0</v>
      </c>
      <c r="AL188" s="271">
        <f t="shared" ca="1" si="255"/>
        <v>0</v>
      </c>
      <c r="AM188" s="271">
        <f t="shared" ca="1" si="255"/>
        <v>0</v>
      </c>
      <c r="AN188" s="271">
        <f t="shared" ca="1" si="255"/>
        <v>0</v>
      </c>
      <c r="AO188" s="271">
        <f t="shared" ca="1" si="255"/>
        <v>0</v>
      </c>
      <c r="AP188" s="271">
        <f t="shared" ca="1" si="255"/>
        <v>0</v>
      </c>
      <c r="AQ188" s="271">
        <f t="shared" ca="1" si="255"/>
        <v>-460000</v>
      </c>
      <c r="AR188" s="271">
        <f t="shared" ca="1" si="255"/>
        <v>0</v>
      </c>
      <c r="AS188" s="271">
        <f t="shared" ca="1" si="255"/>
        <v>0</v>
      </c>
      <c r="AT188" s="271">
        <f t="shared" ca="1" si="255"/>
        <v>0</v>
      </c>
      <c r="AU188" s="271">
        <f t="shared" ca="1" si="255"/>
        <v>0</v>
      </c>
      <c r="AV188" s="271">
        <f t="shared" ca="1" si="255"/>
        <v>0</v>
      </c>
      <c r="AW188" s="271">
        <f t="shared" ca="1" si="255"/>
        <v>0</v>
      </c>
      <c r="AX188" s="271">
        <f t="shared" ca="1" si="255"/>
        <v>0</v>
      </c>
      <c r="AY188" s="271">
        <f t="shared" ca="1" si="255"/>
        <v>0</v>
      </c>
      <c r="AZ188" s="271">
        <f t="shared" ca="1" si="255"/>
        <v>0</v>
      </c>
      <c r="BA188" s="271">
        <f t="shared" ca="1" si="255"/>
        <v>0</v>
      </c>
      <c r="BB188" s="271">
        <f t="shared" ca="1" si="255"/>
        <v>0</v>
      </c>
      <c r="BC188" s="271">
        <f t="shared" ca="1" si="255"/>
        <v>0</v>
      </c>
      <c r="BD188" s="271">
        <f t="shared" ca="1" si="255"/>
        <v>0</v>
      </c>
      <c r="BE188" s="271">
        <f t="shared" ca="1" si="255"/>
        <v>0</v>
      </c>
      <c r="BF188" s="271">
        <f t="shared" ca="1" si="255"/>
        <v>0</v>
      </c>
      <c r="BG188" s="271">
        <f t="shared" ca="1" si="255"/>
        <v>0</v>
      </c>
      <c r="BH188" s="271">
        <f t="shared" ca="1" si="255"/>
        <v>0</v>
      </c>
      <c r="BI188" s="271">
        <f t="shared" ca="1" si="255"/>
        <v>0</v>
      </c>
      <c r="BJ188" s="271">
        <f t="shared" ca="1" si="255"/>
        <v>0</v>
      </c>
      <c r="BK188" s="271">
        <f t="shared" ca="1" si="255"/>
        <v>0</v>
      </c>
      <c r="BL188" s="271">
        <f t="shared" ca="1" si="255"/>
        <v>0</v>
      </c>
      <c r="BM188" s="271">
        <f t="shared" ca="1" si="255"/>
        <v>0</v>
      </c>
      <c r="BN188" s="271">
        <f t="shared" ca="1" si="255"/>
        <v>0</v>
      </c>
      <c r="BO188" s="271">
        <f t="shared" ca="1" si="255"/>
        <v>0</v>
      </c>
      <c r="BP188" s="271">
        <f t="shared" ca="1" si="255"/>
        <v>0</v>
      </c>
      <c r="BQ188" s="271">
        <f t="shared" ca="1" si="255"/>
        <v>0</v>
      </c>
      <c r="BR188" s="271">
        <f t="shared" ca="1" si="255"/>
        <v>0</v>
      </c>
      <c r="BS188" s="271">
        <f t="shared" ca="1" si="255"/>
        <v>0</v>
      </c>
      <c r="BT188" s="271">
        <f t="shared" ref="BT188:CA188" ca="1" si="256">BT127</f>
        <v>0</v>
      </c>
      <c r="BU188" s="271">
        <f t="shared" ca="1" si="256"/>
        <v>0</v>
      </c>
      <c r="BV188" s="271">
        <f t="shared" ca="1" si="256"/>
        <v>0</v>
      </c>
      <c r="BW188" s="271">
        <f t="shared" ca="1" si="256"/>
        <v>0</v>
      </c>
      <c r="BX188" s="271">
        <f t="shared" ca="1" si="256"/>
        <v>0</v>
      </c>
      <c r="BY188" s="271">
        <f t="shared" ca="1" si="256"/>
        <v>0</v>
      </c>
      <c r="BZ188" s="271">
        <f t="shared" ca="1" si="256"/>
        <v>0</v>
      </c>
      <c r="CA188" s="271">
        <f t="shared" ca="1" si="256"/>
        <v>0</v>
      </c>
    </row>
    <row r="189" spans="2:79">
      <c r="B189" s="105" t="s">
        <v>49</v>
      </c>
      <c r="C189" s="105"/>
      <c r="D189" s="105"/>
      <c r="E189" s="271">
        <f ca="1">SUM(G189:CA189)</f>
        <v>42518672.312477246</v>
      </c>
      <c r="F189" s="105"/>
      <c r="G189" s="271">
        <f>G128</f>
        <v>0</v>
      </c>
      <c r="H189" s="271">
        <f t="shared" ref="H189:BS189" si="257">H128</f>
        <v>0</v>
      </c>
      <c r="I189" s="271">
        <f t="shared" si="257"/>
        <v>0</v>
      </c>
      <c r="J189" s="271">
        <f t="shared" si="257"/>
        <v>0</v>
      </c>
      <c r="K189" s="271">
        <f t="shared" si="257"/>
        <v>0</v>
      </c>
      <c r="L189" s="271">
        <f t="shared" si="257"/>
        <v>0</v>
      </c>
      <c r="M189" s="271">
        <f t="shared" si="257"/>
        <v>0</v>
      </c>
      <c r="N189" s="271">
        <f t="shared" si="257"/>
        <v>0</v>
      </c>
      <c r="O189" s="271">
        <f t="shared" si="257"/>
        <v>0</v>
      </c>
      <c r="P189" s="271">
        <f t="shared" si="257"/>
        <v>0</v>
      </c>
      <c r="Q189" s="271">
        <f t="shared" si="257"/>
        <v>0</v>
      </c>
      <c r="R189" s="271">
        <f t="shared" si="257"/>
        <v>0</v>
      </c>
      <c r="S189" s="271">
        <f t="shared" si="257"/>
        <v>0</v>
      </c>
      <c r="T189" s="271">
        <f t="shared" si="257"/>
        <v>0</v>
      </c>
      <c r="U189" s="271">
        <f t="shared" ca="1" si="257"/>
        <v>213042.26707111413</v>
      </c>
      <c r="V189" s="271">
        <f t="shared" ca="1" si="257"/>
        <v>163.91868955706377</v>
      </c>
      <c r="W189" s="271">
        <f t="shared" ca="1" si="257"/>
        <v>8653.3568437817794</v>
      </c>
      <c r="X189" s="271">
        <f t="shared" ca="1" si="257"/>
        <v>17602.313944269015</v>
      </c>
      <c r="Y189" s="271">
        <f t="shared" ca="1" si="257"/>
        <v>27884.557807310972</v>
      </c>
      <c r="Z189" s="271">
        <f t="shared" ca="1" si="257"/>
        <v>38538.139017227266</v>
      </c>
      <c r="AA189" s="271">
        <f t="shared" ca="1" si="257"/>
        <v>51149.86456618995</v>
      </c>
      <c r="AB189" s="271">
        <f t="shared" ca="1" si="257"/>
        <v>60768.470283797709</v>
      </c>
      <c r="AC189" s="271">
        <f t="shared" ca="1" si="257"/>
        <v>68377.544298557972</v>
      </c>
      <c r="AD189" s="271">
        <f t="shared" ca="1" si="257"/>
        <v>76279.576029788324</v>
      </c>
      <c r="AE189" s="271">
        <f t="shared" ca="1" si="257"/>
        <v>83773.197685151812</v>
      </c>
      <c r="AF189" s="271">
        <f t="shared" ca="1" si="257"/>
        <v>90506.319908383826</v>
      </c>
      <c r="AG189" s="271">
        <f t="shared" ca="1" si="257"/>
        <v>256451.37601617503</v>
      </c>
      <c r="AH189" s="271">
        <f t="shared" ca="1" si="257"/>
        <v>104356.25803163166</v>
      </c>
      <c r="AI189" s="271">
        <f t="shared" ca="1" si="257"/>
        <v>112024.69863367551</v>
      </c>
      <c r="AJ189" s="271">
        <f t="shared" ca="1" si="257"/>
        <v>119405.27758337119</v>
      </c>
      <c r="AK189" s="271">
        <f t="shared" ca="1" si="257"/>
        <v>137359.81909107303</v>
      </c>
      <c r="AL189" s="271">
        <f t="shared" ca="1" si="257"/>
        <v>146243.37123149037</v>
      </c>
      <c r="AM189" s="271">
        <f t="shared" ca="1" si="257"/>
        <v>152200.79104841067</v>
      </c>
      <c r="AN189" s="271">
        <f t="shared" ca="1" si="257"/>
        <v>133397.37074423602</v>
      </c>
      <c r="AO189" s="271">
        <f t="shared" ca="1" si="257"/>
        <v>133973.37317483668</v>
      </c>
      <c r="AP189" s="271">
        <f t="shared" ca="1" si="257"/>
        <v>133746.12312035754</v>
      </c>
      <c r="AQ189" s="271">
        <f t="shared" ca="1" si="257"/>
        <v>141560.02672048748</v>
      </c>
      <c r="AR189" s="271">
        <f t="shared" ca="1" si="257"/>
        <v>143983.672317986</v>
      </c>
      <c r="AS189" s="271">
        <f t="shared" ca="1" si="257"/>
        <v>146484.18312909742</v>
      </c>
      <c r="AT189" s="271">
        <f t="shared" ca="1" si="257"/>
        <v>149188.51719103832</v>
      </c>
      <c r="AU189" s="271">
        <f t="shared" ca="1" si="257"/>
        <v>152203.73836650129</v>
      </c>
      <c r="AV189" s="271">
        <f t="shared" ca="1" si="257"/>
        <v>155873.30138448303</v>
      </c>
      <c r="AW189" s="271">
        <f t="shared" ca="1" si="257"/>
        <v>158202.61816919767</v>
      </c>
      <c r="AX189" s="271">
        <f t="shared" ca="1" si="257"/>
        <v>159911.08109085905</v>
      </c>
      <c r="AY189" s="271">
        <f t="shared" ca="1" si="257"/>
        <v>161472.54454468281</v>
      </c>
      <c r="AZ189" s="271">
        <f t="shared" ca="1" si="257"/>
        <v>160772.7537616544</v>
      </c>
      <c r="BA189" s="271">
        <f t="shared" ca="1" si="257"/>
        <v>160527.08656163252</v>
      </c>
      <c r="BB189" s="271">
        <f t="shared" ca="1" si="257"/>
        <v>159568.46040805746</v>
      </c>
      <c r="BC189" s="271">
        <f t="shared" si="257"/>
        <v>38503026.34401118</v>
      </c>
      <c r="BD189" s="271">
        <f t="shared" si="257"/>
        <v>0</v>
      </c>
      <c r="BE189" s="271">
        <f t="shared" si="257"/>
        <v>0</v>
      </c>
      <c r="BF189" s="271">
        <f t="shared" si="257"/>
        <v>0</v>
      </c>
      <c r="BG189" s="271">
        <f t="shared" si="257"/>
        <v>0</v>
      </c>
      <c r="BH189" s="271">
        <f t="shared" si="257"/>
        <v>0</v>
      </c>
      <c r="BI189" s="271">
        <f t="shared" si="257"/>
        <v>0</v>
      </c>
      <c r="BJ189" s="271">
        <f t="shared" si="257"/>
        <v>0</v>
      </c>
      <c r="BK189" s="271">
        <f t="shared" si="257"/>
        <v>0</v>
      </c>
      <c r="BL189" s="271">
        <f t="shared" si="257"/>
        <v>0</v>
      </c>
      <c r="BM189" s="271">
        <f t="shared" si="257"/>
        <v>0</v>
      </c>
      <c r="BN189" s="271">
        <f t="shared" si="257"/>
        <v>0</v>
      </c>
      <c r="BO189" s="271">
        <f t="shared" si="257"/>
        <v>0</v>
      </c>
      <c r="BP189" s="271">
        <f t="shared" si="257"/>
        <v>0</v>
      </c>
      <c r="BQ189" s="271">
        <f t="shared" si="257"/>
        <v>0</v>
      </c>
      <c r="BR189" s="271">
        <f t="shared" si="257"/>
        <v>0</v>
      </c>
      <c r="BS189" s="271">
        <f t="shared" si="257"/>
        <v>0</v>
      </c>
      <c r="BT189" s="271">
        <f t="shared" ref="BT189:CA189" si="258">BT128</f>
        <v>0</v>
      </c>
      <c r="BU189" s="271">
        <f t="shared" si="258"/>
        <v>0</v>
      </c>
      <c r="BV189" s="271">
        <f t="shared" si="258"/>
        <v>0</v>
      </c>
      <c r="BW189" s="271">
        <f t="shared" si="258"/>
        <v>0</v>
      </c>
      <c r="BX189" s="271">
        <f t="shared" si="258"/>
        <v>0</v>
      </c>
      <c r="BY189" s="271">
        <f t="shared" si="258"/>
        <v>0</v>
      </c>
      <c r="BZ189" s="271">
        <f t="shared" si="258"/>
        <v>0</v>
      </c>
      <c r="CA189" s="271">
        <f t="shared" si="258"/>
        <v>0</v>
      </c>
    </row>
    <row r="190" spans="2:79" s="15" customFormat="1">
      <c r="B190" s="531" t="s">
        <v>975</v>
      </c>
      <c r="C190" s="531"/>
      <c r="D190" s="531"/>
      <c r="E190" s="279"/>
      <c r="F190" s="531"/>
      <c r="G190" s="279">
        <f>SUM(G188:G189)</f>
        <v>-6170830.5186084146</v>
      </c>
      <c r="H190" s="279">
        <f t="shared" ref="H190:BS190" ca="1" si="259">SUM(H188:H189)</f>
        <v>-1591396.4428701538</v>
      </c>
      <c r="I190" s="279">
        <f t="shared" ca="1" si="259"/>
        <v>-1158021.4428701538</v>
      </c>
      <c r="J190" s="279">
        <f t="shared" ca="1" si="259"/>
        <v>-1158021.4428701538</v>
      </c>
      <c r="K190" s="279">
        <f t="shared" ca="1" si="259"/>
        <v>-1158021.4428701538</v>
      </c>
      <c r="L190" s="279">
        <f t="shared" ca="1" si="259"/>
        <v>-1158021.4428701538</v>
      </c>
      <c r="M190" s="279">
        <f t="shared" ca="1" si="259"/>
        <v>-1158021.4428701538</v>
      </c>
      <c r="N190" s="279">
        <f t="shared" ca="1" si="259"/>
        <v>-1158021.4428701538</v>
      </c>
      <c r="O190" s="279">
        <f t="shared" ca="1" si="259"/>
        <v>-1158021.4428701538</v>
      </c>
      <c r="P190" s="279">
        <f t="shared" ca="1" si="259"/>
        <v>-535700.47958906961</v>
      </c>
      <c r="Q190" s="279">
        <f t="shared" ca="1" si="259"/>
        <v>-529907.99629667285</v>
      </c>
      <c r="R190" s="279">
        <f t="shared" ca="1" si="259"/>
        <v>-523060.12502716423</v>
      </c>
      <c r="S190" s="279">
        <f t="shared" ca="1" si="259"/>
        <v>-516932.38643154188</v>
      </c>
      <c r="T190" s="279">
        <f t="shared" ca="1" si="259"/>
        <v>-510666.15285760188</v>
      </c>
      <c r="U190" s="279">
        <f t="shared" ca="1" si="259"/>
        <v>-295648.65719062544</v>
      </c>
      <c r="V190" s="279">
        <f t="shared" ca="1" si="259"/>
        <v>-74738.638260453357</v>
      </c>
      <c r="W190" s="279">
        <f t="shared" ca="1" si="259"/>
        <v>-66249.200106228658</v>
      </c>
      <c r="X190" s="279">
        <f t="shared" ca="1" si="259"/>
        <v>-57300.243005741402</v>
      </c>
      <c r="Y190" s="279">
        <f t="shared" ca="1" si="259"/>
        <v>-47017.99914269946</v>
      </c>
      <c r="Z190" s="279">
        <f t="shared" ca="1" si="259"/>
        <v>-32177.640155005371</v>
      </c>
      <c r="AA190" s="279">
        <f t="shared" ca="1" si="259"/>
        <v>-19565.914606042687</v>
      </c>
      <c r="AB190" s="279">
        <f t="shared" ca="1" si="259"/>
        <v>-9947.3088884349272</v>
      </c>
      <c r="AC190" s="279">
        <f t="shared" ca="1" si="259"/>
        <v>-2338.2348736746644</v>
      </c>
      <c r="AD190" s="279">
        <f t="shared" ca="1" si="259"/>
        <v>5563.7968575556879</v>
      </c>
      <c r="AE190" s="279">
        <f t="shared" ca="1" si="259"/>
        <v>13057.418512919176</v>
      </c>
      <c r="AF190" s="279">
        <f t="shared" ca="1" si="259"/>
        <v>90506.319908383826</v>
      </c>
      <c r="AG190" s="279">
        <f t="shared" ca="1" si="259"/>
        <v>256451.37601617503</v>
      </c>
      <c r="AH190" s="279">
        <f t="shared" ca="1" si="259"/>
        <v>104356.25803163166</v>
      </c>
      <c r="AI190" s="279">
        <f t="shared" ca="1" si="259"/>
        <v>112024.69863367551</v>
      </c>
      <c r="AJ190" s="279">
        <f t="shared" ca="1" si="259"/>
        <v>119405.27758337119</v>
      </c>
      <c r="AK190" s="279">
        <f t="shared" ca="1" si="259"/>
        <v>137359.81909107303</v>
      </c>
      <c r="AL190" s="279">
        <f t="shared" ca="1" si="259"/>
        <v>146243.37123149037</v>
      </c>
      <c r="AM190" s="279">
        <f t="shared" ca="1" si="259"/>
        <v>152200.79104841067</v>
      </c>
      <c r="AN190" s="279">
        <f t="shared" ca="1" si="259"/>
        <v>133397.37074423602</v>
      </c>
      <c r="AO190" s="279">
        <f t="shared" ca="1" si="259"/>
        <v>133973.37317483668</v>
      </c>
      <c r="AP190" s="279">
        <f t="shared" ca="1" si="259"/>
        <v>133746.12312035754</v>
      </c>
      <c r="AQ190" s="279">
        <f t="shared" ca="1" si="259"/>
        <v>-318439.97327951249</v>
      </c>
      <c r="AR190" s="279">
        <f t="shared" ca="1" si="259"/>
        <v>143983.672317986</v>
      </c>
      <c r="AS190" s="279">
        <f t="shared" ca="1" si="259"/>
        <v>146484.18312909742</v>
      </c>
      <c r="AT190" s="279">
        <f t="shared" ca="1" si="259"/>
        <v>149188.51719103832</v>
      </c>
      <c r="AU190" s="279">
        <f t="shared" ca="1" si="259"/>
        <v>152203.73836650129</v>
      </c>
      <c r="AV190" s="279">
        <f t="shared" ca="1" si="259"/>
        <v>155873.30138448303</v>
      </c>
      <c r="AW190" s="279">
        <f t="shared" ca="1" si="259"/>
        <v>158202.61816919767</v>
      </c>
      <c r="AX190" s="279">
        <f t="shared" ca="1" si="259"/>
        <v>159911.08109085905</v>
      </c>
      <c r="AY190" s="279">
        <f t="shared" ca="1" si="259"/>
        <v>161472.54454468281</v>
      </c>
      <c r="AZ190" s="279">
        <f t="shared" ca="1" si="259"/>
        <v>160772.7537616544</v>
      </c>
      <c r="BA190" s="279">
        <f t="shared" ca="1" si="259"/>
        <v>160527.08656163252</v>
      </c>
      <c r="BB190" s="279">
        <f t="shared" ca="1" si="259"/>
        <v>159568.46040805746</v>
      </c>
      <c r="BC190" s="279">
        <f t="shared" ca="1" si="259"/>
        <v>38503026.34401118</v>
      </c>
      <c r="BD190" s="279">
        <f t="shared" ca="1" si="259"/>
        <v>0</v>
      </c>
      <c r="BE190" s="279">
        <f t="shared" ca="1" si="259"/>
        <v>0</v>
      </c>
      <c r="BF190" s="279">
        <f t="shared" ca="1" si="259"/>
        <v>0</v>
      </c>
      <c r="BG190" s="279">
        <f t="shared" ca="1" si="259"/>
        <v>0</v>
      </c>
      <c r="BH190" s="279">
        <f t="shared" ca="1" si="259"/>
        <v>0</v>
      </c>
      <c r="BI190" s="279">
        <f t="shared" ca="1" si="259"/>
        <v>0</v>
      </c>
      <c r="BJ190" s="279">
        <f t="shared" ca="1" si="259"/>
        <v>0</v>
      </c>
      <c r="BK190" s="279">
        <f t="shared" ca="1" si="259"/>
        <v>0</v>
      </c>
      <c r="BL190" s="279">
        <f t="shared" ca="1" si="259"/>
        <v>0</v>
      </c>
      <c r="BM190" s="279">
        <f t="shared" ca="1" si="259"/>
        <v>0</v>
      </c>
      <c r="BN190" s="279">
        <f t="shared" ca="1" si="259"/>
        <v>0</v>
      </c>
      <c r="BO190" s="279">
        <f t="shared" ca="1" si="259"/>
        <v>0</v>
      </c>
      <c r="BP190" s="279">
        <f t="shared" ca="1" si="259"/>
        <v>0</v>
      </c>
      <c r="BQ190" s="279">
        <f t="shared" ca="1" si="259"/>
        <v>0</v>
      </c>
      <c r="BR190" s="279">
        <f t="shared" ca="1" si="259"/>
        <v>0</v>
      </c>
      <c r="BS190" s="279">
        <f t="shared" ca="1" si="259"/>
        <v>0</v>
      </c>
      <c r="BT190" s="279">
        <f t="shared" ref="BT190:CA190" ca="1" si="260">SUM(BT188:BT189)</f>
        <v>0</v>
      </c>
      <c r="BU190" s="279">
        <f t="shared" ca="1" si="260"/>
        <v>0</v>
      </c>
      <c r="BV190" s="279">
        <f t="shared" ca="1" si="260"/>
        <v>0</v>
      </c>
      <c r="BW190" s="279">
        <f t="shared" ca="1" si="260"/>
        <v>0</v>
      </c>
      <c r="BX190" s="279">
        <f t="shared" ca="1" si="260"/>
        <v>0</v>
      </c>
      <c r="BY190" s="279">
        <f t="shared" ca="1" si="260"/>
        <v>0</v>
      </c>
      <c r="BZ190" s="279">
        <f t="shared" ca="1" si="260"/>
        <v>0</v>
      </c>
      <c r="CA190" s="279">
        <f t="shared" ca="1" si="260"/>
        <v>0</v>
      </c>
    </row>
    <row r="191" spans="2:79">
      <c r="B191" s="661" t="s">
        <v>361</v>
      </c>
      <c r="C191" s="662">
        <f ca="1">XIRR(G190:CA190,G7:CA7)</f>
        <v>0.24322441220283511</v>
      </c>
      <c r="D191" s="662"/>
      <c r="E191" s="105"/>
      <c r="F191" s="105"/>
      <c r="G191" s="271"/>
      <c r="H191" s="271"/>
      <c r="I191" s="271"/>
      <c r="J191" s="271"/>
      <c r="K191" s="271"/>
      <c r="L191" s="271"/>
      <c r="M191" s="271"/>
      <c r="N191" s="271"/>
      <c r="O191" s="271"/>
      <c r="P191" s="271"/>
      <c r="Q191" s="271"/>
      <c r="R191" s="271"/>
      <c r="S191" s="271"/>
      <c r="T191" s="271"/>
      <c r="U191" s="271"/>
      <c r="V191" s="271"/>
      <c r="W191" s="271"/>
      <c r="X191" s="271"/>
      <c r="Y191" s="271"/>
      <c r="Z191" s="271"/>
      <c r="AA191" s="271"/>
      <c r="AB191" s="271"/>
      <c r="AC191" s="271"/>
      <c r="AD191" s="271"/>
      <c r="AE191" s="271"/>
      <c r="AF191" s="271"/>
      <c r="AG191" s="271"/>
      <c r="AH191" s="271"/>
      <c r="AI191" s="271"/>
      <c r="AJ191" s="271"/>
      <c r="AK191" s="271"/>
      <c r="AL191" s="271"/>
      <c r="AM191" s="271"/>
      <c r="AN191" s="271"/>
      <c r="AO191" s="271"/>
      <c r="AP191" s="271"/>
      <c r="AQ191" s="271"/>
      <c r="AR191" s="271"/>
      <c r="AS191" s="271"/>
      <c r="AT191" s="271"/>
      <c r="AU191" s="271"/>
      <c r="AV191" s="271"/>
      <c r="AW191" s="271"/>
      <c r="AX191" s="271"/>
      <c r="AY191" s="271"/>
      <c r="AZ191" s="271"/>
      <c r="BA191" s="271"/>
      <c r="BB191" s="271"/>
      <c r="BC191" s="271"/>
      <c r="BD191" s="271"/>
      <c r="BE191" s="271"/>
      <c r="BF191" s="271"/>
      <c r="BG191" s="271"/>
      <c r="BH191" s="271"/>
      <c r="BI191" s="271"/>
      <c r="BJ191" s="271"/>
      <c r="BK191" s="271"/>
      <c r="BL191" s="271"/>
      <c r="BM191" s="271"/>
      <c r="BN191" s="271"/>
      <c r="BO191" s="271"/>
      <c r="BP191" s="271"/>
      <c r="BQ191" s="271"/>
      <c r="BR191" s="271"/>
      <c r="BS191" s="271"/>
      <c r="BT191" s="271"/>
      <c r="BU191" s="271"/>
      <c r="BV191" s="271"/>
      <c r="BW191" s="271"/>
      <c r="BX191" s="271"/>
      <c r="BY191" s="271"/>
      <c r="BZ191" s="271"/>
      <c r="CA191" s="271"/>
    </row>
    <row r="192" spans="2:79">
      <c r="B192" s="661" t="s">
        <v>362</v>
      </c>
      <c r="C192" s="663">
        <f ca="1">SUM(G190:CA190)</f>
        <v>22341432.283610366</v>
      </c>
      <c r="D192" s="663"/>
      <c r="E192" s="105"/>
      <c r="F192" s="105"/>
      <c r="G192" s="271"/>
      <c r="H192" s="271"/>
      <c r="I192" s="271"/>
      <c r="J192" s="271"/>
      <c r="K192" s="271"/>
      <c r="L192" s="271"/>
      <c r="M192" s="271"/>
      <c r="N192" s="271"/>
      <c r="O192" s="271"/>
      <c r="P192" s="271"/>
      <c r="Q192" s="271"/>
      <c r="R192" s="271"/>
      <c r="S192" s="271"/>
      <c r="T192" s="271"/>
      <c r="U192" s="271"/>
      <c r="V192" s="271"/>
      <c r="W192" s="271"/>
      <c r="X192" s="271"/>
      <c r="Y192" s="271"/>
      <c r="Z192" s="271"/>
      <c r="AA192" s="271"/>
      <c r="AB192" s="271"/>
      <c r="AC192" s="271"/>
      <c r="AD192" s="271"/>
      <c r="AE192" s="271"/>
      <c r="AF192" s="271"/>
      <c r="AG192" s="271"/>
      <c r="AH192" s="271"/>
      <c r="AI192" s="271"/>
      <c r="AJ192" s="271"/>
      <c r="AK192" s="271"/>
      <c r="AL192" s="271"/>
      <c r="AM192" s="271"/>
      <c r="AN192" s="271"/>
      <c r="AO192" s="271"/>
      <c r="AP192" s="271"/>
      <c r="AQ192" s="271"/>
      <c r="AR192" s="271"/>
      <c r="AS192" s="271"/>
      <c r="AT192" s="271"/>
      <c r="AU192" s="271"/>
      <c r="AV192" s="271"/>
      <c r="AW192" s="271"/>
      <c r="AX192" s="271"/>
      <c r="AY192" s="271"/>
      <c r="AZ192" s="271"/>
      <c r="BA192" s="271"/>
      <c r="BB192" s="271"/>
      <c r="BC192" s="271"/>
      <c r="BD192" s="271"/>
      <c r="BE192" s="271"/>
      <c r="BF192" s="271"/>
      <c r="BG192" s="271"/>
      <c r="BH192" s="271"/>
      <c r="BI192" s="271"/>
      <c r="BJ192" s="271"/>
      <c r="BK192" s="271"/>
      <c r="BL192" s="271"/>
      <c r="BM192" s="271"/>
      <c r="BN192" s="271"/>
      <c r="BO192" s="271"/>
      <c r="BP192" s="271"/>
      <c r="BQ192" s="271"/>
      <c r="BR192" s="271"/>
      <c r="BS192" s="271"/>
      <c r="BT192" s="271"/>
      <c r="BU192" s="271"/>
      <c r="BV192" s="271"/>
      <c r="BW192" s="271"/>
      <c r="BX192" s="271"/>
      <c r="BY192" s="271"/>
      <c r="BZ192" s="271"/>
      <c r="CA192" s="271"/>
    </row>
    <row r="193" spans="2:79">
      <c r="B193" s="661" t="s">
        <v>351</v>
      </c>
      <c r="C193" s="664">
        <f ca="1">SUM(C192-E188)/-E188</f>
        <v>2.1072590825924284</v>
      </c>
      <c r="D193" s="664"/>
      <c r="E193" s="105"/>
      <c r="F193" s="105"/>
      <c r="G193" s="271"/>
      <c r="H193" s="271"/>
      <c r="I193" s="271"/>
      <c r="J193" s="271"/>
      <c r="K193" s="271"/>
      <c r="L193" s="271"/>
      <c r="M193" s="271"/>
      <c r="N193" s="271"/>
      <c r="O193" s="271"/>
      <c r="P193" s="271"/>
      <c r="Q193" s="271"/>
      <c r="R193" s="271"/>
      <c r="S193" s="271"/>
      <c r="T193" s="271"/>
      <c r="U193" s="271"/>
      <c r="V193" s="271"/>
      <c r="W193" s="271"/>
      <c r="X193" s="271"/>
      <c r="Y193" s="271"/>
      <c r="Z193" s="271"/>
      <c r="AA193" s="271"/>
      <c r="AB193" s="271"/>
      <c r="AC193" s="271"/>
      <c r="AD193" s="271"/>
      <c r="AE193" s="271"/>
      <c r="AF193" s="271"/>
      <c r="AG193" s="271"/>
      <c r="AH193" s="271"/>
      <c r="AI193" s="271"/>
      <c r="AJ193" s="271"/>
      <c r="AK193" s="271"/>
      <c r="AL193" s="271"/>
      <c r="AM193" s="271"/>
      <c r="AN193" s="271"/>
      <c r="AO193" s="271"/>
      <c r="AP193" s="271"/>
      <c r="AQ193" s="271"/>
      <c r="AR193" s="271"/>
      <c r="AS193" s="271"/>
      <c r="AT193" s="271"/>
      <c r="AU193" s="271"/>
      <c r="AV193" s="271"/>
      <c r="AW193" s="271"/>
      <c r="AX193" s="271"/>
      <c r="AY193" s="271"/>
      <c r="AZ193" s="271"/>
      <c r="BA193" s="271"/>
      <c r="BB193" s="271"/>
      <c r="BC193" s="271"/>
      <c r="BD193" s="271"/>
      <c r="BE193" s="271"/>
      <c r="BF193" s="271"/>
      <c r="BG193" s="271"/>
      <c r="BH193" s="271"/>
      <c r="BI193" s="271"/>
      <c r="BJ193" s="271"/>
      <c r="BK193" s="271"/>
      <c r="BL193" s="271"/>
      <c r="BM193" s="271"/>
      <c r="BN193" s="271"/>
      <c r="BO193" s="271"/>
      <c r="BP193" s="271"/>
      <c r="BQ193" s="271"/>
      <c r="BR193" s="271"/>
      <c r="BS193" s="271"/>
      <c r="BT193" s="271"/>
      <c r="BU193" s="271"/>
      <c r="BV193" s="271"/>
      <c r="BW193" s="271"/>
      <c r="BX193" s="271"/>
      <c r="BY193" s="271"/>
      <c r="BZ193" s="271"/>
      <c r="CA193" s="271"/>
    </row>
    <row r="194" spans="2:79">
      <c r="B194" s="691"/>
      <c r="C194" s="691"/>
      <c r="E194" s="691"/>
      <c r="F194" s="691"/>
      <c r="G194" s="691"/>
      <c r="H194" s="691"/>
      <c r="I194" s="691"/>
      <c r="J194" s="691"/>
      <c r="K194" s="691"/>
      <c r="L194" s="691"/>
      <c r="M194" s="691"/>
      <c r="N194" s="691"/>
      <c r="O194" s="691"/>
      <c r="P194" s="691"/>
      <c r="Q194" s="691"/>
      <c r="R194" s="691"/>
      <c r="S194" s="691"/>
      <c r="T194" s="691"/>
      <c r="U194" s="691"/>
      <c r="V194" s="691"/>
      <c r="W194" s="691"/>
      <c r="X194" s="691"/>
      <c r="Y194" s="691"/>
      <c r="Z194" s="691"/>
      <c r="AA194" s="691"/>
      <c r="AB194" s="691"/>
      <c r="AC194" s="691"/>
      <c r="AD194" s="691"/>
      <c r="AE194" s="691"/>
      <c r="AF194" s="691"/>
      <c r="AG194" s="691"/>
      <c r="AH194" s="691"/>
      <c r="AI194" s="691"/>
      <c r="AJ194" s="691"/>
      <c r="AK194" s="691"/>
      <c r="AL194" s="691"/>
      <c r="AM194" s="691"/>
      <c r="AN194" s="691"/>
      <c r="AO194" s="691"/>
      <c r="AP194" s="691"/>
      <c r="AQ194" s="691"/>
      <c r="AR194" s="691"/>
      <c r="AS194" s="691"/>
      <c r="AT194" s="691"/>
      <c r="AU194" s="691"/>
      <c r="AV194" s="691"/>
      <c r="AW194" s="691"/>
      <c r="AX194" s="691"/>
      <c r="AY194" s="691"/>
      <c r="AZ194" s="691"/>
      <c r="BA194" s="691"/>
      <c r="BB194" s="691"/>
      <c r="BC194" s="691"/>
      <c r="BD194" s="691"/>
      <c r="BE194" s="691"/>
      <c r="BF194" s="691"/>
      <c r="BG194" s="691"/>
      <c r="BH194" s="691"/>
      <c r="BI194" s="691"/>
      <c r="BJ194" s="691"/>
      <c r="BK194" s="691"/>
      <c r="BL194" s="691"/>
      <c r="BM194" s="691"/>
      <c r="BN194" s="691"/>
    </row>
    <row r="195" spans="2:79">
      <c r="B195" s="692"/>
      <c r="C195" s="693"/>
      <c r="D195" s="694"/>
      <c r="E195" s="694"/>
      <c r="F195" s="694"/>
      <c r="G195" s="694"/>
      <c r="H195" s="694"/>
      <c r="I195" s="694"/>
      <c r="J195" s="692"/>
      <c r="K195" s="692"/>
      <c r="L195" s="692"/>
      <c r="M195" s="692"/>
      <c r="N195" s="692"/>
      <c r="O195" s="692"/>
      <c r="P195" s="692"/>
      <c r="Q195" s="692"/>
      <c r="R195" s="692"/>
      <c r="S195" s="692"/>
      <c r="T195" s="692"/>
      <c r="U195" s="692"/>
      <c r="V195" s="692"/>
      <c r="W195" s="692"/>
      <c r="X195" s="692"/>
      <c r="Y195" s="692"/>
      <c r="Z195" s="692"/>
      <c r="AA195" s="692"/>
      <c r="AB195" s="692"/>
      <c r="AC195" s="692"/>
      <c r="AD195" s="692"/>
      <c r="AE195" s="692"/>
      <c r="AF195" s="692"/>
      <c r="AG195" s="692"/>
      <c r="AH195" s="692"/>
      <c r="AI195" s="692"/>
      <c r="AJ195" s="692"/>
      <c r="AK195" s="692"/>
      <c r="AL195" s="692"/>
      <c r="AM195" s="692"/>
      <c r="AN195" s="692"/>
      <c r="AO195" s="692"/>
      <c r="AP195" s="692"/>
      <c r="AQ195" s="692"/>
      <c r="AR195" s="692"/>
      <c r="AS195" s="692"/>
      <c r="AT195" s="692"/>
      <c r="AU195" s="692"/>
      <c r="AV195" s="692"/>
      <c r="AW195" s="692"/>
      <c r="AX195" s="692"/>
      <c r="AY195" s="692"/>
      <c r="AZ195" s="692"/>
      <c r="BA195" s="692"/>
      <c r="BB195" s="692"/>
      <c r="BC195" s="692"/>
      <c r="BD195" s="692"/>
      <c r="BE195" s="692"/>
      <c r="BF195" s="692"/>
      <c r="BG195" s="692"/>
      <c r="BH195" s="692"/>
      <c r="BI195" s="692"/>
      <c r="BJ195" s="692"/>
      <c r="BK195" s="692"/>
      <c r="BL195" s="692"/>
      <c r="BM195" s="692"/>
      <c r="BN195" s="692"/>
    </row>
    <row r="196" spans="2:79">
      <c r="B196" s="692"/>
      <c r="C196" s="693"/>
      <c r="D196" s="694"/>
      <c r="E196" s="694"/>
      <c r="F196" s="694"/>
      <c r="G196" s="694"/>
      <c r="H196" s="694"/>
      <c r="I196" s="694"/>
      <c r="J196" s="692"/>
      <c r="K196" s="692"/>
      <c r="L196" s="692"/>
      <c r="M196" s="692"/>
      <c r="N196" s="692"/>
      <c r="O196" s="692"/>
      <c r="P196" s="692"/>
      <c r="Q196" s="692"/>
      <c r="R196" s="692"/>
      <c r="S196" s="692"/>
      <c r="T196" s="692"/>
      <c r="U196" s="692"/>
      <c r="V196" s="692"/>
      <c r="W196" s="692"/>
      <c r="X196" s="692"/>
      <c r="Y196" s="692"/>
      <c r="Z196" s="692"/>
      <c r="AA196" s="692"/>
      <c r="AB196" s="692"/>
      <c r="AC196" s="692"/>
      <c r="AD196" s="692"/>
      <c r="AE196" s="692"/>
      <c r="AF196" s="692"/>
      <c r="AG196" s="692"/>
      <c r="AH196" s="692"/>
      <c r="AI196" s="692"/>
      <c r="AJ196" s="692"/>
      <c r="AK196" s="692"/>
      <c r="AL196" s="692"/>
      <c r="AM196" s="692"/>
      <c r="AN196" s="692"/>
      <c r="AO196" s="692"/>
      <c r="AP196" s="692"/>
      <c r="AQ196" s="692"/>
      <c r="AR196" s="692"/>
      <c r="AS196" s="692"/>
      <c r="AT196" s="692"/>
      <c r="AU196" s="692"/>
      <c r="AV196" s="692"/>
      <c r="AW196" s="692"/>
      <c r="AX196" s="692"/>
      <c r="AY196" s="692"/>
      <c r="AZ196" s="692"/>
      <c r="BA196" s="692"/>
      <c r="BB196" s="692"/>
      <c r="BC196" s="692"/>
      <c r="BD196" s="692"/>
      <c r="BE196" s="692"/>
      <c r="BF196" s="692"/>
      <c r="BG196" s="692"/>
      <c r="BH196" s="692"/>
      <c r="BI196" s="692"/>
      <c r="BJ196" s="692"/>
      <c r="BK196" s="692"/>
      <c r="BL196" s="692"/>
      <c r="BM196" s="692"/>
      <c r="BN196" s="69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326A-67EE-4B31-9188-B6BBF3E8A427}">
  <sheetPr>
    <tabColor rgb="FF0070C0"/>
  </sheetPr>
  <dimension ref="B1:S112"/>
  <sheetViews>
    <sheetView showGridLines="0" topLeftCell="A2" zoomScale="90" zoomScaleNormal="90" workbookViewId="0">
      <selection activeCell="H21" sqref="H21"/>
    </sheetView>
  </sheetViews>
  <sheetFormatPr defaultColWidth="8.7265625" defaultRowHeight="13"/>
  <cols>
    <col min="1" max="1" width="8.7265625" style="13"/>
    <col min="2" max="2" width="30.7265625" style="13" customWidth="1"/>
    <col min="3" max="3" width="13.26953125" style="13" customWidth="1"/>
    <col min="4" max="4" width="2.7265625" style="13" customWidth="1"/>
    <col min="5" max="9" width="13.26953125" style="13" customWidth="1"/>
    <col min="10" max="10" width="1.7265625" style="13" customWidth="1"/>
    <col min="11" max="11" width="8.81640625" style="156" bestFit="1" customWidth="1"/>
    <col min="12" max="12" width="11.6328125" style="13" bestFit="1" customWidth="1"/>
    <col min="13" max="13" width="34.26953125" style="13" bestFit="1" customWidth="1"/>
    <col min="14" max="14" width="16.26953125" style="13" bestFit="1" customWidth="1"/>
    <col min="15" max="19" width="13.7265625" style="13" customWidth="1"/>
    <col min="20" max="20" width="10.26953125" style="13" bestFit="1" customWidth="1"/>
    <col min="21" max="21" width="10.7265625" style="13" customWidth="1"/>
    <col min="22" max="22" width="10.26953125" style="13" bestFit="1" customWidth="1"/>
    <col min="23" max="23" width="12.36328125" style="13" customWidth="1"/>
    <col min="24" max="26" width="8.7265625" style="13"/>
    <col min="27" max="27" width="10.36328125" style="13" customWidth="1"/>
    <col min="28" max="28" width="13.36328125" style="13" customWidth="1"/>
    <col min="29" max="29" width="10.7265625" style="13" customWidth="1"/>
    <col min="30" max="30" width="13.36328125" style="13" bestFit="1" customWidth="1"/>
    <col min="31" max="31" width="11.7265625" style="13" bestFit="1" customWidth="1"/>
    <col min="32" max="16384" width="8.7265625" style="13"/>
  </cols>
  <sheetData>
    <row r="1" spans="2:11">
      <c r="B1" s="15"/>
      <c r="C1" s="15"/>
      <c r="D1" s="15"/>
    </row>
    <row r="2" spans="2:11">
      <c r="B2" s="1223" t="s">
        <v>369</v>
      </c>
      <c r="C2" s="1223"/>
      <c r="D2" s="1223"/>
      <c r="E2" s="1223"/>
      <c r="F2" s="1223"/>
      <c r="G2" s="1223"/>
      <c r="H2" s="1223"/>
      <c r="I2" s="1223"/>
      <c r="K2" s="333"/>
    </row>
    <row r="3" spans="2:11" s="15" customFormat="1">
      <c r="B3" s="302"/>
      <c r="C3" s="302"/>
      <c r="D3" s="302"/>
      <c r="E3" s="303">
        <v>1</v>
      </c>
      <c r="F3" s="303">
        <v>2</v>
      </c>
      <c r="G3" s="303">
        <v>3</v>
      </c>
      <c r="H3" s="303">
        <v>4</v>
      </c>
      <c r="I3" s="303">
        <v>5</v>
      </c>
      <c r="J3" s="13"/>
      <c r="K3" s="333"/>
    </row>
    <row r="4" spans="2:11" s="15" customFormat="1">
      <c r="B4" s="304"/>
      <c r="C4" s="304"/>
      <c r="D4" s="304"/>
      <c r="E4" s="305"/>
      <c r="F4" s="306"/>
      <c r="G4" s="306"/>
      <c r="H4" s="306"/>
      <c r="I4" s="306"/>
      <c r="J4" s="13"/>
      <c r="K4" s="1206"/>
    </row>
    <row r="5" spans="2:11" s="15" customFormat="1">
      <c r="B5" s="307" t="s">
        <v>370</v>
      </c>
      <c r="C5" s="307"/>
      <c r="D5" s="307"/>
      <c r="E5" s="308"/>
      <c r="F5" s="309"/>
      <c r="G5" s="309"/>
      <c r="H5" s="309"/>
      <c r="I5" s="309"/>
      <c r="J5" s="13"/>
      <c r="K5" s="1206"/>
    </row>
    <row r="6" spans="2:11" s="15" customFormat="1">
      <c r="B6" s="310" t="s">
        <v>371</v>
      </c>
      <c r="C6" s="310"/>
      <c r="D6" s="310"/>
      <c r="E6" s="311">
        <f>AVERAGEIF('Monthly PF Cash Flow'!$G$5:$CA$5,E3,'Monthly PF Cash Flow'!$G$14:$CD$14)</f>
        <v>2851.0309442191283</v>
      </c>
      <c r="F6" s="311">
        <f>AVERAGEIF('Monthly PF Cash Flow'!$G$5:$CA$5,F3,'Monthly PF Cash Flow'!$G$14:$CD$14)</f>
        <v>36478.963037908055</v>
      </c>
      <c r="G6" s="311">
        <f>AVERAGEIF('Monthly PF Cash Flow'!$G$5:$CA$5,G3,'Monthly PF Cash Flow'!$G$14:$CD$14)</f>
        <v>62458.846433532686</v>
      </c>
      <c r="H6" s="311">
        <f>AVERAGEIF('Monthly PF Cash Flow'!$G$5:$CA$5,H3,'Monthly PF Cash Flow'!$G$14:$CD$14)</f>
        <v>66367.250850732031</v>
      </c>
      <c r="I6" s="311">
        <f>AVERAGEIF('Monthly PF Cash Flow'!$G$5:$CA$5,I3,'Monthly PF Cash Flow'!$G$14:$CD$14)</f>
        <v>66499.036287721552</v>
      </c>
      <c r="J6" s="13"/>
      <c r="K6" s="313"/>
    </row>
    <row r="7" spans="2:11" s="15" customFormat="1">
      <c r="B7" s="310" t="s">
        <v>372</v>
      </c>
      <c r="C7" s="310"/>
      <c r="D7" s="310"/>
      <c r="E7" s="311">
        <f>SUMIF('Monthly PF Cash Flow'!$G$6:$CA$6,'Pro Forma (Annual)'!E3*12,'Monthly PF Cash Flow'!$G$14:$CD$14)</f>
        <v>13487.443798971099</v>
      </c>
      <c r="F7" s="311">
        <f>SUMIF('Monthly PF Cash Flow'!$G$6:$CA$6,'Pro Forma (Annual)'!F3*12,'Monthly PF Cash Flow'!$G$14:$CD$14)</f>
        <v>52102.725205692594</v>
      </c>
      <c r="G7" s="311">
        <f>SUMIF('Monthly PF Cash Flow'!$G$6:$CA$6,'Pro Forma (Annual)'!G3*12,'Monthly PF Cash Flow'!$G$14:$CD$14)</f>
        <v>64800.396617730534</v>
      </c>
      <c r="H7" s="311">
        <f>SUMIF('Monthly PF Cash Flow'!$G$6:$CA$6,'Pro Forma (Annual)'!H3*12,'Monthly PF Cash Flow'!$G$14:$CD$14)</f>
        <v>65257.836314480643</v>
      </c>
      <c r="I7" s="311">
        <f>SUMIF('Monthly PF Cash Flow'!$G$6:$CA$6,'Pro Forma (Annual)'!I3*12,'Monthly PF Cash Flow'!$G$14:$CD$14)</f>
        <v>65257.836314480643</v>
      </c>
      <c r="J7" s="13"/>
      <c r="K7" s="313"/>
    </row>
    <row r="8" spans="2:11" s="15" customFormat="1" ht="6" customHeight="1">
      <c r="B8" s="28"/>
      <c r="C8" s="28"/>
      <c r="D8" s="28"/>
      <c r="E8" s="312"/>
      <c r="F8" s="312"/>
      <c r="G8" s="312"/>
      <c r="H8" s="312"/>
      <c r="I8" s="312"/>
      <c r="J8" s="13"/>
      <c r="K8" s="313"/>
    </row>
    <row r="9" spans="2:11" s="15" customFormat="1">
      <c r="B9" s="307" t="s">
        <v>373</v>
      </c>
      <c r="C9" s="307"/>
      <c r="D9" s="307"/>
      <c r="E9" s="308"/>
      <c r="F9" s="309"/>
      <c r="G9" s="309"/>
      <c r="H9" s="309"/>
      <c r="I9" s="309"/>
      <c r="J9" s="13"/>
      <c r="K9" s="1206"/>
    </row>
    <row r="10" spans="2:11" s="15" customFormat="1">
      <c r="B10" s="310" t="s">
        <v>374</v>
      </c>
      <c r="C10" s="310"/>
      <c r="D10" s="310"/>
      <c r="E10" s="312">
        <f>AVERAGEIF('Monthly PF Cash Flow'!$G$5:$CA$5,'Pro Forma (Annual)'!E3,'Monthly PF Cash Flow'!$G$16:$CD$16)</f>
        <v>3.8998050910253906E-2</v>
      </c>
      <c r="F10" s="312">
        <f>AVERAGEIF('Monthly PF Cash Flow'!$G$5:$CA$5,'Pro Forma (Annual)'!F3,'Monthly PF Cash Flow'!$G$16:$CD$16)</f>
        <v>0.50887150961007821</v>
      </c>
      <c r="G10" s="312">
        <f>AVERAGEIF('Monthly PF Cash Flow'!$G$5:$CA$5,'Pro Forma (Annual)'!G3,'Monthly PF Cash Flow'!$G$16:$CD$16)</f>
        <v>0.87128374345803472</v>
      </c>
      <c r="H10" s="312">
        <f>AVERAGEIF('Monthly PF Cash Flow'!$G$5:$CA$5,'Pro Forma (Annual)'!H3,'Monthly PF Cash Flow'!$G$16:$CD$16)</f>
        <v>0.92580491101096485</v>
      </c>
      <c r="I10" s="312">
        <f>AVERAGEIF('Monthly PF Cash Flow'!$G$5:$CA$5,'Pro Forma (Annual)'!I3,'Monthly PF Cash Flow'!$G$16:$CD$16)</f>
        <v>0.92764328164106724</v>
      </c>
      <c r="J10" s="13"/>
      <c r="K10" s="313"/>
    </row>
    <row r="11" spans="2:11" s="15" customFormat="1">
      <c r="B11" s="310" t="s">
        <v>375</v>
      </c>
      <c r="C11" s="310"/>
      <c r="D11" s="310"/>
      <c r="E11" s="312">
        <f>SUMIF('Monthly PF Cash Flow'!$G$6:$CA$6,'Pro Forma (Annual)'!E3*12,'Monthly PF Cash Flow'!$G$16:$CD$16)</f>
        <v>0.18814613451679685</v>
      </c>
      <c r="F11" s="312">
        <f>SUMIF('Monthly PF Cash Flow'!$G$6:$CA$6,'Pro Forma (Annual)'!F3*12,'Monthly PF Cash Flow'!$G$16:$CD$16)</f>
        <v>0.72681869829105539</v>
      </c>
      <c r="G11" s="312">
        <f>SUMIF('Monthly PF Cash Flow'!$G$6:$CA$6,'Pro Forma (Annual)'!G3*12,'Monthly PF Cash Flow'!$G$16:$CD$16)</f>
        <v>0.90394772504715748</v>
      </c>
      <c r="H11" s="312">
        <f>SUMIF('Monthly PF Cash Flow'!$G$6:$CA$6,'Pro Forma (Annual)'!H3*12,'Monthly PF Cash Flow'!$G$16:$CD$16)</f>
        <v>0.91032888310800775</v>
      </c>
      <c r="I11" s="312">
        <f>SUMIF('Monthly PF Cash Flow'!$G$6:$CA$6,'Pro Forma (Annual)'!I3*12,'Monthly PF Cash Flow'!$G$16:$CD$16)</f>
        <v>0.91032888310800775</v>
      </c>
      <c r="J11" s="13"/>
      <c r="K11" s="313"/>
    </row>
    <row r="12" spans="2:11" s="15" customFormat="1" ht="6" customHeight="1">
      <c r="B12" s="28"/>
      <c r="C12" s="28"/>
      <c r="D12" s="28"/>
      <c r="E12" s="308"/>
      <c r="F12" s="309"/>
      <c r="G12" s="309"/>
      <c r="H12" s="309"/>
      <c r="I12" s="309"/>
      <c r="J12" s="13"/>
      <c r="K12" s="1206"/>
    </row>
    <row r="13" spans="2:11" s="15" customFormat="1">
      <c r="B13" s="307" t="s">
        <v>376</v>
      </c>
      <c r="C13" s="28"/>
      <c r="D13" s="28"/>
      <c r="E13" s="308"/>
      <c r="F13" s="309"/>
      <c r="G13" s="309"/>
      <c r="H13" s="309"/>
      <c r="I13" s="309"/>
      <c r="J13" s="13"/>
      <c r="K13" s="1206"/>
    </row>
    <row r="14" spans="2:11" s="15" customFormat="1">
      <c r="B14" s="310" t="s">
        <v>996</v>
      </c>
      <c r="C14" s="307"/>
      <c r="D14" s="307"/>
      <c r="E14" s="340">
        <f>AVERAGEIF('Monthly PF Cash Flow'!$G$5:$CA$5,'Pro Forma (Annual)'!E2,'Monthly PF Cash Flow'!$G$18:$CD$18)</f>
        <v>2.0525496873587921</v>
      </c>
      <c r="F14" s="340">
        <f>AVERAGEIF('Monthly PF Cash Flow'!$G$5:$CA$5,'Pro Forma (Annual)'!F2,'Monthly PF Cash Flow'!$G$18:$CD$18)</f>
        <v>2.0525496873587921</v>
      </c>
      <c r="G14" s="340">
        <f>AVERAGEIF('Monthly PF Cash Flow'!$G$5:$CA$5,'Pro Forma (Annual)'!G2,'Monthly PF Cash Flow'!$G$18:$CD$18)</f>
        <v>2.0525496873587921</v>
      </c>
      <c r="H14" s="340">
        <f>AVERAGEIF('Monthly PF Cash Flow'!$G$5:$CA$5,'Pro Forma (Annual)'!H2,'Monthly PF Cash Flow'!$G$18:$CD$18)</f>
        <v>2.0525496873587921</v>
      </c>
      <c r="I14" s="340">
        <f>AVERAGEIF('Monthly PF Cash Flow'!$G$5:$CA$5,'Pro Forma (Annual)'!I2,'Monthly PF Cash Flow'!$G$18:$CD$18)</f>
        <v>2.0525496873587921</v>
      </c>
      <c r="J14" s="13"/>
      <c r="K14" s="1206"/>
    </row>
    <row r="15" spans="2:11" s="15" customFormat="1">
      <c r="B15" s="310" t="s">
        <v>377</v>
      </c>
      <c r="C15" s="307"/>
      <c r="D15" s="307"/>
      <c r="E15" s="340">
        <f>AVERAGEIF('Monthly PF Cash Flow'!$G$5:$CA$5,'Pro Forma (Annual)'!E3,'Monthly PF Cash Flow'!$G$18:$CD$18)</f>
        <v>2.0464768914883273</v>
      </c>
      <c r="F15" s="340">
        <f>AVERAGEIF('Monthly PF Cash Flow'!$G$5:$CA$5,'Pro Forma (Annual)'!F3,'Monthly PF Cash Flow'!$G$18:$CD$18)</f>
        <v>2.4073263003038572</v>
      </c>
      <c r="G15" s="340">
        <f>AVERAGEIF('Monthly PF Cash Flow'!$G$5:$CA$5,'Pro Forma (Annual)'!G3,'Monthly PF Cash Flow'!$G$18:$CD$18)</f>
        <v>2.9450571936674605</v>
      </c>
      <c r="H15" s="340">
        <f>AVERAGEIF('Monthly PF Cash Flow'!$G$5:$CA$5,'Pro Forma (Annual)'!H3,'Monthly PF Cash Flow'!$G$18:$CD$18)</f>
        <v>3.3001434012183175</v>
      </c>
      <c r="I15" s="340">
        <f>AVERAGEIF('Monthly PF Cash Flow'!$G$5:$CA$5,'Pro Forma (Annual)'!I3,'Monthly PF Cash Flow'!$G$18:$CD$18)</f>
        <v>3.5858652109310083</v>
      </c>
      <c r="J15" s="13"/>
      <c r="K15" s="313"/>
    </row>
    <row r="16" spans="2:11" s="15" customFormat="1">
      <c r="B16" s="310" t="s">
        <v>605</v>
      </c>
      <c r="C16" s="307"/>
      <c r="D16" s="307"/>
      <c r="E16" s="340">
        <f>E15*12</f>
        <v>24.55772269785993</v>
      </c>
      <c r="F16" s="340">
        <f>F15*12</f>
        <v>28.887915603646285</v>
      </c>
      <c r="G16" s="340">
        <f>G15*12</f>
        <v>35.340686324009525</v>
      </c>
      <c r="H16" s="340">
        <f>H15*12</f>
        <v>39.60172081461981</v>
      </c>
      <c r="I16" s="340">
        <f>I15*12</f>
        <v>43.030382531172101</v>
      </c>
      <c r="J16" s="13"/>
      <c r="K16" s="313"/>
    </row>
    <row r="17" spans="2:17" s="15" customFormat="1">
      <c r="B17" s="543"/>
      <c r="C17" s="543"/>
      <c r="D17" s="543"/>
      <c r="E17" s="544"/>
      <c r="F17" s="544"/>
      <c r="G17" s="544"/>
      <c r="H17" s="544"/>
      <c r="I17" s="544"/>
      <c r="J17" s="13"/>
      <c r="K17" s="313"/>
    </row>
    <row r="18" spans="2:17" s="15" customFormat="1">
      <c r="B18" s="28"/>
      <c r="C18" s="28"/>
      <c r="D18" s="28"/>
      <c r="E18" s="314"/>
      <c r="F18" s="314"/>
      <c r="G18" s="314"/>
      <c r="H18" s="314"/>
      <c r="I18" s="314"/>
      <c r="J18" s="13"/>
      <c r="K18" s="314"/>
    </row>
    <row r="19" spans="2:17" s="15" customFormat="1" ht="15" customHeight="1">
      <c r="B19" s="112" t="s">
        <v>412</v>
      </c>
      <c r="C19" s="112"/>
      <c r="D19" s="112"/>
      <c r="E19" s="149"/>
      <c r="F19" s="149"/>
      <c r="G19" s="149"/>
      <c r="H19" s="149"/>
      <c r="I19" s="149"/>
      <c r="J19" s="13"/>
      <c r="K19" s="1207"/>
    </row>
    <row r="20" spans="2:17" s="15" customFormat="1" ht="15" customHeight="1">
      <c r="B20" s="119" t="s">
        <v>976</v>
      </c>
      <c r="C20" s="119"/>
      <c r="D20" s="119"/>
      <c r="E20" s="341">
        <f>SUMIF('Monthly PF Cash Flow'!$G$5:$CA$5,'Pro Forma (Annual)'!E$3,'Monthly PF Cash Flow'!$G$25:$CD$25)</f>
        <v>55678.685705862154</v>
      </c>
      <c r="F20" s="341">
        <f>SUMIF('Monthly PF Cash Flow'!$G$5:$CA$5,'Pro Forma (Annual)'!F$3,'Monthly PF Cash Flow'!$G$25:$CD$25)</f>
        <v>1000578.2587139446</v>
      </c>
      <c r="G20" s="341">
        <f>SUMIF('Monthly PF Cash Flow'!$G$5:$CA$5,'Pro Forma (Annual)'!G$3,'Monthly PF Cash Flow'!$G$25:$CD$25)</f>
        <v>2177478.3463549535</v>
      </c>
      <c r="H20" s="341">
        <f>SUMIF('Monthly PF Cash Flow'!$G$5:$CA$5,'Pro Forma (Annual)'!H$3,'Monthly PF Cash Flow'!$G$25:$CD$25)</f>
        <v>2605608.37990316</v>
      </c>
      <c r="I20" s="341">
        <f>SUMIF('Monthly PF Cash Flow'!$G$5:$CA$5,'Pro Forma (Annual)'!I$3,'Monthly PF Cash Flow'!$G$25:$CD$25)</f>
        <v>2830294.4770360687</v>
      </c>
      <c r="J20" s="13"/>
      <c r="K20" s="343">
        <f ca="1">I20/'SF Breakdown'!$E$24</f>
        <v>35.737801192685858</v>
      </c>
    </row>
    <row r="21" spans="2:17" s="15" customFormat="1" ht="15" customHeight="1">
      <c r="B21" s="112" t="s">
        <v>378</v>
      </c>
      <c r="C21" s="112"/>
      <c r="D21" s="112"/>
      <c r="E21" s="315">
        <f t="shared" ref="E21:I21" si="0">SUM(E20:E20)</f>
        <v>55678.685705862154</v>
      </c>
      <c r="F21" s="315">
        <f t="shared" si="0"/>
        <v>1000578.2587139446</v>
      </c>
      <c r="G21" s="315">
        <f t="shared" si="0"/>
        <v>2177478.3463549535</v>
      </c>
      <c r="H21" s="315">
        <f t="shared" si="0"/>
        <v>2605608.37990316</v>
      </c>
      <c r="I21" s="315">
        <f t="shared" si="0"/>
        <v>2830294.4770360687</v>
      </c>
      <c r="J21" s="13"/>
      <c r="K21" s="1208"/>
      <c r="M21" s="316"/>
      <c r="N21" s="316"/>
      <c r="O21" s="316"/>
      <c r="P21" s="316"/>
    </row>
    <row r="22" spans="2:17" s="15" customFormat="1" ht="15" customHeight="1">
      <c r="B22" s="112"/>
      <c r="C22" s="112"/>
      <c r="D22" s="112"/>
      <c r="E22" s="317"/>
      <c r="F22" s="317"/>
      <c r="G22" s="317"/>
      <c r="H22" s="317"/>
      <c r="I22" s="317"/>
      <c r="J22" s="13"/>
      <c r="K22" s="1207"/>
    </row>
    <row r="23" spans="2:17" s="15" customFormat="1" ht="15" customHeight="1">
      <c r="B23" s="112" t="s">
        <v>379</v>
      </c>
      <c r="C23" s="112"/>
      <c r="D23" s="112"/>
      <c r="E23" s="317"/>
      <c r="F23" s="317"/>
      <c r="G23" s="317"/>
      <c r="H23" s="317"/>
      <c r="I23" s="317"/>
      <c r="J23" s="13"/>
      <c r="K23" s="1209"/>
    </row>
    <row r="24" spans="2:17" ht="15" customHeight="1">
      <c r="B24" s="119" t="s">
        <v>964</v>
      </c>
      <c r="C24" s="119"/>
      <c r="D24" s="119"/>
      <c r="E24" s="341">
        <f>SUMIF('Monthly PF Cash Flow'!$G$5:$CA$5,'Pro Forma (Annual)'!E$3,'Monthly PF Cash Flow'!$G$77:$CA$77)</f>
        <v>0</v>
      </c>
      <c r="F24" s="341">
        <f>SUMIF('Monthly PF Cash Flow'!$G$5:$CA$5,'Pro Forma (Annual)'!F$3,'Monthly PF Cash Flow'!$G$77:$CA$77)</f>
        <v>0</v>
      </c>
      <c r="G24" s="341">
        <f>SUMIF('Monthly PF Cash Flow'!$G$5:$CA$5,'Pro Forma (Annual)'!G$3,'Monthly PF Cash Flow'!$G$77:$CA$77)</f>
        <v>64865.307291666672</v>
      </c>
      <c r="H24" s="341">
        <f>SUMIF('Monthly PF Cash Flow'!$G$5:$CA$5,'Pro Forma (Annual)'!H$3,'Monthly PF Cash Flow'!$G$77:$CA$77)</f>
        <v>183004.4375</v>
      </c>
      <c r="I24" s="341">
        <f>SUMIF('Monthly PF Cash Flow'!$G$5:$CA$5,'Pro Forma (Annual)'!I$3,'Monthly PF Cash Flow'!$G$77:$CA$77)</f>
        <v>183004.4375</v>
      </c>
      <c r="K24" s="313">
        <f ca="1">I24/'SF Breakdown'!$E$24</f>
        <v>2.3107758778525707</v>
      </c>
    </row>
    <row r="25" spans="2:17" s="15" customFormat="1" ht="15" customHeight="1">
      <c r="B25" s="112" t="s">
        <v>380</v>
      </c>
      <c r="C25" s="112"/>
      <c r="D25" s="112"/>
      <c r="E25" s="319">
        <f>SUM(E24:E24)</f>
        <v>0</v>
      </c>
      <c r="F25" s="319">
        <f>SUM(F24:F24)</f>
        <v>0</v>
      </c>
      <c r="G25" s="319">
        <f>SUM(G24:G24)</f>
        <v>64865.307291666672</v>
      </c>
      <c r="H25" s="319">
        <f>SUM(H24:H24)</f>
        <v>183004.4375</v>
      </c>
      <c r="I25" s="319">
        <f>SUM(I24:I24)</f>
        <v>183004.4375</v>
      </c>
      <c r="J25" s="13"/>
      <c r="K25" s="1210">
        <f ca="1">I25/'SF Breakdown'!$E$24</f>
        <v>2.3107758778525707</v>
      </c>
    </row>
    <row r="26" spans="2:17" s="15" customFormat="1" ht="15" customHeight="1">
      <c r="B26" s="112"/>
      <c r="C26" s="112"/>
      <c r="D26" s="112"/>
      <c r="E26" s="320"/>
      <c r="F26" s="320"/>
      <c r="G26" s="320"/>
      <c r="H26" s="320"/>
      <c r="I26" s="320"/>
      <c r="J26" s="13"/>
      <c r="K26" s="1211"/>
    </row>
    <row r="27" spans="2:17" s="15" customFormat="1" ht="15" customHeight="1">
      <c r="B27" s="112" t="s">
        <v>381</v>
      </c>
      <c r="C27" s="112"/>
      <c r="D27" s="112"/>
      <c r="E27" s="321">
        <f>E25+E21</f>
        <v>55678.685705862154</v>
      </c>
      <c r="F27" s="321">
        <f>F25+F21</f>
        <v>1000578.2587139446</v>
      </c>
      <c r="G27" s="321">
        <f>G25+G21</f>
        <v>2242343.65364662</v>
      </c>
      <c r="H27" s="321">
        <f>H25+H21</f>
        <v>2788612.81740316</v>
      </c>
      <c r="I27" s="321">
        <f>I25+I21</f>
        <v>3013298.9145360687</v>
      </c>
      <c r="J27" s="13"/>
      <c r="K27" s="1212">
        <f ca="1">I27/'SF Breakdown'!$E$24</f>
        <v>38.048577070538428</v>
      </c>
      <c r="M27" s="322"/>
      <c r="N27" s="322"/>
      <c r="O27" s="322"/>
      <c r="P27" s="322"/>
      <c r="Q27" s="322"/>
    </row>
    <row r="28" spans="2:17" s="323" customFormat="1" ht="15" customHeight="1">
      <c r="B28" s="109"/>
      <c r="C28" s="109"/>
      <c r="D28" s="109"/>
      <c r="E28" s="324"/>
      <c r="F28" s="324"/>
      <c r="G28" s="324"/>
      <c r="H28" s="324"/>
      <c r="I28" s="324"/>
      <c r="J28" s="13"/>
      <c r="K28" s="1213"/>
    </row>
    <row r="29" spans="2:17" s="15" customFormat="1" ht="15" customHeight="1">
      <c r="B29" s="112" t="s">
        <v>382</v>
      </c>
      <c r="C29" s="112"/>
      <c r="D29" s="112"/>
      <c r="E29" s="318"/>
      <c r="F29" s="318"/>
      <c r="G29" s="318"/>
      <c r="H29" s="318"/>
      <c r="I29" s="318"/>
      <c r="J29" s="13"/>
      <c r="K29" s="1207"/>
    </row>
    <row r="30" spans="2:17">
      <c r="B30" s="119" t="s">
        <v>965</v>
      </c>
      <c r="C30" s="119"/>
      <c r="D30" s="119"/>
      <c r="E30" s="342"/>
      <c r="F30" s="342"/>
      <c r="G30" s="342"/>
      <c r="H30" s="342"/>
      <c r="I30" s="342"/>
      <c r="K30" s="313"/>
      <c r="M30" s="325"/>
      <c r="N30" s="325"/>
      <c r="O30" s="325"/>
      <c r="P30" s="325"/>
      <c r="Q30" s="325"/>
    </row>
    <row r="31" spans="2:17" ht="14.5">
      <c r="B31" s="1108" t="s">
        <v>817</v>
      </c>
      <c r="C31" s="119"/>
      <c r="D31" s="119"/>
      <c r="E31" s="342">
        <f>-SUMIF('Monthly PF Cash Flow'!$G$5:$CA$5,'Pro Forma (Annual)'!E$3,'Monthly PF Cash Flow'!$G$31:$CD$31)</f>
        <v>-5489.1525933695184</v>
      </c>
      <c r="F31" s="342">
        <f>-SUMIF('Monthly PF Cash Flow'!$G$5:$CA$5,'Pro Forma (Annual)'!F$3,'Monthly PF Cash Flow'!$G$31:$CD$31)</f>
        <v>-48338.525903131231</v>
      </c>
      <c r="G31" s="342">
        <f>-SUMIF('Monthly PF Cash Flow'!$G$5:$CA$5,'Pro Forma (Annual)'!G$3,'Monthly PF Cash Flow'!$G$31:$CD$31)</f>
        <v>-93810.865891379537</v>
      </c>
      <c r="H31" s="342">
        <f>-SUMIF('Monthly PF Cash Flow'!$G$5:$CA$5,'Pro Forma (Annual)'!H$3,'Monthly PF Cash Flow'!$G$31:$CD$31)</f>
        <v>-110544.16610237521</v>
      </c>
      <c r="I31" s="342">
        <f>-SUMIF('Monthly PF Cash Flow'!$G$5:$CA$5,'Pro Forma (Annual)'!I$3,'Monthly PF Cash Flow'!$G$31:$CD$31)</f>
        <v>-119392.24555601338</v>
      </c>
      <c r="K31" s="313">
        <f ca="1">I31/'SF Breakdown'!$E$24</f>
        <v>-1.5075520834487226</v>
      </c>
      <c r="M31" s="325"/>
      <c r="N31" s="325"/>
      <c r="O31" s="325"/>
      <c r="P31" s="325"/>
      <c r="Q31" s="325"/>
    </row>
    <row r="32" spans="2:17" ht="14.5">
      <c r="B32" s="1108" t="s">
        <v>31</v>
      </c>
      <c r="C32" s="119"/>
      <c r="D32" s="119"/>
      <c r="E32" s="342">
        <f>-SUMIF('Monthly PF Cash Flow'!$G$5:$CA$5,'Pro Forma (Annual)'!E$3,'Monthly PF Cash Flow'!$G$48:$CD$48)</f>
        <v>-84877.305610630196</v>
      </c>
      <c r="F32" s="342">
        <f>-SUMIF('Monthly PF Cash Flow'!$G$5:$CA$5,'Pro Forma (Annual)'!F$3,'Monthly PF Cash Flow'!$G$48:$CD$48)</f>
        <v>-225376.38595642278</v>
      </c>
      <c r="G32" s="342">
        <f>-SUMIF('Monthly PF Cash Flow'!$G$5:$CA$5,'Pro Forma (Annual)'!G$3,'Monthly PF Cash Flow'!$G$48:$CD$48)</f>
        <v>-248512.84006157014</v>
      </c>
      <c r="H32" s="342">
        <f>-SUMIF('Monthly PF Cash Flow'!$G$5:$CA$5,'Pro Forma (Annual)'!H$3,'Monthly PF Cash Flow'!$G$48:$CD$48)</f>
        <v>-252976.02447950386</v>
      </c>
      <c r="I32" s="342">
        <f>-SUMIF('Monthly PF Cash Flow'!$G$5:$CA$5,'Pro Forma (Annual)'!I$3,'Monthly PF Cash Flow'!$G$48:$CD$48)</f>
        <v>-262284.4595440788</v>
      </c>
      <c r="K32" s="313">
        <f ca="1">I32/'SF Breakdown'!$E$24</f>
        <v>-3.3118355518021567</v>
      </c>
      <c r="M32" s="325"/>
      <c r="N32" s="325"/>
      <c r="O32" s="325"/>
      <c r="P32" s="325"/>
      <c r="Q32" s="325"/>
    </row>
    <row r="33" spans="2:17" ht="14.5">
      <c r="B33" s="1108" t="s">
        <v>928</v>
      </c>
      <c r="C33" s="119"/>
      <c r="D33" s="119"/>
      <c r="E33" s="342">
        <f>-SUMIF('Monthly PF Cash Flow'!$G$5:$CA$5,'Pro Forma (Annual)'!E$3,'Monthly PF Cash Flow'!$G$53:$CD$53)</f>
        <v>-130793.66666666667</v>
      </c>
      <c r="F33" s="342">
        <f>-SUMIF('Monthly PF Cash Flow'!$G$5:$CA$5,'Pro Forma (Annual)'!F$3,'Monthly PF Cash Flow'!$G$53:$CD$53)</f>
        <v>-165768.27000000002</v>
      </c>
      <c r="G33" s="342">
        <f>-SUMIF('Monthly PF Cash Flow'!$G$5:$CA$5,'Pro Forma (Annual)'!G$3,'Monthly PF Cash Flow'!$G$53:$CD$53)</f>
        <v>-247048.87333333338</v>
      </c>
      <c r="H33" s="342">
        <f>-SUMIF('Monthly PF Cash Flow'!$G$5:$CA$5,'Pro Forma (Annual)'!H$3,'Monthly PF Cash Flow'!$G$53:$CD$53)</f>
        <v>-407075.44999999995</v>
      </c>
      <c r="I33" s="342">
        <f>-SUMIF('Monthly PF Cash Flow'!$G$5:$CA$5,'Pro Forma (Annual)'!I$3,'Monthly PF Cash Flow'!$G$53:$CD$53)</f>
        <v>-419287.71350000007</v>
      </c>
      <c r="K33" s="313">
        <f ca="1">I33/'SF Breakdown'!$E$24</f>
        <v>-5.2942974906592628</v>
      </c>
      <c r="M33" s="325"/>
      <c r="N33" s="325"/>
      <c r="O33" s="325"/>
      <c r="P33" s="325"/>
      <c r="Q33" s="325"/>
    </row>
    <row r="34" spans="2:17" ht="14.5">
      <c r="B34" s="1108"/>
      <c r="C34" s="119"/>
      <c r="D34" s="119"/>
      <c r="E34" s="1109">
        <f>SUM(E31:E33)</f>
        <v>-221160.12487066639</v>
      </c>
      <c r="F34" s="1109">
        <f t="shared" ref="F34:I34" si="1">SUM(F31:F33)</f>
        <v>-439483.18185955402</v>
      </c>
      <c r="G34" s="1109">
        <f t="shared" si="1"/>
        <v>-589372.57928628311</v>
      </c>
      <c r="H34" s="1109">
        <f t="shared" si="1"/>
        <v>-770595.64058187907</v>
      </c>
      <c r="I34" s="1109">
        <f t="shared" si="1"/>
        <v>-800964.41860009218</v>
      </c>
      <c r="K34" s="544">
        <f ca="1">I34/'SF Breakdown'!$E$24</f>
        <v>-10.113685125910141</v>
      </c>
      <c r="M34" s="325"/>
      <c r="N34" s="325"/>
      <c r="O34" s="325"/>
      <c r="P34" s="325"/>
      <c r="Q34" s="325"/>
    </row>
    <row r="35" spans="2:17" ht="14.5">
      <c r="B35" s="1108"/>
      <c r="C35" s="119"/>
      <c r="D35" s="119"/>
      <c r="E35" s="342"/>
      <c r="F35" s="342"/>
      <c r="G35" s="342"/>
      <c r="H35" s="342"/>
      <c r="I35" s="342"/>
      <c r="K35" s="313"/>
      <c r="M35" s="325"/>
      <c r="N35" s="325"/>
      <c r="O35" s="325"/>
      <c r="P35" s="325"/>
      <c r="Q35" s="325"/>
    </row>
    <row r="36" spans="2:17">
      <c r="B36" s="119" t="s">
        <v>966</v>
      </c>
      <c r="C36" s="119"/>
      <c r="D36" s="119"/>
      <c r="E36" s="342">
        <f>-SUMIF('Monthly PF Cash Flow'!$G$5:$CA$5,'Pro Forma (Annual)'!E$3,'Monthly PF Cash Flow'!$G$82:$CA$82)</f>
        <v>0</v>
      </c>
      <c r="F36" s="342">
        <f>-SUMIF('Monthly PF Cash Flow'!$G$5:$CA$5,'Pro Forma (Annual)'!F$3,'Monthly PF Cash Flow'!$G$82:$CA$82)</f>
        <v>-32125.041666666661</v>
      </c>
      <c r="G36" s="342">
        <f>-SUMIF('Monthly PF Cash Flow'!$G$5:$CA$5,'Pro Forma (Annual)'!G$3,'Monthly PF Cash Flow'!$G$82:$CA$82)</f>
        <v>-35045.499999999993</v>
      </c>
      <c r="H36" s="342">
        <f>-SUMIF('Monthly PF Cash Flow'!$G$5:$CA$5,'Pro Forma (Annual)'!H$3,'Monthly PF Cash Flow'!$G$82:$CA$82)</f>
        <v>-35045.499999999993</v>
      </c>
      <c r="I36" s="342">
        <f>-SUMIF('Monthly PF Cash Flow'!$G$5:$CA$5,'Pro Forma (Annual)'!I$3,'Monthly PF Cash Flow'!$G$82:$CA$82)</f>
        <v>-35045.499999999993</v>
      </c>
      <c r="K36" s="313">
        <f ca="1">I36/'SF Breakdown'!$E$24</f>
        <v>-0.4425154774035589</v>
      </c>
      <c r="M36" s="325"/>
      <c r="N36" s="325"/>
      <c r="O36" s="325"/>
      <c r="P36" s="325"/>
      <c r="Q36" s="325"/>
    </row>
    <row r="37" spans="2:17" s="15" customFormat="1" ht="15" customHeight="1">
      <c r="B37" s="112" t="s">
        <v>31</v>
      </c>
      <c r="C37" s="112"/>
      <c r="D37" s="112"/>
      <c r="E37" s="315">
        <f>E34+E36</f>
        <v>-221160.12487066639</v>
      </c>
      <c r="F37" s="315">
        <f t="shared" ref="F37:I37" si="2">F34+F36</f>
        <v>-471608.22352622071</v>
      </c>
      <c r="G37" s="315">
        <f t="shared" si="2"/>
        <v>-624418.07928628311</v>
      </c>
      <c r="H37" s="315">
        <f t="shared" si="2"/>
        <v>-805641.14058187907</v>
      </c>
      <c r="I37" s="315">
        <f t="shared" si="2"/>
        <v>-836009.91860009218</v>
      </c>
      <c r="J37" s="13"/>
      <c r="K37" s="1214">
        <f ca="1">I37/'SF Breakdown'!$E$24</f>
        <v>-10.5562006033137</v>
      </c>
    </row>
    <row r="38" spans="2:17" s="15" customFormat="1" ht="15" customHeight="1">
      <c r="B38" s="326" t="s">
        <v>977</v>
      </c>
      <c r="C38" s="326"/>
      <c r="D38" s="326"/>
      <c r="E38" s="328">
        <f>-E34/E21</f>
        <v>3.9720787598867742</v>
      </c>
      <c r="F38" s="328">
        <f t="shared" ref="F38:I38" si="3">-F34/F21</f>
        <v>0.43922919375084873</v>
      </c>
      <c r="G38" s="328">
        <f t="shared" si="3"/>
        <v>0.27066748115905659</v>
      </c>
      <c r="H38" s="328">
        <f t="shared" si="3"/>
        <v>0.29574499626475681</v>
      </c>
      <c r="I38" s="328">
        <f t="shared" si="3"/>
        <v>0.28299684894939814</v>
      </c>
      <c r="J38" s="13"/>
      <c r="K38" s="1215"/>
    </row>
    <row r="39" spans="2:17" s="15" customFormat="1" ht="15" customHeight="1">
      <c r="B39" s="326"/>
      <c r="C39" s="326"/>
      <c r="D39" s="326"/>
      <c r="E39" s="327"/>
      <c r="F39" s="328"/>
      <c r="G39" s="328"/>
      <c r="H39" s="328"/>
      <c r="I39" s="328"/>
      <c r="J39" s="13"/>
      <c r="K39" s="1215"/>
    </row>
    <row r="40" spans="2:17" s="15" customFormat="1" ht="15" customHeight="1" thickBot="1">
      <c r="B40" s="112" t="s">
        <v>24</v>
      </c>
      <c r="C40" s="329">
        <f>SUM(E40:I40)</f>
        <v>6141674.8431405136</v>
      </c>
      <c r="D40" s="112"/>
      <c r="E40" s="330">
        <f t="shared" ref="E40:I40" si="4">SUM(E27,E37)</f>
        <v>-165481.43916480424</v>
      </c>
      <c r="F40" s="330">
        <f t="shared" si="4"/>
        <v>528970.03518772381</v>
      </c>
      <c r="G40" s="330">
        <f t="shared" si="4"/>
        <v>1617925.5743603369</v>
      </c>
      <c r="H40" s="330">
        <f t="shared" si="4"/>
        <v>1982971.676821281</v>
      </c>
      <c r="I40" s="330">
        <f t="shared" si="4"/>
        <v>2177288.9959359765</v>
      </c>
      <c r="J40" s="13"/>
      <c r="K40" s="1216">
        <f ca="1">I40/'SF Breakdown'!$E$24</f>
        <v>27.49237646722473</v>
      </c>
    </row>
    <row r="41" spans="2:17" s="15" customFormat="1" ht="15" customHeight="1" thickTop="1">
      <c r="B41" s="334" t="s">
        <v>978</v>
      </c>
      <c r="C41" s="112"/>
      <c r="D41" s="112"/>
      <c r="E41" s="695">
        <f>(E21+E34)/E21</f>
        <v>-2.9720787598867742</v>
      </c>
      <c r="F41" s="695">
        <f t="shared" ref="F41:I41" si="5">(F21+F34)/F21</f>
        <v>0.56077080624915121</v>
      </c>
      <c r="G41" s="695">
        <f t="shared" si="5"/>
        <v>0.72933251884094341</v>
      </c>
      <c r="H41" s="695">
        <f t="shared" si="5"/>
        <v>0.70425500373524319</v>
      </c>
      <c r="I41" s="695">
        <f t="shared" si="5"/>
        <v>0.71700315105060186</v>
      </c>
      <c r="J41" s="13"/>
      <c r="K41" s="1211"/>
    </row>
    <row r="42" spans="2:17" s="15" customFormat="1" ht="15" customHeight="1">
      <c r="B42" s="112"/>
      <c r="C42" s="112"/>
      <c r="D42" s="112"/>
      <c r="E42" s="1110"/>
      <c r="F42" s="1110"/>
      <c r="G42" s="1110"/>
      <c r="H42" s="1110"/>
      <c r="I42" s="1110"/>
      <c r="J42" s="13"/>
      <c r="K42" s="1211"/>
    </row>
    <row r="43" spans="2:17" s="15" customFormat="1" ht="15" customHeight="1">
      <c r="B43" s="119" t="s">
        <v>384</v>
      </c>
      <c r="C43" s="331">
        <f>I40/H43</f>
        <v>5.5662245090404856E-2</v>
      </c>
      <c r="D43" s="119"/>
      <c r="E43" s="342">
        <f>SUMIF('Monthly PF Cash Flow'!$G$5:$CA$5,'Pro Forma (Annual)'!E$3,'Monthly PF Cash Flow'!$G$97:$CA$97)</f>
        <v>0</v>
      </c>
      <c r="F43" s="342">
        <f>SUMIF('Monthly PF Cash Flow'!$G$5:$CA$5,'Pro Forma (Annual)'!F$3,'Monthly PF Cash Flow'!$G$97:$CA$97)</f>
        <v>0</v>
      </c>
      <c r="G43" s="342">
        <f>SUMIF('Monthly PF Cash Flow'!$G$5:$CA$5,'Pro Forma (Annual)'!G$3,'Monthly PF Cash Flow'!$G$97:$CA$97)</f>
        <v>0</v>
      </c>
      <c r="H43" s="342">
        <f>SUMIF('Monthly PF Cash Flow'!$G$5:$CA$5,'Pro Forma (Annual)'!H$3,'Monthly PF Cash Flow'!$G$97:$CA$97)</f>
        <v>39116082.946343482</v>
      </c>
      <c r="I43" s="629"/>
      <c r="J43" s="13"/>
      <c r="K43" s="313">
        <f ca="1">SUM(E43:H43)/'SF Breakdown'!$E$24</f>
        <v>493.91425772662387</v>
      </c>
    </row>
    <row r="44" spans="2:17" s="15" customFormat="1" ht="15" customHeight="1">
      <c r="B44" s="119" t="s">
        <v>385</v>
      </c>
      <c r="C44" s="331">
        <f>-H44/H43</f>
        <v>0.02</v>
      </c>
      <c r="D44" s="119"/>
      <c r="E44" s="342">
        <f>SUMIF('Monthly PF Cash Flow'!$G$5:$CA$5,'Pro Forma (Annual)'!E$3,'Monthly PF Cash Flow'!$G$98:$CA$98)</f>
        <v>0</v>
      </c>
      <c r="F44" s="342">
        <f>SUMIF('Monthly PF Cash Flow'!$G$5:$CA$5,'Pro Forma (Annual)'!F$3,'Monthly PF Cash Flow'!$G$98:$CA$98)</f>
        <v>0</v>
      </c>
      <c r="G44" s="342">
        <f>SUMIF('Monthly PF Cash Flow'!$G$5:$CA$5,'Pro Forma (Annual)'!G$3,'Monthly PF Cash Flow'!$G$98:$CA$98)</f>
        <v>0</v>
      </c>
      <c r="H44" s="342">
        <f>SUMIF('Monthly PF Cash Flow'!$G$5:$CA$5,'Pro Forma (Annual)'!H$3,'Monthly PF Cash Flow'!$G$98:$CA$98)</f>
        <v>-782321.65892686963</v>
      </c>
      <c r="I44" s="342"/>
      <c r="J44" s="13"/>
      <c r="K44" s="313">
        <f ca="1">SUM(E44:H44)/'SF Breakdown'!$E$24</f>
        <v>-9.8782851545324775</v>
      </c>
      <c r="L44" s="333"/>
    </row>
    <row r="45" spans="2:17" s="15" customFormat="1" ht="15" customHeight="1">
      <c r="B45" s="334" t="s">
        <v>34</v>
      </c>
      <c r="C45" s="335"/>
      <c r="D45" s="334"/>
      <c r="E45" s="1037">
        <f>E43+E44</f>
        <v>0</v>
      </c>
      <c r="F45" s="1037">
        <f>F43+F44</f>
        <v>0</v>
      </c>
      <c r="G45" s="1037">
        <f>G43+G44</f>
        <v>0</v>
      </c>
      <c r="H45" s="1037">
        <f>H43+H44</f>
        <v>38333761.287416615</v>
      </c>
      <c r="I45" s="342"/>
      <c r="J45" s="13"/>
      <c r="K45" s="544">
        <f ca="1">SUM(E45:H45)/'SF Breakdown'!$E$24</f>
        <v>484.03597257209145</v>
      </c>
      <c r="L45" s="336"/>
    </row>
    <row r="46" spans="2:17" s="15" customFormat="1" ht="15" customHeight="1">
      <c r="B46" s="334"/>
      <c r="C46" s="337" t="s">
        <v>386</v>
      </c>
      <c r="D46" s="334"/>
      <c r="E46" s="338"/>
      <c r="F46" s="338"/>
      <c r="G46" s="338"/>
      <c r="H46" s="338"/>
      <c r="I46" s="342"/>
      <c r="J46" s="13"/>
      <c r="K46" s="1215"/>
    </row>
    <row r="47" spans="2:17" s="15" customFormat="1" ht="15" customHeight="1" thickBot="1">
      <c r="B47" s="112" t="s">
        <v>49</v>
      </c>
      <c r="C47" s="339">
        <f>SUM(E47:H47)</f>
        <v>42298147.134621158</v>
      </c>
      <c r="D47" s="112"/>
      <c r="E47" s="339">
        <f>E40+E45</f>
        <v>-165481.43916480424</v>
      </c>
      <c r="F47" s="339">
        <f>F40+F45</f>
        <v>528970.03518772381</v>
      </c>
      <c r="G47" s="339">
        <f>G40+G45</f>
        <v>1617925.5743603369</v>
      </c>
      <c r="H47" s="339">
        <f>H40+H45</f>
        <v>40316732.964237899</v>
      </c>
      <c r="I47" s="342"/>
      <c r="J47" s="13"/>
      <c r="K47" s="1207"/>
    </row>
    <row r="48" spans="2:17" s="15" customFormat="1" ht="15" customHeight="1" thickTop="1">
      <c r="B48" s="112"/>
      <c r="C48" s="112"/>
      <c r="D48" s="112"/>
      <c r="E48" s="109"/>
      <c r="F48" s="109"/>
      <c r="G48" s="109"/>
      <c r="H48" s="109"/>
      <c r="I48" s="342"/>
      <c r="J48" s="13"/>
      <c r="K48" s="134"/>
    </row>
    <row r="49" spans="2:19" s="15" customFormat="1" ht="15" customHeight="1">
      <c r="B49" s="112"/>
      <c r="C49" s="112"/>
      <c r="D49" s="112"/>
      <c r="E49" s="1038"/>
      <c r="F49" s="109"/>
      <c r="G49" s="109"/>
      <c r="H49" s="109"/>
      <c r="I49" s="109"/>
      <c r="J49" s="13"/>
      <c r="K49" s="134"/>
    </row>
    <row r="50" spans="2:19" s="15" customFormat="1" ht="15" customHeight="1">
      <c r="B50" s="334"/>
      <c r="C50" s="131"/>
      <c r="D50" s="112"/>
      <c r="E50" s="342"/>
      <c r="F50" s="342"/>
      <c r="G50" s="342"/>
      <c r="H50" s="342"/>
      <c r="I50" s="342"/>
      <c r="J50" s="13"/>
      <c r="K50" s="313"/>
    </row>
    <row r="51" spans="2:19" s="15" customFormat="1" ht="15" customHeight="1">
      <c r="B51" s="112"/>
      <c r="C51" s="112"/>
      <c r="D51" s="112"/>
      <c r="E51" s="112"/>
      <c r="F51" s="112"/>
      <c r="G51" s="112"/>
      <c r="H51" s="112"/>
      <c r="I51" s="112"/>
      <c r="J51" s="13"/>
      <c r="K51" s="1207"/>
    </row>
    <row r="52" spans="2:19" s="15" customFormat="1" ht="15" customHeight="1">
      <c r="B52" s="112"/>
      <c r="C52" s="112"/>
      <c r="D52" s="112"/>
      <c r="E52" s="318"/>
      <c r="F52" s="318"/>
      <c r="G52" s="318"/>
      <c r="H52" s="318"/>
      <c r="I52" s="318"/>
      <c r="J52" s="13"/>
      <c r="K52" s="1207"/>
    </row>
    <row r="53" spans="2:19" s="15" customFormat="1" ht="15" customHeight="1">
      <c r="B53" s="112"/>
      <c r="C53" s="112"/>
      <c r="D53" s="112"/>
      <c r="E53" s="112"/>
      <c r="F53" s="112"/>
      <c r="G53" s="112"/>
      <c r="H53" s="112"/>
      <c r="I53" s="112"/>
      <c r="J53" s="13"/>
      <c r="K53" s="1217"/>
    </row>
    <row r="54" spans="2:19" s="15" customFormat="1" ht="15" customHeight="1">
      <c r="B54" s="112"/>
      <c r="C54" s="112"/>
      <c r="D54" s="112"/>
      <c r="E54" s="600"/>
      <c r="F54" s="600"/>
      <c r="G54" s="112"/>
      <c r="H54" s="112"/>
      <c r="I54" s="112"/>
      <c r="J54" s="13"/>
      <c r="K54" s="1217"/>
    </row>
    <row r="55" spans="2:19" s="15" customFormat="1" ht="15" customHeight="1">
      <c r="B55" s="112"/>
      <c r="C55" s="601"/>
      <c r="D55" s="112"/>
      <c r="E55" s="602"/>
      <c r="F55" s="603"/>
      <c r="H55" s="112"/>
      <c r="I55" s="112"/>
      <c r="J55" s="13"/>
      <c r="K55" s="1217"/>
    </row>
    <row r="56" spans="2:19" s="15" customFormat="1" ht="15" customHeight="1">
      <c r="B56" s="112"/>
      <c r="C56" s="112"/>
      <c r="D56" s="112"/>
      <c r="E56" s="112"/>
      <c r="F56" s="112"/>
      <c r="G56" s="112"/>
      <c r="H56" s="112"/>
      <c r="I56" s="112"/>
      <c r="J56" s="13"/>
      <c r="K56" s="1217"/>
    </row>
    <row r="57" spans="2:19" s="15" customFormat="1" ht="15" customHeight="1">
      <c r="B57" s="112"/>
      <c r="C57" s="112"/>
      <c r="D57" s="112"/>
      <c r="E57" s="112"/>
      <c r="F57" s="112"/>
      <c r="G57" s="112"/>
      <c r="H57" s="112"/>
      <c r="I57" s="112"/>
      <c r="J57" s="13"/>
      <c r="K57" s="1217"/>
    </row>
    <row r="58" spans="2:19" s="15" customFormat="1" ht="15" customHeight="1">
      <c r="B58" s="112"/>
      <c r="C58" s="112"/>
      <c r="D58" s="112"/>
      <c r="E58" s="112"/>
      <c r="F58" s="112"/>
      <c r="G58" s="112"/>
      <c r="H58" s="112"/>
      <c r="I58" s="112"/>
      <c r="J58" s="13"/>
      <c r="K58" s="1218"/>
    </row>
    <row r="59" spans="2:19" s="15" customFormat="1" ht="15" customHeight="1">
      <c r="B59" s="109"/>
      <c r="C59" s="109"/>
      <c r="D59" s="109"/>
      <c r="E59" s="604"/>
      <c r="F59" s="604"/>
      <c r="G59" s="604"/>
      <c r="H59" s="604"/>
      <c r="I59" s="604"/>
      <c r="J59" s="13"/>
      <c r="K59" s="1217"/>
      <c r="M59" s="13"/>
      <c r="N59" s="344"/>
      <c r="O59" s="344"/>
      <c r="P59" s="344"/>
      <c r="Q59" s="344"/>
      <c r="R59" s="344"/>
      <c r="S59" s="344"/>
    </row>
    <row r="60" spans="2:19" s="15" customFormat="1" ht="15" customHeight="1">
      <c r="B60" s="109"/>
      <c r="C60" s="131"/>
      <c r="D60" s="112"/>
      <c r="E60" s="112"/>
      <c r="F60" s="112"/>
      <c r="G60" s="112"/>
      <c r="H60" s="112"/>
      <c r="I60" s="112"/>
      <c r="J60" s="13"/>
      <c r="K60" s="1217"/>
    </row>
    <row r="61" spans="2:19" s="15" customFormat="1" ht="15" customHeight="1">
      <c r="C61" s="266"/>
      <c r="J61" s="13"/>
      <c r="K61" s="1217"/>
    </row>
    <row r="62" spans="2:19" s="15" customFormat="1" ht="15" customHeight="1">
      <c r="J62" s="13"/>
      <c r="K62" s="1217"/>
    </row>
    <row r="63" spans="2:19" s="15" customFormat="1" ht="15" customHeight="1">
      <c r="J63" s="13"/>
      <c r="K63" s="1217"/>
      <c r="M63" s="13"/>
      <c r="N63" s="344"/>
      <c r="O63" s="344"/>
      <c r="P63" s="344"/>
      <c r="Q63" s="344"/>
      <c r="R63" s="344"/>
      <c r="S63" s="344"/>
    </row>
    <row r="64" spans="2:19" s="15" customFormat="1" ht="15" customHeight="1">
      <c r="J64" s="13"/>
      <c r="K64" s="1217"/>
      <c r="M64" s="13"/>
      <c r="N64" s="344"/>
      <c r="O64" s="344"/>
      <c r="P64" s="344"/>
      <c r="Q64" s="344"/>
      <c r="R64" s="344"/>
      <c r="S64" s="344"/>
    </row>
    <row r="65" spans="2:19" s="15" customFormat="1" ht="15" customHeight="1">
      <c r="J65" s="13"/>
      <c r="K65" s="1217"/>
      <c r="M65" s="13"/>
      <c r="N65" s="344"/>
      <c r="O65" s="344"/>
      <c r="P65" s="344"/>
      <c r="Q65" s="344"/>
      <c r="R65" s="344"/>
      <c r="S65" s="344"/>
    </row>
    <row r="66" spans="2:19" s="15" customFormat="1" ht="15" customHeight="1">
      <c r="J66" s="13"/>
      <c r="K66" s="1217"/>
      <c r="M66" s="13"/>
      <c r="N66" s="344"/>
      <c r="O66" s="344"/>
      <c r="P66" s="344"/>
      <c r="Q66" s="344"/>
      <c r="R66" s="344"/>
      <c r="S66" s="344"/>
    </row>
    <row r="67" spans="2:19" s="15" customFormat="1" ht="15" customHeight="1">
      <c r="J67" s="13"/>
      <c r="K67" s="1217"/>
      <c r="M67" s="13"/>
      <c r="N67" s="344"/>
      <c r="O67" s="344"/>
      <c r="P67" s="344"/>
      <c r="Q67" s="344"/>
      <c r="R67" s="344"/>
      <c r="S67" s="344"/>
    </row>
    <row r="68" spans="2:19" ht="15" customHeight="1">
      <c r="B68" s="15"/>
      <c r="C68" s="15"/>
      <c r="D68" s="15"/>
      <c r="E68" s="15"/>
      <c r="F68" s="15"/>
      <c r="G68" s="15"/>
      <c r="H68" s="15"/>
      <c r="I68" s="15"/>
      <c r="K68" s="1219"/>
      <c r="N68" s="344"/>
      <c r="O68" s="344"/>
      <c r="P68" s="344"/>
      <c r="Q68" s="344"/>
      <c r="R68" s="344"/>
      <c r="S68" s="344"/>
    </row>
    <row r="69" spans="2:19" s="15" customFormat="1" ht="15" customHeight="1">
      <c r="J69" s="13"/>
      <c r="K69" s="1218"/>
      <c r="M69" s="13"/>
      <c r="N69" s="344"/>
      <c r="O69" s="344"/>
      <c r="P69" s="344"/>
      <c r="Q69" s="344"/>
      <c r="R69" s="344"/>
      <c r="S69" s="344"/>
    </row>
    <row r="70" spans="2:19" s="15" customFormat="1" ht="15" customHeight="1">
      <c r="J70" s="13"/>
      <c r="K70" s="1218"/>
      <c r="M70" s="13"/>
      <c r="N70" s="344"/>
      <c r="O70" s="344"/>
      <c r="P70" s="344"/>
      <c r="Q70" s="344"/>
      <c r="R70" s="344"/>
      <c r="S70" s="344"/>
    </row>
    <row r="71" spans="2:19" s="15" customFormat="1" ht="15" customHeight="1">
      <c r="J71" s="13"/>
      <c r="K71" s="1218"/>
      <c r="M71" s="13"/>
      <c r="N71" s="344"/>
      <c r="O71" s="344"/>
      <c r="P71" s="344"/>
      <c r="Q71" s="344"/>
      <c r="R71" s="344"/>
      <c r="S71" s="344"/>
    </row>
    <row r="72" spans="2:19" s="15" customFormat="1" ht="15" customHeight="1">
      <c r="J72" s="13"/>
      <c r="K72" s="1218"/>
    </row>
    <row r="73" spans="2:19" ht="15" customHeight="1">
      <c r="B73" s="15"/>
      <c r="C73" s="15"/>
      <c r="D73" s="15"/>
      <c r="E73" s="15"/>
      <c r="F73" s="15"/>
      <c r="G73" s="15"/>
      <c r="H73" s="15"/>
      <c r="I73" s="15"/>
      <c r="M73" s="15"/>
      <c r="N73" s="344"/>
      <c r="O73" s="344"/>
      <c r="P73" s="344"/>
      <c r="Q73" s="344"/>
      <c r="R73" s="344"/>
      <c r="S73" s="344"/>
    </row>
    <row r="74" spans="2:19" ht="15" customHeight="1">
      <c r="B74" s="15"/>
      <c r="C74" s="15"/>
      <c r="D74" s="15"/>
      <c r="E74" s="15"/>
      <c r="F74" s="15"/>
      <c r="G74" s="15"/>
      <c r="H74" s="15"/>
      <c r="I74" s="15"/>
      <c r="M74" s="15"/>
      <c r="N74" s="15"/>
      <c r="O74" s="15"/>
      <c r="P74" s="15"/>
      <c r="Q74" s="15"/>
      <c r="R74" s="15"/>
      <c r="S74" s="15"/>
    </row>
    <row r="75" spans="2:19" ht="15" customHeight="1">
      <c r="B75" s="15"/>
      <c r="C75" s="15"/>
      <c r="D75" s="15"/>
      <c r="E75" s="15"/>
      <c r="F75" s="15"/>
      <c r="G75" s="15"/>
      <c r="H75" s="15"/>
      <c r="I75" s="15"/>
      <c r="M75" s="15"/>
      <c r="N75" s="15"/>
      <c r="O75" s="15"/>
      <c r="P75" s="15"/>
      <c r="Q75" s="15"/>
      <c r="R75" s="15"/>
      <c r="S75" s="15"/>
    </row>
    <row r="76" spans="2:19" ht="15" customHeight="1">
      <c r="B76" s="15"/>
      <c r="C76" s="15"/>
      <c r="D76" s="15"/>
      <c r="E76" s="15"/>
      <c r="F76" s="15"/>
      <c r="G76" s="15"/>
      <c r="H76" s="15"/>
      <c r="I76" s="15"/>
      <c r="M76" s="15"/>
      <c r="N76" s="15"/>
      <c r="O76" s="15"/>
      <c r="P76" s="15"/>
      <c r="Q76" s="15"/>
      <c r="R76" s="15"/>
      <c r="S76" s="15"/>
    </row>
    <row r="77" spans="2:19">
      <c r="B77" s="15"/>
      <c r="C77" s="15"/>
      <c r="D77" s="15"/>
      <c r="E77" s="15"/>
      <c r="F77" s="15"/>
      <c r="G77" s="15"/>
      <c r="H77" s="15"/>
      <c r="I77" s="15"/>
      <c r="M77" s="15"/>
      <c r="N77" s="15"/>
      <c r="O77" s="15"/>
      <c r="P77" s="15"/>
      <c r="Q77" s="15"/>
      <c r="R77" s="15"/>
      <c r="S77" s="15"/>
    </row>
    <row r="78" spans="2:19">
      <c r="B78" s="15"/>
      <c r="C78" s="15"/>
      <c r="D78" s="15"/>
      <c r="E78" s="15"/>
      <c r="F78" s="15"/>
      <c r="G78" s="15"/>
      <c r="H78" s="15"/>
      <c r="I78" s="15"/>
      <c r="N78" s="344"/>
      <c r="O78" s="344"/>
      <c r="P78" s="344"/>
      <c r="Q78" s="344"/>
      <c r="R78" s="344"/>
      <c r="S78" s="344"/>
    </row>
    <row r="79" spans="2:19">
      <c r="B79" s="15"/>
      <c r="C79" s="15"/>
      <c r="D79" s="15"/>
      <c r="E79" s="15"/>
      <c r="F79" s="15"/>
      <c r="G79" s="15"/>
      <c r="H79" s="15"/>
      <c r="I79" s="15"/>
      <c r="M79" s="15"/>
      <c r="N79" s="15"/>
      <c r="O79" s="15"/>
      <c r="P79" s="15"/>
      <c r="Q79" s="15"/>
      <c r="R79" s="15"/>
      <c r="S79" s="15"/>
    </row>
    <row r="80" spans="2:19">
      <c r="B80" s="15"/>
      <c r="C80" s="15"/>
      <c r="D80" s="15"/>
      <c r="E80" s="15"/>
      <c r="F80" s="15"/>
      <c r="G80" s="15"/>
      <c r="H80" s="15"/>
      <c r="I80" s="15"/>
      <c r="M80" s="15"/>
      <c r="N80" s="15"/>
      <c r="O80" s="15"/>
      <c r="P80" s="15"/>
      <c r="Q80" s="15"/>
      <c r="R80" s="15"/>
      <c r="S80" s="15"/>
    </row>
    <row r="81" spans="2:19">
      <c r="B81" s="15"/>
      <c r="C81" s="15"/>
      <c r="D81" s="15"/>
      <c r="E81" s="15"/>
      <c r="F81" s="15"/>
      <c r="G81" s="15"/>
      <c r="H81" s="15"/>
      <c r="I81" s="15"/>
      <c r="N81" s="344"/>
      <c r="O81" s="344"/>
      <c r="P81" s="344"/>
      <c r="Q81" s="344"/>
      <c r="R81" s="344"/>
      <c r="S81" s="344"/>
    </row>
    <row r="82" spans="2:19">
      <c r="B82" s="15"/>
      <c r="C82" s="15"/>
      <c r="D82" s="15"/>
      <c r="E82" s="15"/>
      <c r="F82" s="15"/>
      <c r="G82" s="15"/>
      <c r="H82" s="15"/>
      <c r="I82" s="15"/>
      <c r="N82" s="344"/>
      <c r="O82" s="344"/>
      <c r="P82" s="344"/>
      <c r="Q82" s="344"/>
      <c r="R82" s="344"/>
      <c r="S82" s="344"/>
    </row>
    <row r="83" spans="2:19">
      <c r="B83" s="15"/>
      <c r="C83" s="15"/>
      <c r="D83" s="15"/>
      <c r="E83" s="15"/>
      <c r="F83" s="15"/>
      <c r="G83" s="15"/>
      <c r="H83" s="15"/>
      <c r="I83" s="15"/>
      <c r="N83" s="344"/>
      <c r="O83" s="344"/>
      <c r="P83" s="344"/>
      <c r="Q83" s="344"/>
      <c r="R83" s="344"/>
      <c r="S83" s="344"/>
    </row>
    <row r="84" spans="2:19">
      <c r="B84" s="15"/>
      <c r="C84" s="15"/>
      <c r="D84" s="15"/>
      <c r="E84" s="15"/>
      <c r="F84" s="15"/>
      <c r="G84" s="15"/>
      <c r="H84" s="15"/>
      <c r="I84" s="15"/>
      <c r="N84" s="344"/>
      <c r="O84" s="344"/>
      <c r="P84" s="344"/>
      <c r="Q84" s="344"/>
      <c r="R84" s="344"/>
      <c r="S84" s="344"/>
    </row>
    <row r="85" spans="2:19">
      <c r="B85" s="15"/>
      <c r="C85" s="15"/>
      <c r="D85" s="15"/>
      <c r="E85" s="15"/>
      <c r="F85" s="15"/>
      <c r="G85" s="15"/>
      <c r="H85" s="15"/>
      <c r="I85" s="15"/>
      <c r="N85" s="344"/>
      <c r="O85" s="344"/>
      <c r="P85" s="344"/>
      <c r="Q85" s="344"/>
      <c r="R85" s="344"/>
      <c r="S85" s="344"/>
    </row>
    <row r="86" spans="2:19">
      <c r="B86" s="15"/>
      <c r="C86" s="15"/>
      <c r="D86" s="15"/>
      <c r="E86" s="15"/>
      <c r="F86" s="15"/>
      <c r="G86" s="15"/>
      <c r="H86" s="15"/>
      <c r="I86" s="15"/>
      <c r="N86" s="344"/>
      <c r="O86" s="344"/>
      <c r="P86" s="344"/>
      <c r="Q86" s="344"/>
      <c r="R86" s="344"/>
      <c r="S86" s="344"/>
    </row>
    <row r="87" spans="2:19">
      <c r="B87" s="15"/>
      <c r="C87" s="15"/>
      <c r="D87" s="15"/>
      <c r="E87" s="15"/>
      <c r="F87" s="15"/>
      <c r="G87" s="15"/>
      <c r="H87" s="15"/>
      <c r="I87" s="15"/>
      <c r="N87" s="344"/>
      <c r="O87" s="344"/>
      <c r="P87" s="344"/>
      <c r="Q87" s="344"/>
      <c r="R87" s="344"/>
      <c r="S87" s="344"/>
    </row>
    <row r="88" spans="2:19">
      <c r="B88" s="15"/>
      <c r="C88" s="15"/>
      <c r="D88" s="15"/>
      <c r="E88" s="15"/>
      <c r="F88" s="15"/>
      <c r="G88" s="15"/>
      <c r="H88" s="15"/>
      <c r="I88" s="15"/>
      <c r="N88" s="344"/>
      <c r="O88" s="344"/>
      <c r="P88" s="344"/>
      <c r="Q88" s="344"/>
      <c r="R88" s="344"/>
      <c r="S88" s="344"/>
    </row>
    <row r="89" spans="2:19">
      <c r="B89" s="15"/>
      <c r="C89" s="15"/>
      <c r="D89" s="15"/>
      <c r="E89" s="15"/>
      <c r="F89" s="15"/>
      <c r="G89" s="15"/>
      <c r="H89" s="15"/>
      <c r="I89" s="15"/>
      <c r="N89" s="266"/>
      <c r="O89" s="266"/>
      <c r="P89" s="266"/>
      <c r="Q89" s="266"/>
      <c r="R89" s="266"/>
      <c r="S89" s="266"/>
    </row>
    <row r="90" spans="2:19">
      <c r="B90" s="15"/>
      <c r="C90" s="15"/>
      <c r="D90" s="15"/>
      <c r="E90" s="15"/>
      <c r="F90" s="15"/>
      <c r="G90" s="15"/>
      <c r="H90" s="15"/>
      <c r="I90" s="15"/>
      <c r="N90" s="15"/>
      <c r="O90" s="15"/>
      <c r="P90" s="15"/>
      <c r="Q90" s="15"/>
      <c r="R90" s="15"/>
      <c r="S90" s="15"/>
    </row>
    <row r="91" spans="2:19">
      <c r="B91" s="15"/>
      <c r="C91" s="15"/>
      <c r="D91" s="15"/>
      <c r="E91" s="15"/>
      <c r="F91" s="15"/>
      <c r="G91" s="15"/>
      <c r="H91" s="15"/>
      <c r="I91" s="15"/>
    </row>
    <row r="92" spans="2:19">
      <c r="B92" s="15"/>
      <c r="C92" s="15"/>
      <c r="D92" s="15"/>
      <c r="E92" s="15"/>
      <c r="F92" s="15"/>
      <c r="G92" s="15"/>
      <c r="H92" s="15"/>
      <c r="I92" s="15"/>
      <c r="N92" s="15"/>
      <c r="O92" s="15"/>
      <c r="P92" s="15"/>
      <c r="Q92" s="15"/>
      <c r="R92" s="15"/>
      <c r="S92" s="15"/>
    </row>
    <row r="93" spans="2:19">
      <c r="B93" s="15"/>
      <c r="C93" s="15"/>
      <c r="D93" s="15"/>
      <c r="E93" s="15"/>
      <c r="F93" s="15"/>
      <c r="G93" s="15"/>
      <c r="H93" s="15"/>
      <c r="I93" s="15"/>
      <c r="N93" s="344"/>
      <c r="O93" s="344"/>
      <c r="P93" s="344"/>
      <c r="Q93" s="344"/>
      <c r="R93" s="344"/>
      <c r="S93" s="344"/>
    </row>
    <row r="94" spans="2:19">
      <c r="B94" s="15"/>
      <c r="C94" s="15"/>
      <c r="D94" s="15"/>
      <c r="E94" s="15"/>
      <c r="F94" s="15"/>
      <c r="G94" s="15"/>
      <c r="H94" s="15"/>
      <c r="I94" s="15"/>
      <c r="M94" s="15"/>
      <c r="N94" s="15"/>
      <c r="O94" s="15"/>
      <c r="P94" s="15"/>
      <c r="Q94" s="15"/>
      <c r="R94" s="15"/>
      <c r="S94" s="15"/>
    </row>
    <row r="95" spans="2:19">
      <c r="B95" s="15"/>
      <c r="C95" s="15"/>
      <c r="D95" s="15"/>
      <c r="E95" s="15"/>
      <c r="F95" s="15"/>
      <c r="G95" s="15"/>
      <c r="H95" s="15"/>
      <c r="I95" s="15"/>
      <c r="M95" s="15"/>
      <c r="N95" s="15"/>
      <c r="O95" s="15"/>
      <c r="P95" s="15"/>
      <c r="Q95" s="15"/>
      <c r="R95" s="15"/>
      <c r="S95" s="15"/>
    </row>
    <row r="96" spans="2:19">
      <c r="B96" s="15"/>
      <c r="C96" s="15"/>
      <c r="D96" s="15"/>
      <c r="E96" s="15"/>
      <c r="F96" s="15"/>
      <c r="G96" s="15"/>
      <c r="H96" s="15"/>
      <c r="I96" s="15"/>
      <c r="M96" s="136"/>
      <c r="N96" s="266"/>
      <c r="O96" s="266"/>
      <c r="P96" s="266"/>
      <c r="Q96" s="266"/>
      <c r="R96" s="266"/>
      <c r="S96" s="266"/>
    </row>
    <row r="97" spans="2:19">
      <c r="B97" s="15"/>
      <c r="C97" s="15"/>
      <c r="D97" s="15"/>
      <c r="E97" s="15"/>
      <c r="F97" s="15"/>
      <c r="G97" s="15"/>
      <c r="H97" s="15"/>
      <c r="I97" s="15"/>
      <c r="M97" s="136"/>
      <c r="N97" s="15"/>
      <c r="O97" s="15"/>
      <c r="P97" s="15"/>
      <c r="Q97" s="15"/>
      <c r="R97" s="15"/>
      <c r="S97" s="15"/>
    </row>
    <row r="98" spans="2:19">
      <c r="B98" s="15"/>
      <c r="C98" s="15"/>
      <c r="D98" s="15"/>
      <c r="E98" s="15"/>
      <c r="F98" s="15"/>
      <c r="G98" s="15"/>
      <c r="H98" s="15"/>
      <c r="I98" s="15"/>
      <c r="M98" s="136"/>
      <c r="N98" s="15"/>
      <c r="O98" s="15"/>
      <c r="P98" s="15"/>
      <c r="Q98" s="15"/>
      <c r="R98" s="15"/>
      <c r="S98" s="15"/>
    </row>
    <row r="99" spans="2:19">
      <c r="B99" s="15"/>
      <c r="C99" s="15"/>
      <c r="D99" s="15"/>
      <c r="E99" s="15"/>
      <c r="F99" s="15"/>
      <c r="G99" s="15"/>
      <c r="H99" s="15"/>
      <c r="I99" s="15"/>
    </row>
    <row r="100" spans="2:19">
      <c r="B100" s="15"/>
      <c r="C100" s="15"/>
      <c r="D100" s="15"/>
      <c r="E100" s="15"/>
      <c r="F100" s="15"/>
      <c r="G100" s="15"/>
      <c r="H100" s="15"/>
      <c r="I100" s="15"/>
    </row>
    <row r="101" spans="2:19">
      <c r="B101" s="15"/>
      <c r="C101" s="15"/>
      <c r="D101" s="15"/>
      <c r="E101" s="15"/>
      <c r="F101" s="15"/>
      <c r="G101" s="15"/>
      <c r="H101" s="15"/>
      <c r="I101" s="15"/>
    </row>
    <row r="102" spans="2:19">
      <c r="B102" s="15"/>
      <c r="C102" s="15"/>
      <c r="D102" s="15"/>
      <c r="E102" s="15"/>
      <c r="F102" s="15"/>
      <c r="G102" s="15"/>
      <c r="H102" s="15"/>
      <c r="I102" s="15"/>
    </row>
    <row r="103" spans="2:19">
      <c r="B103" s="15"/>
      <c r="C103" s="15"/>
      <c r="D103" s="15"/>
      <c r="E103" s="15"/>
      <c r="F103" s="15"/>
      <c r="G103" s="15"/>
      <c r="H103" s="15"/>
      <c r="I103" s="15"/>
    </row>
    <row r="104" spans="2:19">
      <c r="B104" s="15"/>
      <c r="C104" s="15"/>
      <c r="D104" s="15"/>
      <c r="E104" s="15"/>
      <c r="F104" s="15"/>
      <c r="G104" s="15"/>
      <c r="H104" s="15"/>
      <c r="I104" s="15"/>
    </row>
    <row r="105" spans="2:19">
      <c r="B105" s="15"/>
      <c r="C105" s="15"/>
      <c r="D105" s="15"/>
      <c r="E105" s="15"/>
      <c r="F105" s="15"/>
      <c r="G105" s="15"/>
      <c r="H105" s="15"/>
      <c r="I105" s="15"/>
    </row>
    <row r="106" spans="2:19">
      <c r="B106" s="15"/>
      <c r="C106" s="15"/>
      <c r="D106" s="15"/>
      <c r="E106" s="15"/>
      <c r="F106" s="15"/>
      <c r="G106" s="15"/>
      <c r="H106" s="15"/>
      <c r="I106" s="15"/>
    </row>
    <row r="107" spans="2:19">
      <c r="B107" s="15"/>
      <c r="C107" s="15"/>
      <c r="D107" s="15"/>
      <c r="E107" s="15"/>
      <c r="F107" s="15"/>
      <c r="G107" s="15"/>
      <c r="H107" s="15"/>
      <c r="I107" s="15"/>
    </row>
    <row r="108" spans="2:19">
      <c r="B108" s="15"/>
      <c r="C108" s="15"/>
      <c r="D108" s="15"/>
      <c r="E108" s="15"/>
      <c r="F108" s="15"/>
      <c r="G108" s="15"/>
      <c r="H108" s="15"/>
      <c r="I108" s="15"/>
    </row>
    <row r="109" spans="2:19">
      <c r="B109" s="15"/>
      <c r="C109" s="15"/>
      <c r="D109" s="15"/>
      <c r="E109" s="15"/>
      <c r="F109" s="15"/>
      <c r="G109" s="15"/>
      <c r="H109" s="15"/>
      <c r="I109" s="15"/>
    </row>
    <row r="110" spans="2:19">
      <c r="B110" s="15"/>
      <c r="C110" s="15"/>
      <c r="D110" s="15"/>
      <c r="E110" s="15"/>
      <c r="F110" s="15"/>
      <c r="G110" s="15"/>
      <c r="H110" s="15"/>
      <c r="I110" s="15"/>
    </row>
    <row r="111" spans="2:19">
      <c r="B111" s="15"/>
      <c r="C111" s="15"/>
      <c r="D111" s="15"/>
      <c r="E111" s="15"/>
      <c r="F111" s="15"/>
      <c r="G111" s="15"/>
      <c r="H111" s="15"/>
      <c r="I111" s="15"/>
    </row>
    <row r="112" spans="2:19">
      <c r="B112" s="15"/>
      <c r="C112" s="15"/>
      <c r="D112" s="15"/>
      <c r="E112" s="15"/>
      <c r="F112" s="15"/>
      <c r="G112" s="15"/>
      <c r="H112" s="15"/>
      <c r="I112" s="15"/>
    </row>
  </sheetData>
  <mergeCells count="1">
    <mergeCell ref="B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A9FF-6BD6-45F5-984E-E21FC6DCBCC2}">
  <sheetPr>
    <tabColor rgb="FF00B0F0"/>
  </sheetPr>
  <dimension ref="A3:T117"/>
  <sheetViews>
    <sheetView showGridLines="0" zoomScale="90" zoomScaleNormal="90" workbookViewId="0">
      <selection activeCell="F94" sqref="F94"/>
    </sheetView>
  </sheetViews>
  <sheetFormatPr defaultRowHeight="14.5"/>
  <cols>
    <col min="1" max="1" width="35" bestFit="1" customWidth="1"/>
    <col min="2" max="2" width="15.7265625" bestFit="1" customWidth="1"/>
    <col min="3" max="3" width="2.7265625" customWidth="1"/>
    <col min="4" max="4" width="12.7265625" customWidth="1"/>
    <col min="5" max="5" width="14.7265625" customWidth="1"/>
    <col min="6" max="6" width="12.7265625" style="433" customWidth="1"/>
    <col min="7" max="7" width="12.7265625" customWidth="1"/>
    <col min="8" max="8" width="12.7265625" style="7" customWidth="1"/>
    <col min="9" max="9" width="14" bestFit="1" customWidth="1"/>
    <col min="10" max="10" width="12.7265625" customWidth="1"/>
    <col min="11" max="11" width="14.7265625" bestFit="1" customWidth="1"/>
    <col min="12" max="20" width="12.7265625" customWidth="1"/>
  </cols>
  <sheetData>
    <row r="3" spans="1:20">
      <c r="A3" s="612" t="s">
        <v>451</v>
      </c>
      <c r="B3" s="613"/>
      <c r="C3" s="613"/>
      <c r="D3" s="613"/>
      <c r="E3" s="613"/>
      <c r="F3" s="614"/>
    </row>
    <row r="4" spans="1:20">
      <c r="A4" s="1"/>
      <c r="F4" s="615"/>
    </row>
    <row r="5" spans="1:20">
      <c r="A5" s="616" t="s">
        <v>26</v>
      </c>
      <c r="B5" s="13"/>
      <c r="C5" s="13"/>
      <c r="D5" s="13"/>
      <c r="E5" s="39"/>
      <c r="F5" s="617"/>
      <c r="G5" s="13"/>
      <c r="H5" s="136"/>
      <c r="I5" s="13"/>
      <c r="J5" s="13"/>
      <c r="K5" s="13"/>
      <c r="L5" s="13"/>
      <c r="M5" s="13"/>
      <c r="N5" s="13"/>
      <c r="O5" s="13"/>
      <c r="P5" s="13"/>
      <c r="Q5" s="13"/>
      <c r="R5" s="13"/>
      <c r="S5" s="13"/>
      <c r="T5" s="13"/>
    </row>
    <row r="6" spans="1:20">
      <c r="A6" s="618" t="s">
        <v>950</v>
      </c>
      <c r="C6" s="13"/>
      <c r="D6" s="13"/>
      <c r="E6" s="619">
        <f>D7/E7</f>
        <v>82.114547537227949</v>
      </c>
      <c r="F6" s="617"/>
      <c r="G6" s="13"/>
      <c r="H6" s="136"/>
      <c r="I6" s="13"/>
      <c r="J6" s="13"/>
      <c r="K6" s="13"/>
      <c r="L6" s="13"/>
      <c r="M6" s="13"/>
      <c r="N6" s="13"/>
      <c r="O6" s="13"/>
      <c r="P6" s="13"/>
      <c r="Q6" s="13"/>
      <c r="R6" s="13"/>
      <c r="S6" s="13"/>
      <c r="T6" s="13"/>
    </row>
    <row r="7" spans="1:20">
      <c r="A7" s="618" t="s">
        <v>428</v>
      </c>
      <c r="B7" s="619"/>
      <c r="C7" s="13"/>
      <c r="D7" s="619">
        <f>'SF Breakdown'!E18</f>
        <v>71686</v>
      </c>
      <c r="E7" s="1015">
        <f>'SF Breakdown'!E28</f>
        <v>873</v>
      </c>
      <c r="F7" s="617"/>
      <c r="G7" s="13"/>
      <c r="H7" s="136"/>
      <c r="I7" s="13"/>
      <c r="J7" s="13"/>
      <c r="K7" s="13"/>
      <c r="L7" s="13"/>
      <c r="M7" s="13"/>
      <c r="N7" s="13"/>
      <c r="O7" s="13"/>
      <c r="P7" s="13"/>
      <c r="Q7" s="13"/>
      <c r="R7" s="13"/>
      <c r="S7" s="13"/>
      <c r="T7" s="13"/>
    </row>
    <row r="8" spans="1:20">
      <c r="A8" s="618" t="s">
        <v>429</v>
      </c>
      <c r="B8" s="619"/>
      <c r="C8" s="13"/>
      <c r="D8" s="619">
        <f>D7*D9</f>
        <v>67384.84</v>
      </c>
      <c r="E8" s="1015">
        <f>E7*D9</f>
        <v>820.62</v>
      </c>
      <c r="F8" s="617"/>
      <c r="G8" s="13"/>
      <c r="H8" s="136"/>
      <c r="I8" s="13"/>
      <c r="J8" s="13"/>
      <c r="K8" s="13"/>
      <c r="L8" s="13"/>
      <c r="M8" s="13"/>
      <c r="N8" s="13"/>
      <c r="O8" s="13"/>
      <c r="P8" s="13"/>
      <c r="Q8" s="13"/>
      <c r="R8" s="13"/>
      <c r="S8" s="13"/>
      <c r="T8" s="13"/>
    </row>
    <row r="9" spans="1:20">
      <c r="A9" s="618" t="s">
        <v>430</v>
      </c>
      <c r="C9" s="13"/>
      <c r="D9" s="620">
        <v>0.94</v>
      </c>
      <c r="E9" s="39"/>
      <c r="F9" s="617"/>
      <c r="G9" s="13"/>
      <c r="H9" s="136"/>
      <c r="I9" s="13"/>
      <c r="J9" s="13"/>
      <c r="K9" s="13"/>
      <c r="L9" s="13"/>
      <c r="M9" s="13"/>
      <c r="N9" s="13"/>
      <c r="O9" s="13"/>
      <c r="P9" s="13"/>
      <c r="Q9" s="13"/>
      <c r="R9" s="13"/>
      <c r="S9" s="13"/>
      <c r="T9" s="13"/>
    </row>
    <row r="10" spans="1:20">
      <c r="A10" s="618"/>
      <c r="B10" s="621"/>
      <c r="C10" s="13"/>
      <c r="D10" s="13"/>
      <c r="E10" s="39"/>
      <c r="F10" s="617"/>
      <c r="G10" s="13"/>
      <c r="H10" s="136"/>
      <c r="I10" s="13"/>
      <c r="J10" s="13"/>
      <c r="K10" s="13"/>
      <c r="L10" s="13"/>
      <c r="M10" s="13"/>
      <c r="N10" s="13"/>
      <c r="O10" s="13"/>
      <c r="P10" s="13"/>
      <c r="Q10" s="13"/>
      <c r="R10" s="13"/>
      <c r="S10" s="13"/>
      <c r="T10" s="13"/>
    </row>
    <row r="11" spans="1:20">
      <c r="A11" s="618" t="s">
        <v>431</v>
      </c>
      <c r="C11" s="13"/>
      <c r="D11" s="619">
        <f>'SF Breakdown'!D21</f>
        <v>3481.75</v>
      </c>
      <c r="E11" s="39"/>
      <c r="F11" s="617"/>
      <c r="G11" s="13"/>
      <c r="H11" s="136"/>
      <c r="I11" s="13"/>
      <c r="J11" s="13"/>
      <c r="K11" s="13"/>
      <c r="L11" s="13"/>
      <c r="M11" s="13"/>
      <c r="N11" s="13"/>
      <c r="O11" s="13"/>
      <c r="P11" s="13"/>
      <c r="Q11" s="13"/>
      <c r="R11" s="13"/>
      <c r="S11" s="13"/>
      <c r="T11" s="13"/>
    </row>
    <row r="12" spans="1:20">
      <c r="A12" s="618" t="s">
        <v>432</v>
      </c>
      <c r="C12" s="13"/>
      <c r="D12" s="619">
        <f>'SF Breakdown'!D22</f>
        <v>3527.35</v>
      </c>
      <c r="E12" s="39"/>
      <c r="F12" s="617"/>
      <c r="G12" s="13"/>
      <c r="H12" s="136"/>
      <c r="I12" s="13"/>
      <c r="J12" s="13"/>
      <c r="K12" s="13"/>
      <c r="L12" s="13"/>
      <c r="M12" s="13"/>
      <c r="N12" s="13"/>
      <c r="O12" s="13"/>
      <c r="P12" s="13"/>
      <c r="Q12" s="13"/>
      <c r="R12" s="13"/>
      <c r="S12" s="13"/>
      <c r="T12" s="13"/>
    </row>
    <row r="13" spans="1:20">
      <c r="A13" s="622" t="s">
        <v>447</v>
      </c>
      <c r="C13" s="13"/>
      <c r="D13" s="432">
        <f>SUM(D11:D12)</f>
        <v>7009.1</v>
      </c>
      <c r="E13" s="39"/>
      <c r="F13" s="617"/>
      <c r="G13" s="13"/>
      <c r="H13" s="136"/>
      <c r="I13" s="13"/>
      <c r="J13" s="13"/>
      <c r="K13" s="13"/>
      <c r="L13" s="13"/>
      <c r="M13" s="13"/>
      <c r="N13" s="13"/>
      <c r="O13" s="13"/>
      <c r="P13" s="13"/>
      <c r="Q13" s="13"/>
      <c r="R13" s="13"/>
      <c r="S13" s="13"/>
      <c r="T13" s="13"/>
    </row>
    <row r="14" spans="1:20">
      <c r="A14" s="622"/>
      <c r="C14" s="13"/>
      <c r="D14" s="619"/>
      <c r="E14" s="39"/>
      <c r="F14" s="617"/>
      <c r="G14" s="13"/>
      <c r="H14" s="136"/>
      <c r="I14" s="13"/>
      <c r="J14" s="13"/>
      <c r="K14" s="13"/>
      <c r="L14" s="13"/>
      <c r="M14" s="13"/>
      <c r="N14" s="13"/>
      <c r="O14" s="13"/>
      <c r="P14" s="13"/>
      <c r="Q14" s="13"/>
      <c r="R14" s="13"/>
      <c r="S14" s="13"/>
      <c r="T14" s="13"/>
    </row>
    <row r="15" spans="1:20">
      <c r="A15" s="623" t="s">
        <v>448</v>
      </c>
      <c r="B15" s="56"/>
      <c r="C15" s="56"/>
      <c r="D15" s="624">
        <f>D7+D13</f>
        <v>78695.100000000006</v>
      </c>
      <c r="E15" s="625"/>
      <c r="F15" s="626"/>
      <c r="G15" s="13"/>
      <c r="H15" s="136"/>
      <c r="I15" s="13"/>
      <c r="J15" s="13"/>
      <c r="K15" s="13"/>
      <c r="L15" s="13"/>
      <c r="M15" s="13"/>
      <c r="N15" s="13"/>
      <c r="O15" s="13"/>
      <c r="P15" s="13"/>
      <c r="Q15" s="13"/>
      <c r="R15" s="13"/>
      <c r="S15" s="13"/>
      <c r="T15" s="13"/>
    </row>
    <row r="16" spans="1:20">
      <c r="A16" s="10"/>
      <c r="B16" s="13"/>
      <c r="C16" s="13"/>
      <c r="D16" s="13"/>
      <c r="E16" s="13"/>
      <c r="F16" s="156"/>
      <c r="G16" s="13"/>
      <c r="H16" s="136"/>
      <c r="I16" s="13"/>
      <c r="J16" s="13"/>
      <c r="K16" s="13"/>
      <c r="L16" s="13"/>
      <c r="M16" s="13"/>
      <c r="N16" s="13"/>
      <c r="O16" s="13"/>
      <c r="P16" s="13"/>
      <c r="Q16" s="13"/>
      <c r="R16" s="13"/>
      <c r="S16" s="13"/>
      <c r="T16" s="13"/>
    </row>
    <row r="17" spans="1:20">
      <c r="A17" s="10"/>
      <c r="B17" s="13"/>
      <c r="C17" s="13"/>
      <c r="D17" s="505" t="s">
        <v>453</v>
      </c>
      <c r="E17" s="505" t="s">
        <v>454</v>
      </c>
      <c r="F17" s="505" t="s">
        <v>455</v>
      </c>
      <c r="G17" s="13"/>
      <c r="H17" s="136"/>
      <c r="I17" s="13"/>
      <c r="J17" s="13"/>
      <c r="K17" s="13"/>
      <c r="L17" s="13"/>
      <c r="M17" s="13"/>
      <c r="N17" s="13"/>
      <c r="O17" s="13"/>
      <c r="P17" s="13"/>
      <c r="Q17" s="13"/>
      <c r="R17" s="13"/>
      <c r="S17" s="13"/>
      <c r="T17" s="13"/>
    </row>
    <row r="18" spans="1:20">
      <c r="A18" s="1022" t="s">
        <v>433</v>
      </c>
      <c r="B18" s="1023"/>
      <c r="C18" s="1023"/>
      <c r="D18" s="1023"/>
      <c r="E18" s="1025"/>
      <c r="F18" s="1024"/>
      <c r="G18" s="13"/>
      <c r="H18" s="136"/>
      <c r="I18" s="13"/>
      <c r="J18" s="13"/>
      <c r="K18" s="13"/>
      <c r="L18" s="13"/>
      <c r="M18" s="13"/>
      <c r="N18" s="13"/>
      <c r="O18" s="13"/>
      <c r="P18" s="13"/>
      <c r="Q18" s="13"/>
      <c r="R18" s="13"/>
      <c r="S18" s="13"/>
      <c r="T18" s="13"/>
    </row>
    <row r="19" spans="1:20">
      <c r="A19" s="10" t="s">
        <v>27</v>
      </c>
      <c r="B19" s="13"/>
      <c r="C19" s="13"/>
      <c r="D19" s="13"/>
      <c r="E19" s="136"/>
      <c r="F19" s="156"/>
      <c r="G19" s="13"/>
      <c r="H19" s="136"/>
      <c r="I19" s="13"/>
      <c r="J19" s="13"/>
      <c r="K19" s="13"/>
      <c r="L19" s="153"/>
      <c r="M19" s="13"/>
      <c r="N19" s="13"/>
      <c r="O19" s="13"/>
      <c r="P19" s="13"/>
      <c r="Q19" s="13"/>
      <c r="R19" s="13"/>
      <c r="S19" s="13"/>
      <c r="T19" s="13"/>
    </row>
    <row r="20" spans="1:20">
      <c r="A20" s="31" t="s">
        <v>21</v>
      </c>
      <c r="B20" s="13"/>
      <c r="C20" s="13"/>
      <c r="D20" s="136">
        <f>F20*D8*12</f>
        <v>2614883.5370059945</v>
      </c>
      <c r="E20" s="136">
        <f>D20/12</f>
        <v>217906.9614171662</v>
      </c>
      <c r="F20" s="451">
        <f>AVERAGE('Rental Income Model'!C62:N62)</f>
        <v>3.2337683285612346</v>
      </c>
      <c r="G20" s="156">
        <f>F20*12</f>
        <v>38.805219942734816</v>
      </c>
      <c r="H20" s="350"/>
      <c r="I20" s="156"/>
      <c r="J20" s="156"/>
      <c r="K20" s="156"/>
      <c r="L20" s="156"/>
      <c r="M20" s="156"/>
      <c r="N20" s="156"/>
      <c r="O20" s="156"/>
      <c r="P20" s="156"/>
      <c r="Q20" s="156"/>
      <c r="R20" s="156"/>
      <c r="S20" s="156"/>
      <c r="T20" s="156"/>
    </row>
    <row r="21" spans="1:20">
      <c r="A21" s="401" t="s">
        <v>813</v>
      </c>
      <c r="B21" s="153">
        <v>6</v>
      </c>
      <c r="C21" s="13"/>
      <c r="D21" s="136">
        <f>E8*B21*12</f>
        <v>59084.639999999999</v>
      </c>
      <c r="E21" s="136">
        <f>D21/12</f>
        <v>4923.72</v>
      </c>
      <c r="F21" s="156">
        <f>D21/$D$7</f>
        <v>0.82421449097452781</v>
      </c>
      <c r="G21" s="156"/>
      <c r="H21" s="350"/>
      <c r="I21" s="156"/>
      <c r="J21" s="156"/>
      <c r="K21" s="156"/>
      <c r="L21" s="156"/>
      <c r="M21" s="156"/>
      <c r="N21" s="156"/>
      <c r="O21" s="156"/>
      <c r="P21" s="156"/>
      <c r="Q21" s="156"/>
      <c r="R21" s="156"/>
      <c r="S21" s="156"/>
      <c r="T21" s="156"/>
    </row>
    <row r="22" spans="1:20">
      <c r="A22" s="401" t="s">
        <v>814</v>
      </c>
      <c r="B22" s="13"/>
      <c r="C22" s="13"/>
      <c r="D22" s="136">
        <f>SUM('Monthly PF Cash Flow'!AV$17:BG$17)*'Property Data'!G49</f>
        <v>8820</v>
      </c>
      <c r="E22" s="136">
        <f>D22/12</f>
        <v>735</v>
      </c>
      <c r="F22" s="156">
        <f>D22/$D$7</f>
        <v>0.12303657617944927</v>
      </c>
      <c r="G22" s="156"/>
      <c r="H22" s="350"/>
      <c r="I22" s="156"/>
      <c r="J22" s="156"/>
      <c r="K22" s="156"/>
      <c r="L22" s="156"/>
      <c r="M22" s="156"/>
      <c r="N22" s="156"/>
      <c r="O22" s="156"/>
      <c r="P22" s="156"/>
      <c r="Q22" s="156"/>
      <c r="R22" s="156"/>
      <c r="S22" s="156"/>
      <c r="T22" s="156"/>
    </row>
    <row r="23" spans="1:20">
      <c r="A23" s="401" t="s">
        <v>815</v>
      </c>
      <c r="B23" s="13"/>
      <c r="C23" s="13"/>
      <c r="D23" s="136">
        <f>SUM('Monthly PF Cash Flow'!AV$17:BG$17)*'Property Data'!G51</f>
        <v>39690</v>
      </c>
      <c r="E23" s="136">
        <f>D23/12</f>
        <v>3307.5</v>
      </c>
      <c r="F23" s="156">
        <f>D23/$D$7</f>
        <v>0.55366459280752167</v>
      </c>
      <c r="G23" s="156"/>
      <c r="H23" s="350"/>
      <c r="I23" s="156"/>
      <c r="J23" s="156"/>
      <c r="K23" s="156"/>
      <c r="L23" s="156"/>
      <c r="M23" s="156"/>
      <c r="N23" s="156"/>
      <c r="O23" s="156"/>
      <c r="P23" s="156"/>
      <c r="Q23" s="156"/>
      <c r="R23" s="156"/>
      <c r="S23" s="156"/>
      <c r="T23" s="156"/>
    </row>
    <row r="24" spans="1:20">
      <c r="A24" s="401" t="s">
        <v>946</v>
      </c>
      <c r="B24" s="13"/>
      <c r="C24" s="13"/>
      <c r="D24" s="136">
        <f>-((37*80)-37)*12</f>
        <v>-35076</v>
      </c>
      <c r="E24" s="136">
        <f t="shared" ref="E24:E25" si="0">D24/12</f>
        <v>-2923</v>
      </c>
      <c r="F24" s="156">
        <f t="shared" ref="F24:F25" si="1">D24/$D$7</f>
        <v>-0.48930056077895268</v>
      </c>
      <c r="G24" s="156"/>
      <c r="H24" s="350"/>
      <c r="I24" s="156"/>
      <c r="J24" s="156"/>
      <c r="K24" s="156"/>
      <c r="L24" s="156"/>
      <c r="M24" s="156"/>
      <c r="N24" s="156"/>
      <c r="O24" s="156"/>
      <c r="P24" s="156"/>
      <c r="Q24" s="156"/>
      <c r="R24" s="156"/>
      <c r="S24" s="156"/>
      <c r="T24" s="156"/>
    </row>
    <row r="25" spans="1:20">
      <c r="A25" s="30" t="s">
        <v>947</v>
      </c>
      <c r="B25" s="42">
        <f>'Property Data'!G50</f>
        <v>0.03</v>
      </c>
      <c r="C25" s="13"/>
      <c r="D25" s="136">
        <f>-(D20+D24)*B25</f>
        <v>-77394.226110179836</v>
      </c>
      <c r="E25" s="136">
        <f t="shared" si="0"/>
        <v>-6449.5188425149863</v>
      </c>
      <c r="F25" s="156">
        <f t="shared" si="1"/>
        <v>-1.0796281855617531</v>
      </c>
      <c r="G25" s="156"/>
      <c r="H25" s="136"/>
      <c r="I25" s="156"/>
      <c r="J25" s="156"/>
      <c r="K25" s="156"/>
      <c r="L25" s="156"/>
      <c r="M25" s="156"/>
      <c r="N25" s="156"/>
      <c r="O25" s="156"/>
      <c r="P25" s="156"/>
      <c r="Q25" s="156"/>
      <c r="R25" s="156"/>
      <c r="S25" s="156"/>
      <c r="T25" s="156"/>
    </row>
    <row r="26" spans="1:20">
      <c r="A26" s="605" t="s">
        <v>435</v>
      </c>
      <c r="B26" s="1016">
        <f>SUM(D20,D24:D25)/D20</f>
        <v>0.95698843771873798</v>
      </c>
      <c r="C26" s="106"/>
      <c r="D26" s="278">
        <f>SUM(D20:D25)</f>
        <v>2610007.9508958147</v>
      </c>
      <c r="E26" s="278">
        <f>D26/12</f>
        <v>217500.66257465121</v>
      </c>
      <c r="F26" s="606">
        <f>D26/D7</f>
        <v>36.408893659791516</v>
      </c>
      <c r="H26" s="136"/>
      <c r="I26" s="155"/>
      <c r="J26" s="155"/>
      <c r="K26" s="155"/>
      <c r="M26" s="155"/>
      <c r="N26" s="155"/>
      <c r="O26" s="155"/>
      <c r="P26" s="155"/>
      <c r="Q26" s="155"/>
      <c r="R26" s="155"/>
      <c r="S26" s="155"/>
      <c r="T26" s="155"/>
    </row>
    <row r="27" spans="1:20">
      <c r="B27" s="463"/>
      <c r="H27" s="136"/>
      <c r="I27" s="155"/>
      <c r="J27" s="155"/>
      <c r="K27" s="155"/>
      <c r="L27" s="155"/>
      <c r="M27" s="155"/>
      <c r="N27" s="155"/>
      <c r="O27" s="155"/>
      <c r="P27" s="155"/>
      <c r="Q27" s="155"/>
      <c r="R27" s="155"/>
      <c r="S27" s="155"/>
      <c r="T27" s="155"/>
    </row>
    <row r="28" spans="1:20">
      <c r="A28" s="8" t="s">
        <v>434</v>
      </c>
      <c r="B28" s="463"/>
      <c r="H28" s="136"/>
      <c r="I28" s="155"/>
      <c r="J28" s="155"/>
      <c r="K28" s="155"/>
      <c r="L28" s="13" t="s">
        <v>841</v>
      </c>
      <c r="M28" s="155"/>
      <c r="N28" s="155"/>
      <c r="O28" s="155"/>
      <c r="P28" s="155"/>
      <c r="Q28" s="155"/>
      <c r="R28" s="155"/>
      <c r="S28" s="155"/>
      <c r="T28" s="155"/>
    </row>
    <row r="29" spans="1:20">
      <c r="A29" s="8" t="s">
        <v>939</v>
      </c>
      <c r="B29" s="463"/>
      <c r="H29" s="136"/>
      <c r="I29" s="155"/>
      <c r="J29" s="155"/>
      <c r="K29" s="155"/>
      <c r="L29" s="13" t="s">
        <v>843</v>
      </c>
      <c r="M29" s="155"/>
      <c r="N29" s="155"/>
      <c r="O29" s="155"/>
      <c r="P29" s="155"/>
      <c r="Q29" s="155"/>
      <c r="R29" s="155"/>
      <c r="S29" s="155"/>
      <c r="T29" s="155"/>
    </row>
    <row r="30" spans="1:20">
      <c r="A30" s="30" t="s">
        <v>940</v>
      </c>
      <c r="B30" s="1010">
        <f>'Property Data'!H30</f>
        <v>299</v>
      </c>
      <c r="D30" s="136">
        <f>B30*12</f>
        <v>3588</v>
      </c>
      <c r="E30" s="136">
        <f t="shared" ref="E30:E31" si="2">D30/12</f>
        <v>299</v>
      </c>
      <c r="F30" s="156">
        <f t="shared" ref="F30" si="3">D30/$D$7</f>
        <v>5.0051613983204533E-2</v>
      </c>
      <c r="H30" s="136"/>
      <c r="I30" s="155"/>
      <c r="J30" s="155"/>
      <c r="K30" s="155"/>
      <c r="L30" s="13" t="s">
        <v>842</v>
      </c>
      <c r="M30" s="155"/>
      <c r="N30" s="155"/>
      <c r="O30" s="155"/>
      <c r="P30" s="155"/>
      <c r="Q30" s="155"/>
      <c r="R30" s="155"/>
      <c r="S30" s="155"/>
      <c r="T30" s="155"/>
    </row>
    <row r="31" spans="1:20">
      <c r="A31" s="30" t="s">
        <v>819</v>
      </c>
      <c r="B31" s="1010">
        <f>'Property Data'!H31</f>
        <v>549</v>
      </c>
      <c r="D31" s="136">
        <f>B31*12</f>
        <v>6588</v>
      </c>
      <c r="E31" s="136">
        <f t="shared" si="2"/>
        <v>549</v>
      </c>
      <c r="F31" s="156">
        <f t="shared" ref="F31" si="4">D31/$D$7</f>
        <v>9.1900789554445778E-2</v>
      </c>
      <c r="H31" s="136"/>
      <c r="I31" s="155"/>
      <c r="J31" s="155"/>
      <c r="K31" s="155"/>
      <c r="L31" s="155" t="e">
        <f>(D26-#REF!)*1.03*1.03</f>
        <v>#REF!</v>
      </c>
      <c r="M31" s="155"/>
      <c r="N31" s="155"/>
      <c r="O31" s="155"/>
      <c r="P31" s="155"/>
      <c r="Q31" s="155"/>
      <c r="R31" s="155"/>
      <c r="S31" s="155"/>
      <c r="T31" s="155"/>
    </row>
    <row r="32" spans="1:20">
      <c r="A32" s="30" t="s">
        <v>941</v>
      </c>
      <c r="B32" s="42">
        <f>'Property Data'!H32</f>
        <v>0.04</v>
      </c>
      <c r="D32" s="136">
        <f>D26*B32</f>
        <v>104400.31803583259</v>
      </c>
      <c r="E32" s="136">
        <f>D32/12</f>
        <v>8700.0265029860493</v>
      </c>
      <c r="F32" s="156">
        <f t="shared" ref="F32" si="5">D32/$D$7</f>
        <v>1.4563557463916608</v>
      </c>
      <c r="H32" s="136"/>
      <c r="I32" s="155"/>
      <c r="J32" s="155"/>
      <c r="K32" s="155"/>
      <c r="L32" s="155"/>
      <c r="M32" s="155"/>
      <c r="N32" s="155"/>
      <c r="O32" s="155"/>
      <c r="P32" s="155"/>
      <c r="Q32" s="155"/>
      <c r="R32" s="155"/>
      <c r="S32" s="155"/>
      <c r="T32" s="155"/>
    </row>
    <row r="33" spans="1:20">
      <c r="A33" s="31" t="s">
        <v>942</v>
      </c>
      <c r="B33" s="1008"/>
      <c r="C33" s="4"/>
      <c r="D33" s="270">
        <f>SUM(D30:D32)</f>
        <v>114576.31803583259</v>
      </c>
      <c r="E33" s="270">
        <f>D33/12</f>
        <v>9548.0265029860493</v>
      </c>
      <c r="F33" s="448">
        <f>D33/$D$7</f>
        <v>1.598308149929311</v>
      </c>
      <c r="H33" s="136"/>
      <c r="I33" s="155"/>
      <c r="J33" s="155"/>
      <c r="K33" s="155"/>
      <c r="L33" s="155"/>
      <c r="M33" s="155"/>
      <c r="N33" s="155"/>
      <c r="O33" s="155"/>
      <c r="P33" s="155"/>
      <c r="Q33" s="155"/>
      <c r="R33" s="155"/>
      <c r="S33" s="155"/>
      <c r="T33" s="155"/>
    </row>
    <row r="34" spans="1:20">
      <c r="A34" s="8"/>
      <c r="B34" s="463"/>
      <c r="D34" s="136"/>
      <c r="H34" s="136"/>
      <c r="I34" s="155"/>
      <c r="J34" s="155"/>
      <c r="K34" s="155"/>
      <c r="L34" s="155"/>
      <c r="M34" s="155"/>
      <c r="N34" s="155"/>
      <c r="O34" s="155"/>
      <c r="P34" s="155"/>
      <c r="Q34" s="155"/>
      <c r="R34" s="155"/>
      <c r="S34" s="155"/>
      <c r="T34" s="155"/>
    </row>
    <row r="35" spans="1:20">
      <c r="A35" s="8" t="s">
        <v>383</v>
      </c>
      <c r="B35" s="463"/>
      <c r="D35" s="136"/>
      <c r="H35" s="136"/>
      <c r="I35" s="155"/>
      <c r="J35" s="155"/>
      <c r="K35" s="155"/>
      <c r="L35" s="155"/>
      <c r="M35" s="155"/>
      <c r="N35" s="155"/>
      <c r="O35" s="155"/>
      <c r="P35" s="155"/>
      <c r="Q35" s="155"/>
      <c r="R35" s="155"/>
      <c r="S35" s="155"/>
      <c r="T35" s="155"/>
    </row>
    <row r="36" spans="1:20">
      <c r="A36" s="401" t="s">
        <v>823</v>
      </c>
      <c r="B36" s="529">
        <f>'Property Data'!G52</f>
        <v>0.5</v>
      </c>
      <c r="C36" s="13"/>
      <c r="D36" s="136">
        <f>D22*B36</f>
        <v>4410</v>
      </c>
      <c r="E36" s="136">
        <f>D36/12</f>
        <v>367.5</v>
      </c>
      <c r="F36" s="156">
        <f t="shared" ref="F36:F50" si="6">D36/$D$7</f>
        <v>6.1518288089724635E-2</v>
      </c>
      <c r="H36" s="136"/>
      <c r="I36" s="155"/>
      <c r="J36" s="155"/>
      <c r="K36" s="155"/>
      <c r="L36" s="155"/>
      <c r="M36" s="155"/>
      <c r="N36" s="155"/>
      <c r="O36" s="155"/>
      <c r="P36" s="155"/>
      <c r="Q36" s="155"/>
      <c r="R36" s="155"/>
      <c r="S36" s="155"/>
      <c r="T36" s="155"/>
    </row>
    <row r="37" spans="1:20">
      <c r="A37" s="401" t="s">
        <v>824</v>
      </c>
      <c r="B37" s="528"/>
      <c r="C37" s="13"/>
      <c r="D37" s="136">
        <f>SUM('5 Year Model'!AA28:AL28)</f>
        <v>68578.700717474989</v>
      </c>
      <c r="E37" s="136">
        <f t="shared" ref="E37:E49" si="7">D37/12</f>
        <v>5714.8917264562488</v>
      </c>
      <c r="F37" s="156">
        <f t="shared" si="6"/>
        <v>0.95665402892440632</v>
      </c>
      <c r="H37" s="136"/>
      <c r="I37" s="155"/>
      <c r="J37" s="155"/>
      <c r="K37" s="155"/>
      <c r="L37" s="155"/>
      <c r="M37" s="155"/>
      <c r="N37" s="155"/>
      <c r="O37" s="155"/>
      <c r="P37" s="155"/>
      <c r="Q37" s="155"/>
      <c r="R37" s="155"/>
      <c r="S37" s="155"/>
      <c r="T37" s="155"/>
    </row>
    <row r="38" spans="1:20">
      <c r="A38" s="401" t="s">
        <v>825</v>
      </c>
      <c r="B38" s="529"/>
      <c r="C38" s="13"/>
      <c r="D38" s="136">
        <f>SUM('5 Year Model'!AA29:AL29)</f>
        <v>15489.04901372213</v>
      </c>
      <c r="E38" s="136">
        <f t="shared" si="7"/>
        <v>1290.7540844768441</v>
      </c>
      <c r="F38" s="156">
        <f t="shared" si="6"/>
        <v>0.21606797720227283</v>
      </c>
      <c r="H38" s="136"/>
      <c r="I38" s="155"/>
      <c r="J38" s="155"/>
      <c r="K38" s="155"/>
      <c r="L38" s="155"/>
      <c r="M38" s="155"/>
      <c r="N38" s="155"/>
      <c r="O38" s="155"/>
      <c r="P38" s="155"/>
      <c r="Q38" s="155"/>
      <c r="R38" s="155"/>
      <c r="S38" s="155"/>
      <c r="T38" s="155"/>
    </row>
    <row r="39" spans="1:20">
      <c r="A39" s="401" t="s">
        <v>826</v>
      </c>
      <c r="B39" s="1009">
        <f>'Property Data'!G53</f>
        <v>0.4</v>
      </c>
      <c r="C39" s="13"/>
      <c r="D39" s="136">
        <f>D$7*B39</f>
        <v>28674.400000000001</v>
      </c>
      <c r="E39" s="136">
        <f t="shared" si="7"/>
        <v>2389.5333333333333</v>
      </c>
      <c r="F39" s="156">
        <f t="shared" si="6"/>
        <v>0.4</v>
      </c>
      <c r="H39" s="136"/>
      <c r="I39" s="155"/>
      <c r="J39" s="155"/>
      <c r="K39" s="155"/>
      <c r="L39" s="155"/>
      <c r="M39" s="155"/>
      <c r="N39" s="155"/>
      <c r="O39" s="155"/>
      <c r="P39" s="155"/>
      <c r="Q39" s="155"/>
      <c r="R39" s="155"/>
      <c r="S39" s="155"/>
      <c r="T39" s="155"/>
    </row>
    <row r="40" spans="1:20">
      <c r="A40" s="401" t="s">
        <v>827</v>
      </c>
      <c r="B40" s="1009">
        <f>'Property Data'!G55</f>
        <v>0.35</v>
      </c>
      <c r="C40" s="13"/>
      <c r="D40" s="136">
        <f>D7*B40</f>
        <v>25090.1</v>
      </c>
      <c r="E40" s="136">
        <f t="shared" si="7"/>
        <v>2090.8416666666667</v>
      </c>
      <c r="F40" s="156">
        <f t="shared" si="6"/>
        <v>0.35</v>
      </c>
      <c r="H40" s="136"/>
      <c r="I40" s="155"/>
      <c r="J40" s="155"/>
      <c r="K40" s="155"/>
      <c r="L40" s="155"/>
      <c r="M40" s="155"/>
      <c r="N40" s="155"/>
      <c r="O40" s="155"/>
      <c r="P40" s="155"/>
      <c r="Q40" s="155"/>
      <c r="R40" s="155"/>
      <c r="S40" s="155"/>
      <c r="T40" s="155"/>
    </row>
    <row r="41" spans="1:20">
      <c r="A41" s="401" t="s">
        <v>828</v>
      </c>
      <c r="B41" s="529">
        <f>'Property Data'!G56</f>
        <v>1.4999999999999999E-2</v>
      </c>
      <c r="C41" s="13"/>
      <c r="D41" s="136">
        <f>D20*B41</f>
        <v>39223.253055089917</v>
      </c>
      <c r="E41" s="136">
        <f t="shared" si="7"/>
        <v>3268.604421257493</v>
      </c>
      <c r="F41" s="156">
        <f t="shared" si="6"/>
        <v>0.54715360119256085</v>
      </c>
      <c r="H41" s="136"/>
      <c r="I41" s="155"/>
      <c r="J41" s="155"/>
      <c r="K41" s="155"/>
      <c r="L41" s="155"/>
      <c r="M41" s="155"/>
      <c r="N41" s="155"/>
      <c r="O41" s="155"/>
      <c r="P41" s="155"/>
      <c r="Q41" s="155"/>
      <c r="R41" s="155"/>
      <c r="S41" s="155"/>
      <c r="T41" s="155"/>
    </row>
    <row r="42" spans="1:20">
      <c r="A42" s="401" t="s">
        <v>829</v>
      </c>
      <c r="B42" s="1010">
        <f>'Property Data'!G57</f>
        <v>105</v>
      </c>
      <c r="C42" s="13"/>
      <c r="D42" s="136">
        <f>B42*37*12</f>
        <v>46620</v>
      </c>
      <c r="E42" s="136">
        <f t="shared" si="7"/>
        <v>3885</v>
      </c>
      <c r="F42" s="156">
        <f t="shared" si="6"/>
        <v>0.65033618837708895</v>
      </c>
      <c r="G42" s="841"/>
      <c r="H42" s="136"/>
      <c r="I42" s="155"/>
      <c r="J42" s="155"/>
      <c r="K42" s="155"/>
      <c r="L42" s="155"/>
      <c r="M42" s="155"/>
      <c r="N42" s="155"/>
      <c r="O42" s="155"/>
      <c r="P42" s="155"/>
      <c r="Q42" s="155"/>
      <c r="R42" s="155"/>
      <c r="S42" s="155"/>
      <c r="T42" s="155"/>
    </row>
    <row r="43" spans="1:20">
      <c r="A43" s="401" t="s">
        <v>830</v>
      </c>
      <c r="B43" s="1010">
        <f>'Property Data'!G58</f>
        <v>400</v>
      </c>
      <c r="C43" s="13"/>
      <c r="D43" s="136">
        <f>B43*12</f>
        <v>4800</v>
      </c>
      <c r="E43" s="136">
        <f t="shared" si="7"/>
        <v>400</v>
      </c>
      <c r="F43" s="156">
        <f t="shared" ref="F43:F49" si="8">D43/$D$7</f>
        <v>6.6958680913985991E-2</v>
      </c>
      <c r="H43" s="136"/>
      <c r="I43" s="155"/>
      <c r="J43" s="155"/>
      <c r="K43" s="155"/>
      <c r="L43" s="155"/>
      <c r="M43" s="155"/>
      <c r="N43" s="155"/>
      <c r="O43" s="155"/>
      <c r="P43" s="155"/>
      <c r="Q43" s="155"/>
      <c r="R43" s="155"/>
      <c r="S43" s="155"/>
      <c r="T43" s="155"/>
    </row>
    <row r="44" spans="1:20">
      <c r="A44" s="401" t="s">
        <v>831</v>
      </c>
      <c r="B44" s="1010">
        <f>'Property Data'!G59</f>
        <v>150</v>
      </c>
      <c r="C44" s="13"/>
      <c r="D44" s="136">
        <f>B44*12</f>
        <v>1800</v>
      </c>
      <c r="E44" s="136">
        <f t="shared" si="7"/>
        <v>150</v>
      </c>
      <c r="F44" s="156">
        <f t="shared" si="8"/>
        <v>2.5109505342744746E-2</v>
      </c>
      <c r="H44" s="136"/>
      <c r="I44" s="155"/>
      <c r="J44" s="155"/>
      <c r="K44" s="155"/>
      <c r="L44" s="155"/>
      <c r="M44" s="155"/>
      <c r="N44" s="155"/>
      <c r="O44" s="155"/>
      <c r="P44" s="155"/>
      <c r="Q44" s="155"/>
      <c r="R44" s="155"/>
      <c r="S44" s="155"/>
      <c r="T44" s="155"/>
    </row>
    <row r="45" spans="1:20">
      <c r="A45" s="401" t="s">
        <v>832</v>
      </c>
      <c r="B45" s="1010">
        <f>'Property Data'!G60</f>
        <v>400</v>
      </c>
      <c r="C45" s="13"/>
      <c r="D45" s="136">
        <f>B45*12</f>
        <v>4800</v>
      </c>
      <c r="E45" s="136">
        <f t="shared" si="7"/>
        <v>400</v>
      </c>
      <c r="F45" s="156">
        <f t="shared" si="8"/>
        <v>6.6958680913985991E-2</v>
      </c>
      <c r="H45" s="136"/>
      <c r="I45" s="155"/>
      <c r="J45" s="155"/>
      <c r="K45" s="155"/>
      <c r="L45" s="155"/>
      <c r="M45" s="155"/>
      <c r="N45" s="155"/>
      <c r="O45" s="155"/>
      <c r="P45" s="155"/>
      <c r="Q45" s="155"/>
      <c r="R45" s="155"/>
      <c r="S45" s="155"/>
      <c r="T45" s="155"/>
    </row>
    <row r="46" spans="1:20">
      <c r="A46" s="401" t="s">
        <v>833</v>
      </c>
      <c r="B46" s="1011">
        <f>'Property Data'!G61</f>
        <v>1</v>
      </c>
      <c r="C46" s="13"/>
      <c r="D46" s="136">
        <f>'SF Breakdown'!E$28*B46</f>
        <v>873</v>
      </c>
      <c r="E46" s="136">
        <f t="shared" si="7"/>
        <v>72.75</v>
      </c>
      <c r="F46" s="156">
        <f t="shared" si="8"/>
        <v>1.2178110091231202E-2</v>
      </c>
      <c r="H46" s="136"/>
      <c r="I46" s="155"/>
      <c r="J46" s="155"/>
      <c r="K46" s="155"/>
      <c r="L46" s="155"/>
      <c r="M46" s="155"/>
      <c r="N46" s="155"/>
      <c r="O46" s="155"/>
      <c r="P46" s="155"/>
      <c r="Q46" s="155"/>
      <c r="R46" s="155"/>
      <c r="S46" s="155"/>
      <c r="T46" s="155"/>
    </row>
    <row r="47" spans="1:20">
      <c r="A47" s="401" t="s">
        <v>834</v>
      </c>
      <c r="B47" s="1011">
        <f>'Property Data'!G62</f>
        <v>2</v>
      </c>
      <c r="C47" s="13"/>
      <c r="D47" s="136">
        <f>'SF Breakdown'!E$28*B47</f>
        <v>1746</v>
      </c>
      <c r="E47" s="136">
        <f t="shared" si="7"/>
        <v>145.5</v>
      </c>
      <c r="F47" s="156">
        <f t="shared" si="8"/>
        <v>2.4356220182462404E-2</v>
      </c>
      <c r="H47" s="136"/>
      <c r="I47" s="155"/>
      <c r="J47" s="155"/>
      <c r="K47" s="155"/>
      <c r="L47" s="155"/>
      <c r="M47" s="155"/>
      <c r="N47" s="155"/>
      <c r="O47" s="155"/>
      <c r="P47" s="155"/>
      <c r="Q47" s="155"/>
      <c r="R47" s="155"/>
      <c r="S47" s="155"/>
      <c r="T47" s="155"/>
    </row>
    <row r="48" spans="1:20">
      <c r="A48" s="401" t="s">
        <v>835</v>
      </c>
      <c r="B48" s="1010">
        <f>'Property Data'!G63</f>
        <v>50</v>
      </c>
      <c r="C48" s="13"/>
      <c r="D48" s="136">
        <f>B48*12</f>
        <v>600</v>
      </c>
      <c r="E48" s="136">
        <f t="shared" si="7"/>
        <v>50</v>
      </c>
      <c r="F48" s="156">
        <f t="shared" si="8"/>
        <v>8.3698351142482488E-3</v>
      </c>
      <c r="H48" s="136"/>
      <c r="I48" s="155"/>
      <c r="J48" s="155"/>
      <c r="K48" s="155"/>
      <c r="L48" s="155"/>
      <c r="M48" s="155"/>
      <c r="N48" s="155"/>
      <c r="O48" s="155"/>
      <c r="P48" s="155"/>
      <c r="Q48" s="155"/>
      <c r="R48" s="155"/>
      <c r="S48" s="155"/>
      <c r="T48" s="155"/>
    </row>
    <row r="49" spans="1:20">
      <c r="A49" s="401" t="s">
        <v>836</v>
      </c>
      <c r="B49" s="1010">
        <f>'Property Data'!G64</f>
        <v>204.29017160686428</v>
      </c>
      <c r="C49" s="13"/>
      <c r="D49" s="136">
        <f>B49*12</f>
        <v>2451.4820592823712</v>
      </c>
      <c r="E49" s="136">
        <f t="shared" si="7"/>
        <v>204.29017160686428</v>
      </c>
      <c r="F49" s="156">
        <f t="shared" si="8"/>
        <v>3.4197501036218665E-2</v>
      </c>
      <c r="H49" s="136"/>
      <c r="I49" s="155"/>
      <c r="J49" s="155"/>
      <c r="K49" s="155"/>
      <c r="L49" s="155"/>
      <c r="M49" s="155"/>
      <c r="N49" s="155"/>
      <c r="O49" s="155"/>
      <c r="P49" s="155"/>
      <c r="Q49" s="155"/>
      <c r="R49" s="155"/>
      <c r="S49" s="155"/>
      <c r="T49" s="155"/>
    </row>
    <row r="50" spans="1:20">
      <c r="A50" s="1012" t="s">
        <v>31</v>
      </c>
      <c r="B50" s="1012"/>
      <c r="C50" s="1012"/>
      <c r="D50" s="1013">
        <f>SUM(D36:D49)</f>
        <v>245155.98484556942</v>
      </c>
      <c r="E50" s="1013">
        <f>SUM(E36:E49)</f>
        <v>20429.665403797448</v>
      </c>
      <c r="F50" s="1014">
        <f t="shared" si="6"/>
        <v>3.4198586173809309</v>
      </c>
      <c r="H50" s="449"/>
      <c r="I50" s="155"/>
      <c r="J50" s="352"/>
      <c r="K50" s="435"/>
      <c r="L50" s="449"/>
      <c r="M50" s="435"/>
      <c r="N50" s="435"/>
      <c r="O50" s="435"/>
      <c r="P50" s="435"/>
      <c r="Q50" s="435"/>
      <c r="R50" s="435"/>
      <c r="S50" s="435"/>
      <c r="T50" s="435"/>
    </row>
    <row r="51" spans="1:20">
      <c r="F51"/>
      <c r="H51" s="136"/>
      <c r="I51" s="156"/>
      <c r="J51" s="156"/>
      <c r="K51" s="156"/>
      <c r="L51" s="156"/>
      <c r="M51" s="156"/>
      <c r="N51" s="156"/>
      <c r="O51" s="156"/>
      <c r="P51" s="156"/>
      <c r="Q51" s="156"/>
      <c r="R51" s="156"/>
      <c r="S51" s="156"/>
      <c r="T51" s="156"/>
    </row>
    <row r="52" spans="1:20">
      <c r="A52" s="4" t="s">
        <v>943</v>
      </c>
      <c r="F52"/>
      <c r="H52" s="136"/>
      <c r="I52" s="156"/>
      <c r="J52" s="156"/>
      <c r="K52" s="156"/>
      <c r="L52" s="156"/>
      <c r="M52" s="156"/>
      <c r="N52" s="156"/>
      <c r="O52" s="156"/>
      <c r="P52" s="156"/>
      <c r="Q52" s="156"/>
      <c r="R52" s="156"/>
      <c r="S52" s="156"/>
      <c r="T52" s="156"/>
    </row>
    <row r="53" spans="1:20">
      <c r="A53" s="351" t="s">
        <v>30</v>
      </c>
      <c r="B53" s="527"/>
      <c r="C53" s="13"/>
      <c r="D53" s="136">
        <v>350000</v>
      </c>
      <c r="E53" s="136">
        <f>D53/12</f>
        <v>29166.666666666668</v>
      </c>
      <c r="F53" s="156">
        <f>D53/$D$7</f>
        <v>4.8824038166448123</v>
      </c>
      <c r="H53" s="136"/>
      <c r="I53" s="156"/>
      <c r="J53" s="156"/>
      <c r="K53" s="156"/>
      <c r="L53" s="156"/>
      <c r="M53" s="156"/>
      <c r="N53" s="156"/>
      <c r="O53" s="156"/>
      <c r="P53" s="156"/>
      <c r="Q53" s="156"/>
      <c r="R53" s="156"/>
      <c r="S53" s="156"/>
      <c r="T53" s="156"/>
    </row>
    <row r="54" spans="1:20">
      <c r="A54" s="351" t="s">
        <v>22</v>
      </c>
      <c r="B54" s="530"/>
      <c r="C54" s="13"/>
      <c r="D54" s="136">
        <v>50000</v>
      </c>
      <c r="E54" s="136">
        <f>D54/12</f>
        <v>4166.666666666667</v>
      </c>
      <c r="F54" s="156">
        <f>D54/$D$7</f>
        <v>0.69748625952068743</v>
      </c>
      <c r="H54" s="136"/>
      <c r="I54" s="156"/>
      <c r="J54" s="156"/>
      <c r="K54" s="156"/>
      <c r="L54" s="156"/>
      <c r="M54" s="156"/>
      <c r="N54" s="156"/>
      <c r="O54" s="156"/>
      <c r="P54" s="156"/>
      <c r="Q54" s="156"/>
      <c r="R54" s="156"/>
      <c r="S54" s="156"/>
      <c r="T54" s="156"/>
    </row>
    <row r="55" spans="1:20">
      <c r="A55" s="4" t="s">
        <v>944</v>
      </c>
      <c r="B55" s="4"/>
      <c r="C55" s="4"/>
      <c r="D55" s="270">
        <f>SUM(D53:D54)</f>
        <v>400000</v>
      </c>
      <c r="E55" s="270">
        <f>D55/12</f>
        <v>33333.333333333336</v>
      </c>
      <c r="F55" s="448">
        <f>D55/$D$7</f>
        <v>5.5798900761654995</v>
      </c>
      <c r="H55" s="136"/>
      <c r="I55" s="156"/>
      <c r="J55" s="156"/>
      <c r="K55" s="156"/>
      <c r="L55" s="156"/>
      <c r="M55" s="156"/>
      <c r="N55" s="156"/>
      <c r="O55" s="156"/>
      <c r="P55" s="156"/>
      <c r="Q55" s="156"/>
      <c r="R55" s="156"/>
      <c r="S55" s="156"/>
      <c r="T55" s="156"/>
    </row>
    <row r="56" spans="1:20">
      <c r="F56"/>
      <c r="H56" s="136"/>
      <c r="I56" s="156"/>
      <c r="J56" s="156"/>
      <c r="K56" s="156"/>
      <c r="L56" s="156"/>
      <c r="M56" s="156"/>
      <c r="N56" s="156"/>
      <c r="O56" s="156"/>
      <c r="P56" s="156"/>
      <c r="Q56" s="156"/>
      <c r="R56" s="156"/>
      <c r="S56" s="156"/>
      <c r="T56" s="156"/>
    </row>
    <row r="57" spans="1:20">
      <c r="A57" s="605" t="s">
        <v>945</v>
      </c>
      <c r="B57" s="1016">
        <f>D57/D26</f>
        <v>0.29108428678182546</v>
      </c>
      <c r="C57" s="106"/>
      <c r="D57" s="278">
        <f>SUM(D33,D50,D55)</f>
        <v>759732.30288140196</v>
      </c>
      <c r="E57" s="278">
        <f>D57/12</f>
        <v>63311.025240116833</v>
      </c>
      <c r="F57" s="606">
        <f>D57/D7</f>
        <v>10.598056843475741</v>
      </c>
      <c r="G57" s="529">
        <f>(D57-D32)/(D26+D21)</f>
        <v>0.24552613389317582</v>
      </c>
      <c r="H57" s="1017" t="s">
        <v>948</v>
      </c>
      <c r="I57" s="156"/>
      <c r="J57" s="156"/>
      <c r="K57" s="156"/>
      <c r="L57" s="156"/>
      <c r="M57" s="156"/>
      <c r="N57" s="156"/>
      <c r="O57" s="156"/>
      <c r="P57" s="156"/>
      <c r="Q57" s="156"/>
      <c r="R57" s="156"/>
      <c r="S57" s="156"/>
      <c r="T57" s="156"/>
    </row>
    <row r="58" spans="1:20">
      <c r="F58"/>
      <c r="H58" s="136"/>
      <c r="I58" s="156"/>
      <c r="J58" s="156"/>
      <c r="K58" s="156"/>
      <c r="L58" s="156"/>
      <c r="M58" s="156"/>
      <c r="N58" s="156"/>
      <c r="O58" s="156"/>
      <c r="P58" s="156"/>
      <c r="Q58" s="156"/>
      <c r="R58" s="156"/>
      <c r="S58" s="156"/>
      <c r="T58" s="156"/>
    </row>
    <row r="59" spans="1:20">
      <c r="A59" s="1018" t="s">
        <v>443</v>
      </c>
      <c r="B59" s="1019"/>
      <c r="C59" s="1019"/>
      <c r="D59" s="1020">
        <f>D26-D57</f>
        <v>1850275.6480144127</v>
      </c>
      <c r="E59" s="1020">
        <f>D59/12</f>
        <v>154189.6373345344</v>
      </c>
      <c r="F59" s="1021">
        <f>D59/$D$7</f>
        <v>25.810836816315778</v>
      </c>
      <c r="H59" s="523">
        <v>5.2499999999999998E-2</v>
      </c>
      <c r="I59" s="439">
        <f>D59/H59</f>
        <v>35243345.676465005</v>
      </c>
      <c r="J59" s="542" t="s">
        <v>602</v>
      </c>
      <c r="K59" s="541"/>
      <c r="L59" s="156"/>
      <c r="M59" s="156"/>
      <c r="N59" s="156"/>
      <c r="O59" s="156"/>
      <c r="P59" s="156"/>
      <c r="Q59" s="156"/>
      <c r="R59" s="156"/>
      <c r="S59" s="156"/>
      <c r="T59" s="156"/>
    </row>
    <row r="60" spans="1:20">
      <c r="A60" s="9" t="s">
        <v>850</v>
      </c>
      <c r="B60" s="84"/>
      <c r="C60" s="13"/>
      <c r="D60" s="860">
        <f ca="1">D97</f>
        <v>21257341.201469414</v>
      </c>
      <c r="E60" s="40"/>
      <c r="F60" s="442"/>
      <c r="G60" s="435"/>
      <c r="H60" s="449" t="s">
        <v>979</v>
      </c>
      <c r="I60" s="449"/>
      <c r="J60" s="435"/>
      <c r="K60" s="435"/>
      <c r="L60" s="136"/>
      <c r="M60" s="435"/>
      <c r="N60" s="435"/>
      <c r="O60" s="435"/>
      <c r="P60" s="435"/>
      <c r="Q60" s="435"/>
      <c r="R60" s="435"/>
      <c r="S60" s="435"/>
      <c r="T60" s="435"/>
    </row>
    <row r="61" spans="1:20">
      <c r="A61" s="38" t="s">
        <v>955</v>
      </c>
      <c r="D61" s="350">
        <f ca="1">D59/D60</f>
        <v>8.7041725043511667E-2</v>
      </c>
      <c r="F61" s="156"/>
      <c r="G61" s="136"/>
      <c r="H61" s="136"/>
      <c r="I61" s="136"/>
      <c r="J61" s="136"/>
      <c r="K61" s="136"/>
      <c r="L61" s="136"/>
      <c r="M61" s="136"/>
      <c r="N61" s="136"/>
      <c r="O61" s="136"/>
      <c r="P61" s="136"/>
      <c r="Q61" s="136"/>
      <c r="R61" s="136"/>
      <c r="S61" s="136"/>
      <c r="T61" s="136"/>
    </row>
    <row r="62" spans="1:20">
      <c r="D62" s="42"/>
      <c r="F62" s="156"/>
      <c r="G62" s="136"/>
      <c r="H62" s="136"/>
      <c r="I62" s="136"/>
      <c r="J62" s="136"/>
      <c r="K62" s="136"/>
      <c r="L62" s="136"/>
      <c r="M62" s="136"/>
      <c r="N62" s="136"/>
      <c r="O62" s="136"/>
      <c r="P62" s="136"/>
      <c r="Q62" s="136"/>
      <c r="R62" s="136"/>
      <c r="S62" s="136"/>
      <c r="T62" s="136"/>
    </row>
    <row r="63" spans="1:20">
      <c r="A63" s="1022" t="s">
        <v>80</v>
      </c>
      <c r="B63" s="1023"/>
      <c r="C63" s="1023"/>
      <c r="D63" s="1023"/>
      <c r="E63" s="1023"/>
      <c r="F63" s="1024"/>
      <c r="G63" s="13"/>
      <c r="H63" s="449"/>
      <c r="I63" s="449"/>
      <c r="J63" s="436"/>
      <c r="K63" s="436"/>
      <c r="L63" s="436"/>
      <c r="M63" s="436"/>
      <c r="N63" s="436"/>
      <c r="O63" s="436"/>
      <c r="P63" s="436"/>
      <c r="Q63" s="436"/>
      <c r="R63" s="436"/>
      <c r="S63" s="436"/>
      <c r="T63" s="436"/>
    </row>
    <row r="64" spans="1:20">
      <c r="A64" s="9" t="s">
        <v>82</v>
      </c>
      <c r="B64" s="440">
        <f>D11</f>
        <v>3481.75</v>
      </c>
      <c r="C64" s="13"/>
      <c r="D64" s="136">
        <f>E64*12</f>
        <v>87043.75</v>
      </c>
      <c r="E64" s="136">
        <f>'Monthly PF Cash Flow'!BC61</f>
        <v>7253.645833333333</v>
      </c>
      <c r="F64" s="156">
        <f>D64/B64</f>
        <v>25</v>
      </c>
      <c r="G64" s="155"/>
      <c r="H64" s="449"/>
      <c r="I64" s="449"/>
      <c r="J64" s="436"/>
      <c r="K64" s="436"/>
      <c r="L64" s="436"/>
      <c r="M64" s="436"/>
      <c r="N64" s="436"/>
      <c r="O64" s="436"/>
      <c r="P64" s="436"/>
      <c r="Q64" s="436"/>
      <c r="R64" s="436"/>
      <c r="S64" s="436"/>
      <c r="T64" s="436"/>
    </row>
    <row r="65" spans="1:20">
      <c r="A65" s="9" t="s">
        <v>90</v>
      </c>
      <c r="B65" s="440">
        <f>D12</f>
        <v>3527.35</v>
      </c>
      <c r="C65" s="13"/>
      <c r="D65" s="136">
        <f>E65*12</f>
        <v>70547</v>
      </c>
      <c r="E65" s="136">
        <f>'Monthly PF Cash Flow'!BC63</f>
        <v>5878.916666666667</v>
      </c>
      <c r="F65" s="156">
        <f>D65/B65</f>
        <v>20</v>
      </c>
      <c r="G65" s="155"/>
      <c r="H65" s="449"/>
      <c r="I65" s="449"/>
      <c r="J65" s="436"/>
      <c r="K65" s="436"/>
      <c r="L65" s="436"/>
      <c r="M65" s="436"/>
      <c r="N65" s="436"/>
      <c r="O65" s="436"/>
      <c r="P65" s="436"/>
      <c r="Q65" s="436"/>
      <c r="R65" s="436"/>
      <c r="S65" s="436"/>
      <c r="T65" s="436"/>
    </row>
    <row r="66" spans="1:20">
      <c r="A66" s="252" t="s">
        <v>91</v>
      </c>
      <c r="B66" s="441">
        <f>SUM(B64:B65)</f>
        <v>7009.1</v>
      </c>
      <c r="C66" s="83"/>
      <c r="D66" s="267">
        <f>SUM(D64:D65)</f>
        <v>157590.75</v>
      </c>
      <c r="E66" s="267">
        <f>SUM(E64:E65)</f>
        <v>13132.5625</v>
      </c>
      <c r="F66" s="446">
        <f>D66/B66</f>
        <v>22.483735429655731</v>
      </c>
      <c r="G66" s="434"/>
      <c r="H66" s="449"/>
      <c r="I66" s="449"/>
      <c r="J66" s="436"/>
      <c r="K66" s="436"/>
      <c r="L66" s="436"/>
      <c r="M66" s="436"/>
      <c r="N66" s="436"/>
      <c r="O66" s="436"/>
      <c r="P66" s="436"/>
      <c r="Q66" s="436"/>
      <c r="R66" s="436"/>
      <c r="S66" s="436"/>
      <c r="T66" s="436"/>
    </row>
    <row r="67" spans="1:20">
      <c r="A67" s="9"/>
      <c r="B67" s="84"/>
      <c r="C67" s="13"/>
      <c r="D67" s="40"/>
      <c r="E67" s="40"/>
      <c r="F67" s="442"/>
      <c r="G67" s="435"/>
      <c r="H67" s="449"/>
      <c r="I67" s="449"/>
      <c r="J67" s="436"/>
      <c r="K67" s="436"/>
      <c r="L67" s="436"/>
      <c r="M67" s="436"/>
      <c r="N67" s="436"/>
      <c r="O67" s="436"/>
      <c r="P67" s="436"/>
      <c r="Q67" s="436"/>
      <c r="R67" s="436"/>
      <c r="S67" s="436"/>
      <c r="T67" s="436"/>
    </row>
    <row r="68" spans="1:20">
      <c r="A68" s="9" t="s">
        <v>98</v>
      </c>
      <c r="B68" s="13"/>
      <c r="C68" s="13"/>
      <c r="D68" s="136">
        <f>E68*12</f>
        <v>17408.75</v>
      </c>
      <c r="E68" s="136">
        <f>'Monthly PF Cash Flow'!BC70</f>
        <v>1450.7291666666667</v>
      </c>
      <c r="F68" s="156">
        <f>D68/$B$66</f>
        <v>2.483735429655733</v>
      </c>
      <c r="G68" s="156"/>
      <c r="H68" s="449"/>
      <c r="I68" s="449"/>
      <c r="J68" s="436"/>
      <c r="K68" s="436"/>
      <c r="L68" s="436"/>
      <c r="M68" s="436"/>
      <c r="N68" s="436"/>
      <c r="O68" s="436"/>
      <c r="P68" s="436"/>
      <c r="Q68" s="436"/>
      <c r="R68" s="436"/>
      <c r="S68" s="436"/>
      <c r="T68" s="436"/>
    </row>
    <row r="69" spans="1:20">
      <c r="A69" s="9" t="s">
        <v>99</v>
      </c>
      <c r="B69" s="13"/>
      <c r="C69" s="13"/>
      <c r="D69" s="136">
        <f>E69*12</f>
        <v>17636.75</v>
      </c>
      <c r="E69" s="136">
        <f>'Monthly PF Cash Flow'!BC71</f>
        <v>1469.7291666666667</v>
      </c>
      <c r="F69" s="156">
        <f>D69/$B$66</f>
        <v>2.5162645703442665</v>
      </c>
      <c r="G69" s="156"/>
      <c r="H69" s="449"/>
      <c r="I69" s="449"/>
      <c r="J69" s="436"/>
      <c r="K69" s="436"/>
      <c r="L69" s="436"/>
      <c r="M69" s="436"/>
      <c r="N69" s="436"/>
      <c r="O69" s="436"/>
      <c r="P69" s="436"/>
      <c r="Q69" s="436"/>
      <c r="R69" s="436"/>
      <c r="S69" s="436"/>
      <c r="T69" s="436"/>
    </row>
    <row r="70" spans="1:20">
      <c r="A70" s="9" t="s">
        <v>436</v>
      </c>
      <c r="D70" s="152">
        <f>SUM(D68:D69)</f>
        <v>35045.5</v>
      </c>
      <c r="E70" s="152">
        <f>SUM(E68:E69)</f>
        <v>2920.4583333333335</v>
      </c>
      <c r="F70" s="447">
        <f>D70/$B$66</f>
        <v>5</v>
      </c>
      <c r="G70" s="145"/>
      <c r="H70" s="136"/>
      <c r="I70" s="136"/>
      <c r="J70" s="145"/>
      <c r="K70" s="145"/>
      <c r="L70" s="145"/>
      <c r="M70" s="145"/>
      <c r="N70" s="145"/>
      <c r="O70" s="145"/>
      <c r="P70" s="145"/>
      <c r="Q70" s="145"/>
      <c r="R70" s="145"/>
      <c r="S70" s="145"/>
      <c r="T70" s="145"/>
    </row>
    <row r="71" spans="1:20">
      <c r="F71" s="333"/>
      <c r="G71" s="222"/>
      <c r="H71" s="266"/>
      <c r="I71" s="266"/>
      <c r="J71" s="222"/>
      <c r="K71" s="222"/>
      <c r="L71" s="222"/>
      <c r="M71" s="222"/>
      <c r="N71" s="222"/>
      <c r="O71" s="222"/>
      <c r="P71" s="222"/>
      <c r="Q71" s="222"/>
      <c r="R71" s="222"/>
      <c r="S71" s="222"/>
      <c r="T71" s="222"/>
    </row>
    <row r="72" spans="1:20">
      <c r="A72" s="8" t="s">
        <v>390</v>
      </c>
      <c r="B72" s="13"/>
      <c r="C72" s="13"/>
      <c r="D72" s="268">
        <f>D66+D70</f>
        <v>192636.25</v>
      </c>
      <c r="E72" s="268">
        <f>E66+E70</f>
        <v>16053.020833333334</v>
      </c>
      <c r="F72" s="447">
        <f>D72/$B$66</f>
        <v>27.483735429655731</v>
      </c>
      <c r="G72" s="145"/>
      <c r="H72" s="136"/>
      <c r="I72" s="136"/>
      <c r="J72" s="145"/>
      <c r="K72" s="145"/>
      <c r="L72" s="145"/>
      <c r="M72" s="145"/>
      <c r="N72" s="145"/>
      <c r="O72" s="145"/>
      <c r="P72" s="145"/>
      <c r="Q72" s="145"/>
      <c r="R72" s="145"/>
      <c r="S72" s="145"/>
      <c r="T72" s="145"/>
    </row>
    <row r="73" spans="1:20">
      <c r="A73" s="9" t="s">
        <v>94</v>
      </c>
      <c r="B73" s="275">
        <v>0.1</v>
      </c>
      <c r="C73" s="13"/>
      <c r="D73" s="445">
        <f>-D72*B73</f>
        <v>-19263.625</v>
      </c>
      <c r="E73" s="445">
        <f>D73/12</f>
        <v>-1605.3020833333333</v>
      </c>
      <c r="F73" s="156">
        <f>D73/$B$66</f>
        <v>-2.7483735429655733</v>
      </c>
      <c r="I73" s="7"/>
    </row>
    <row r="74" spans="1:20">
      <c r="A74" s="9"/>
      <c r="B74" s="275"/>
      <c r="C74" s="13"/>
      <c r="D74" s="445"/>
      <c r="E74" s="445"/>
      <c r="F74" s="156"/>
      <c r="I74" s="7"/>
    </row>
    <row r="75" spans="1:20">
      <c r="A75" s="605" t="s">
        <v>29</v>
      </c>
      <c r="B75" s="106"/>
      <c r="C75" s="106"/>
      <c r="D75" s="278">
        <f>SUM(D72:D73)</f>
        <v>173372.625</v>
      </c>
      <c r="E75" s="278">
        <f>SUM(E72:E73)</f>
        <v>14447.71875</v>
      </c>
      <c r="F75" s="606">
        <f>D75/$B$66</f>
        <v>24.735361886690157</v>
      </c>
      <c r="I75" s="7"/>
    </row>
    <row r="76" spans="1:20">
      <c r="A76" s="433"/>
      <c r="B76" s="433"/>
      <c r="C76" s="433"/>
      <c r="D76" s="433"/>
      <c r="E76" s="433"/>
      <c r="I76" s="7"/>
    </row>
    <row r="77" spans="1:20">
      <c r="A77" s="8" t="s">
        <v>439</v>
      </c>
      <c r="B77" s="433"/>
      <c r="C77" s="433"/>
      <c r="D77" s="433"/>
      <c r="E77" s="433"/>
      <c r="I77" s="7"/>
    </row>
    <row r="78" spans="1:20">
      <c r="A78" s="9" t="s">
        <v>437</v>
      </c>
      <c r="B78" s="433"/>
      <c r="C78" s="433"/>
      <c r="D78" s="136">
        <f>E78*12</f>
        <v>17408.75</v>
      </c>
      <c r="E78" s="136">
        <f>'Monthly PF Cash Flow'!BC80</f>
        <v>1450.7291666666667</v>
      </c>
      <c r="F78" s="156">
        <f>D78/B64</f>
        <v>5</v>
      </c>
      <c r="I78" s="7"/>
    </row>
    <row r="79" spans="1:20">
      <c r="A79" s="9" t="s">
        <v>438</v>
      </c>
      <c r="B79" s="433"/>
      <c r="C79" s="433"/>
      <c r="D79" s="136">
        <f>E79*12</f>
        <v>17636.75</v>
      </c>
      <c r="E79" s="136">
        <f>'Monthly PF Cash Flow'!BC81</f>
        <v>1469.7291666666667</v>
      </c>
      <c r="F79" s="156">
        <f>D79/B65</f>
        <v>5</v>
      </c>
      <c r="I79" s="7"/>
    </row>
    <row r="80" spans="1:20">
      <c r="A80" s="605" t="s">
        <v>954</v>
      </c>
      <c r="B80" s="106"/>
      <c r="C80" s="106"/>
      <c r="D80" s="278">
        <f>SUM(D78:D79)</f>
        <v>35045.5</v>
      </c>
      <c r="E80" s="278">
        <f>SUM(E78:E79)</f>
        <v>2920.4583333333335</v>
      </c>
      <c r="F80" s="606">
        <f>D80/$B$66</f>
        <v>5</v>
      </c>
      <c r="I80" s="7"/>
    </row>
    <row r="81" spans="1:11">
      <c r="A81" s="433"/>
      <c r="B81" s="433"/>
      <c r="C81" s="433"/>
      <c r="D81" s="433"/>
      <c r="E81" s="433"/>
      <c r="I81" s="7"/>
    </row>
    <row r="82" spans="1:11">
      <c r="A82" s="1018" t="s">
        <v>442</v>
      </c>
      <c r="B82" s="1019"/>
      <c r="C82" s="1019"/>
      <c r="D82" s="1020">
        <f>D75-D80</f>
        <v>138327.125</v>
      </c>
      <c r="E82" s="1020">
        <f>E75-E80</f>
        <v>11527.260416666666</v>
      </c>
      <c r="F82" s="1021">
        <f>D82/$B$66</f>
        <v>19.735361886690161</v>
      </c>
      <c r="H82" s="523">
        <f>D82/I82</f>
        <v>0.22140020838260635</v>
      </c>
      <c r="I82" s="439">
        <f>I93-I59</f>
        <v>624783.17437241971</v>
      </c>
      <c r="J82" s="437" t="s">
        <v>603</v>
      </c>
      <c r="K82" s="437"/>
    </row>
    <row r="83" spans="1:11">
      <c r="A83" s="11"/>
      <c r="B83" s="13"/>
      <c r="C83" s="13"/>
      <c r="D83" s="42"/>
      <c r="E83" s="136"/>
      <c r="F83" s="156"/>
      <c r="H83" s="136" t="s">
        <v>981</v>
      </c>
      <c r="I83" s="136"/>
      <c r="J83" s="136"/>
      <c r="K83" s="136"/>
    </row>
    <row r="84" spans="1:11">
      <c r="A84" s="11"/>
      <c r="B84" s="13"/>
      <c r="C84" s="13"/>
      <c r="D84" s="136"/>
      <c r="E84" s="136"/>
      <c r="F84" s="156"/>
      <c r="H84" s="136"/>
      <c r="I84" s="136"/>
      <c r="J84" s="136"/>
      <c r="K84" s="136"/>
    </row>
    <row r="85" spans="1:11">
      <c r="A85" s="1026" t="s">
        <v>444</v>
      </c>
      <c r="B85" s="1026"/>
      <c r="C85" s="1026"/>
      <c r="D85" s="1027">
        <f>D59+D82</f>
        <v>1988602.7730144127</v>
      </c>
      <c r="E85" s="1027">
        <f>E59+E82</f>
        <v>165716.89775120106</v>
      </c>
      <c r="F85" s="1028">
        <f>D85/D15</f>
        <v>25.269715306472861</v>
      </c>
    </row>
    <row r="86" spans="1:11">
      <c r="A86" s="13"/>
      <c r="B86" s="13"/>
      <c r="C86" s="13"/>
      <c r="D86" s="42"/>
      <c r="E86" s="136"/>
      <c r="F86" s="156"/>
      <c r="H86" s="136"/>
      <c r="I86" s="136"/>
      <c r="J86" s="136"/>
      <c r="K86" s="136"/>
    </row>
    <row r="87" spans="1:11">
      <c r="A87" s="8" t="s">
        <v>445</v>
      </c>
      <c r="D87" s="136"/>
      <c r="E87" s="136"/>
      <c r="F87" s="156"/>
      <c r="H87" s="136"/>
      <c r="I87" s="136"/>
      <c r="J87" s="136"/>
      <c r="K87" s="136"/>
    </row>
    <row r="88" spans="1:11">
      <c r="A88" s="30" t="s">
        <v>24</v>
      </c>
      <c r="D88" s="136">
        <f>D85</f>
        <v>1988602.7730144127</v>
      </c>
      <c r="E88" s="136"/>
      <c r="F88" s="156"/>
      <c r="H88" s="136"/>
      <c r="I88" s="136"/>
      <c r="J88" s="136"/>
      <c r="K88" s="136"/>
    </row>
    <row r="89" spans="1:11">
      <c r="A89" s="30" t="s">
        <v>951</v>
      </c>
      <c r="D89" s="136">
        <f>D32</f>
        <v>104400.31803583259</v>
      </c>
      <c r="E89" s="136"/>
      <c r="F89" s="156"/>
      <c r="H89" s="136"/>
      <c r="I89" s="136"/>
      <c r="J89" s="136"/>
      <c r="K89" s="136"/>
    </row>
    <row r="90" spans="1:11">
      <c r="A90" s="30" t="s">
        <v>952</v>
      </c>
      <c r="D90" s="136">
        <f>D21</f>
        <v>59084.639999999999</v>
      </c>
      <c r="E90" s="136"/>
      <c r="F90" s="156"/>
      <c r="H90" s="136"/>
      <c r="I90" s="136"/>
      <c r="J90" s="136"/>
      <c r="K90" s="136"/>
    </row>
    <row r="91" spans="1:11">
      <c r="A91" s="9" t="s">
        <v>953</v>
      </c>
      <c r="D91" s="152">
        <f>SUM(D88:D90)</f>
        <v>2152087.7310502455</v>
      </c>
      <c r="E91" s="136"/>
      <c r="F91" s="156"/>
      <c r="H91" s="136"/>
      <c r="I91" s="136"/>
      <c r="J91" s="136"/>
      <c r="K91" s="136"/>
    </row>
    <row r="92" spans="1:11">
      <c r="A92" s="9"/>
      <c r="D92" s="136"/>
      <c r="E92" s="136"/>
      <c r="F92" s="156"/>
      <c r="H92" s="136"/>
      <c r="I92" s="136"/>
      <c r="J92" s="136"/>
      <c r="K92" s="136"/>
    </row>
    <row r="93" spans="1:11">
      <c r="A93" s="607" t="s">
        <v>446</v>
      </c>
      <c r="B93" s="610">
        <f>'Assumptions &amp; Inputs'!T5</f>
        <v>0.06</v>
      </c>
      <c r="C93" s="607"/>
      <c r="D93" s="608">
        <f>D91/B93</f>
        <v>35868128.850837424</v>
      </c>
      <c r="E93" s="609">
        <f>D93/$D$15</f>
        <v>455.78605085751747</v>
      </c>
      <c r="F93" s="156"/>
      <c r="H93" s="524">
        <f>D85/I93</f>
        <v>5.5442055014475175E-2</v>
      </c>
      <c r="I93" s="438">
        <f>D93</f>
        <v>35868128.850837424</v>
      </c>
      <c r="J93" s="438" t="s">
        <v>604</v>
      </c>
      <c r="K93" s="438"/>
    </row>
    <row r="94" spans="1:11">
      <c r="D94" s="136"/>
      <c r="E94" s="156"/>
      <c r="F94" s="156"/>
      <c r="G94" s="7"/>
      <c r="H94" s="449" t="s">
        <v>980</v>
      </c>
      <c r="I94" s="136"/>
      <c r="J94" s="136"/>
      <c r="K94" s="136"/>
    </row>
    <row r="95" spans="1:11">
      <c r="A95" s="8" t="s">
        <v>449</v>
      </c>
      <c r="D95" s="136">
        <f ca="1">'Sources &amp; Uses'!D51</f>
        <v>21626965.70146941</v>
      </c>
      <c r="E95" s="156">
        <f ca="1">D95/$D$15</f>
        <v>274.81972449961188</v>
      </c>
      <c r="G95" s="7"/>
    </row>
    <row r="96" spans="1:11">
      <c r="A96" s="30" t="s">
        <v>849</v>
      </c>
      <c r="D96" s="445">
        <f ca="1">-'Assumptions &amp; Inputs'!J44</f>
        <v>-369624.5</v>
      </c>
      <c r="E96" s="156">
        <f t="shared" ref="E96:E97" ca="1" si="9">D96/$D$15</f>
        <v>-4.6969188678837686</v>
      </c>
      <c r="G96" s="7"/>
    </row>
    <row r="97" spans="1:9">
      <c r="A97" s="31" t="s">
        <v>989</v>
      </c>
      <c r="B97" s="4"/>
      <c r="C97" s="4"/>
      <c r="D97" s="1140">
        <f ca="1">SUM(D95:D96)</f>
        <v>21257341.20146941</v>
      </c>
      <c r="E97" s="447">
        <f t="shared" ca="1" si="9"/>
        <v>270.12280563172811</v>
      </c>
      <c r="G97" s="7"/>
    </row>
    <row r="98" spans="1:9">
      <c r="A98" s="9" t="s">
        <v>355</v>
      </c>
      <c r="D98" s="350">
        <f ca="1">D85/D97</f>
        <v>9.3548988754856649E-2</v>
      </c>
      <c r="F98" s="42"/>
      <c r="G98" s="42"/>
    </row>
    <row r="99" spans="1:9">
      <c r="A99" s="9"/>
      <c r="D99" s="13"/>
    </row>
    <row r="100" spans="1:9">
      <c r="A100" s="8" t="s">
        <v>450</v>
      </c>
      <c r="D100" s="136">
        <f ca="1">D93-D97</f>
        <v>14610787.649368014</v>
      </c>
      <c r="E100" s="136"/>
      <c r="G100" s="136"/>
    </row>
    <row r="101" spans="1:9">
      <c r="A101" s="9" t="s">
        <v>645</v>
      </c>
      <c r="D101" s="136">
        <f ca="1">'Sources &amp; Uses'!D17</f>
        <v>6926965.7014694139</v>
      </c>
      <c r="E101" s="136"/>
      <c r="G101" s="136"/>
    </row>
    <row r="102" spans="1:9">
      <c r="A102" s="9" t="s">
        <v>624</v>
      </c>
      <c r="D102" s="450">
        <f ca="1">(D101+D100)/D101</f>
        <v>3.1092623060438473</v>
      </c>
      <c r="G102" s="450"/>
    </row>
    <row r="103" spans="1:9">
      <c r="A103" s="9"/>
      <c r="D103" s="13"/>
    </row>
    <row r="104" spans="1:9">
      <c r="A104" s="45" t="s">
        <v>572</v>
      </c>
      <c r="B104" s="45"/>
      <c r="C104" s="45"/>
      <c r="D104" s="611" t="s">
        <v>578</v>
      </c>
      <c r="E104" s="611" t="s">
        <v>579</v>
      </c>
    </row>
    <row r="105" spans="1:9">
      <c r="A105" s="9" t="s">
        <v>24</v>
      </c>
      <c r="D105" s="136">
        <f>D85</f>
        <v>1988602.7730144127</v>
      </c>
      <c r="E105" s="136">
        <f>D59</f>
        <v>1850275.6480144127</v>
      </c>
    </row>
    <row r="106" spans="1:9">
      <c r="A106" s="9" t="s">
        <v>573</v>
      </c>
      <c r="D106" s="136">
        <f>'Assumptions &amp; Inputs'!N9</f>
        <v>14700000</v>
      </c>
      <c r="E106" s="136">
        <f>D106</f>
        <v>14700000</v>
      </c>
      <c r="H106" s="7">
        <f ca="1">E106/'SF Breakdown'!E24</f>
        <v>185.61520074852169</v>
      </c>
    </row>
    <row r="107" spans="1:9">
      <c r="A107" s="9" t="s">
        <v>580</v>
      </c>
      <c r="D107" s="501">
        <v>6.25E-2</v>
      </c>
      <c r="E107" s="108">
        <f>D107</f>
        <v>6.25E-2</v>
      </c>
      <c r="G107" s="429"/>
      <c r="H107" s="429"/>
      <c r="I107" s="690"/>
    </row>
    <row r="108" spans="1:9">
      <c r="A108" s="9" t="s">
        <v>581</v>
      </c>
      <c r="D108" s="502">
        <v>30</v>
      </c>
      <c r="E108" s="13">
        <f>D108</f>
        <v>30</v>
      </c>
    </row>
    <row r="109" spans="1:9">
      <c r="A109" s="9" t="s">
        <v>574</v>
      </c>
      <c r="D109" s="136">
        <f>PMT(D107/12,D108*12,-D106)*12</f>
        <v>1086125.1415521547</v>
      </c>
      <c r="E109" s="136">
        <f>PMT(E107/12,E108*12,-E106)*12</f>
        <v>1086125.1415521547</v>
      </c>
    </row>
    <row r="110" spans="1:9">
      <c r="A110" s="9" t="s">
        <v>575</v>
      </c>
      <c r="D110" s="108">
        <f>D109/D106</f>
        <v>7.3886064051166989E-2</v>
      </c>
      <c r="E110" s="108">
        <f>E109/E106</f>
        <v>7.3886064051166989E-2</v>
      </c>
    </row>
    <row r="111" spans="1:9">
      <c r="A111" s="10" t="s">
        <v>576</v>
      </c>
      <c r="B111" s="4"/>
      <c r="C111" s="4"/>
      <c r="D111" s="631">
        <f>D105/D106</f>
        <v>0.13527910020506209</v>
      </c>
      <c r="E111" s="631">
        <f>E105/E106</f>
        <v>0.12586909170166072</v>
      </c>
    </row>
    <row r="112" spans="1:9">
      <c r="A112" s="9" t="s">
        <v>577</v>
      </c>
      <c r="D112" s="292">
        <f>D105/D109</f>
        <v>1.8309149626833512</v>
      </c>
      <c r="E112" s="292">
        <f>E105/E109</f>
        <v>1.7035565951177867</v>
      </c>
    </row>
    <row r="113" spans="1:5">
      <c r="A113" s="9" t="s">
        <v>1000</v>
      </c>
      <c r="D113" s="350">
        <f>D106/D93</f>
        <v>0.40983459329958316</v>
      </c>
      <c r="E113" s="292"/>
    </row>
    <row r="115" spans="1:5">
      <c r="A115" s="795" t="s">
        <v>693</v>
      </c>
      <c r="D115" s="136">
        <f>D93-D106</f>
        <v>21168128.850837424</v>
      </c>
    </row>
    <row r="116" spans="1:5">
      <c r="A116" s="9" t="s">
        <v>645</v>
      </c>
      <c r="D116" s="136">
        <f ca="1">D101</f>
        <v>6926965.7014694139</v>
      </c>
    </row>
    <row r="117" spans="1:5">
      <c r="A117" s="9" t="s">
        <v>624</v>
      </c>
      <c r="D117" s="450">
        <f ca="1">(D116+D115)/D116</f>
        <v>4.0559020735943649</v>
      </c>
    </row>
  </sheetData>
  <pageMargins left="0.7" right="0.7" top="0.75" bottom="0.75" header="0.3" footer="0.3"/>
  <ignoredErrors>
    <ignoredError sqref="F2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E8BBB-E97E-46DA-A4C9-6B9310C82C2A}">
  <sheetPr>
    <tabColor rgb="FF00B0F0"/>
  </sheetPr>
  <dimension ref="A1:BL161"/>
  <sheetViews>
    <sheetView zoomScaleNormal="100" workbookViewId="0">
      <pane xSplit="2" ySplit="16" topLeftCell="C17" activePane="bottomRight" state="frozen"/>
      <selection pane="topRight" activeCell="C1" sqref="C1"/>
      <selection pane="bottomLeft" activeCell="A11" sqref="A11"/>
      <selection pane="bottomRight" activeCell="A2" sqref="A2"/>
    </sheetView>
  </sheetViews>
  <sheetFormatPr defaultColWidth="9.08984375" defaultRowHeight="12"/>
  <cols>
    <col min="1" max="1" width="32.81640625" style="713" bestFit="1" customWidth="1"/>
    <col min="2" max="2" width="11.7265625" style="713" bestFit="1" customWidth="1"/>
    <col min="3" max="63" width="11.6328125" style="713" customWidth="1"/>
    <col min="64" max="64" width="10.26953125" style="713" bestFit="1" customWidth="1"/>
    <col min="65" max="16384" width="9.08984375" style="713"/>
  </cols>
  <sheetData>
    <row r="1" spans="1:64" ht="18.5">
      <c r="A1" s="698" t="s">
        <v>1025</v>
      </c>
    </row>
    <row r="2" spans="1:64">
      <c r="A2" s="713" t="s">
        <v>684</v>
      </c>
      <c r="C2" s="714">
        <f>'Sources &amp; Uses'!D12</f>
        <v>600000</v>
      </c>
      <c r="D2" s="715">
        <f ca="1">C2/$C$5</f>
        <v>8.6618012252135113E-2</v>
      </c>
    </row>
    <row r="3" spans="1:64">
      <c r="A3" s="713" t="s">
        <v>698</v>
      </c>
      <c r="C3" s="808">
        <f>'Sources &amp; Uses'!M7</f>
        <v>2400000</v>
      </c>
      <c r="D3" s="715"/>
    </row>
    <row r="4" spans="1:64">
      <c r="A4" s="713" t="s">
        <v>593</v>
      </c>
      <c r="C4" s="714">
        <f ca="1">'Sources &amp; Uses'!D16+'Sources &amp; Uses'!D13</f>
        <v>6326965.7014694288</v>
      </c>
      <c r="D4" s="715">
        <f ca="1">C4/$C$5</f>
        <v>0.91338198774786272</v>
      </c>
    </row>
    <row r="5" spans="1:64">
      <c r="A5" s="713" t="s">
        <v>128</v>
      </c>
      <c r="C5" s="769">
        <f ca="1">C2+C4</f>
        <v>6926965.7014694288</v>
      </c>
      <c r="D5" s="770">
        <f ca="1">SUM(D2:D4)</f>
        <v>0.99999999999999778</v>
      </c>
    </row>
    <row r="6" spans="1:64">
      <c r="C6" s="714">
        <f ca="1">SUM(C2:C4)</f>
        <v>9326965.7014694288</v>
      </c>
      <c r="D6" s="715"/>
    </row>
    <row r="7" spans="1:64" ht="25.5" customHeight="1" thickBot="1">
      <c r="B7" s="716"/>
      <c r="D7" s="717" t="s">
        <v>663</v>
      </c>
      <c r="E7" s="718" t="s">
        <v>630</v>
      </c>
      <c r="F7" s="718" t="s">
        <v>628</v>
      </c>
      <c r="G7" s="717" t="s">
        <v>683</v>
      </c>
      <c r="H7" s="807" t="s">
        <v>697</v>
      </c>
      <c r="J7" s="1224" t="s">
        <v>630</v>
      </c>
      <c r="K7" s="1224"/>
      <c r="L7" s="1224" t="s">
        <v>628</v>
      </c>
      <c r="M7" s="1224"/>
      <c r="N7" s="1224" t="s">
        <v>664</v>
      </c>
      <c r="O7" s="1224"/>
    </row>
    <row r="8" spans="1:64">
      <c r="B8" s="719" t="s">
        <v>636</v>
      </c>
      <c r="D8" s="720">
        <v>0.08</v>
      </c>
      <c r="E8" s="721">
        <f ca="1">B27</f>
        <v>0.91338198774786505</v>
      </c>
      <c r="F8" s="722">
        <f ca="1">1-E8</f>
        <v>8.6618012252134946E-2</v>
      </c>
      <c r="G8" s="720">
        <v>0</v>
      </c>
      <c r="H8" s="803"/>
      <c r="J8" s="724" t="s">
        <v>666</v>
      </c>
      <c r="K8" s="728">
        <f ca="1">A101</f>
        <v>0.28644601944745229</v>
      </c>
      <c r="L8" s="725" t="s">
        <v>667</v>
      </c>
      <c r="M8" s="726">
        <f ca="1">A129</f>
        <v>0.94728094847991073</v>
      </c>
      <c r="N8" s="727" t="s">
        <v>349</v>
      </c>
      <c r="O8" s="728">
        <f ca="1">A138</f>
        <v>0.39235673530036097</v>
      </c>
    </row>
    <row r="9" spans="1:64">
      <c r="B9" s="719" t="s">
        <v>629</v>
      </c>
      <c r="D9" s="729">
        <v>0.15</v>
      </c>
      <c r="E9" s="737">
        <f ca="1">B27</f>
        <v>0.91338198774786505</v>
      </c>
      <c r="F9" s="731">
        <f ca="1">1-E9</f>
        <v>8.6618012252134946E-2</v>
      </c>
      <c r="G9" s="729">
        <f ca="1">0.25-D2</f>
        <v>0.16338198774786489</v>
      </c>
      <c r="H9" s="805">
        <f ca="1">G9+$D$2</f>
        <v>0.25</v>
      </c>
      <c r="J9" s="732" t="s">
        <v>669</v>
      </c>
      <c r="K9" s="736">
        <f ca="1">A102</f>
        <v>10472861.08214131</v>
      </c>
      <c r="L9" s="733" t="s">
        <v>670</v>
      </c>
      <c r="M9" s="734">
        <f ca="1">A130</f>
        <v>7804128.8981109513</v>
      </c>
      <c r="N9" s="735" t="s">
        <v>350</v>
      </c>
      <c r="O9" s="736">
        <f ca="1">A139</f>
        <v>18276989.980252258</v>
      </c>
    </row>
    <row r="10" spans="1:64" ht="12.5" thickBot="1">
      <c r="B10" s="719" t="s">
        <v>631</v>
      </c>
      <c r="D10" s="729">
        <v>0.2</v>
      </c>
      <c r="E10" s="737">
        <f ca="1">E9</f>
        <v>0.91338198774786505</v>
      </c>
      <c r="F10" s="731">
        <f ca="1">1-E10</f>
        <v>8.6618012252134946E-2</v>
      </c>
      <c r="G10" s="729">
        <f ca="1">0.375-D2</f>
        <v>0.28838198774786489</v>
      </c>
      <c r="H10" s="805">
        <f t="shared" ref="H10:H11" ca="1" si="0">G10+$D$2</f>
        <v>0.375</v>
      </c>
      <c r="J10" s="738" t="s">
        <v>671</v>
      </c>
      <c r="K10" s="742">
        <f ca="1">A103</f>
        <v>2.6552738826621218</v>
      </c>
      <c r="L10" s="739" t="s">
        <v>672</v>
      </c>
      <c r="M10" s="740">
        <f ca="1">A131</f>
        <v>14.006881496851921</v>
      </c>
      <c r="N10" s="741" t="s">
        <v>351</v>
      </c>
      <c r="O10" s="742">
        <f ca="1">A140</f>
        <v>3.6385275700694244</v>
      </c>
    </row>
    <row r="11" spans="1:64">
      <c r="B11" s="719" t="s">
        <v>632</v>
      </c>
      <c r="D11" s="743" t="s">
        <v>673</v>
      </c>
      <c r="E11" s="744">
        <f ca="1">E10</f>
        <v>0.91338198774786505</v>
      </c>
      <c r="F11" s="745">
        <f ca="1">1-E11</f>
        <v>8.6618012252134946E-2</v>
      </c>
      <c r="G11" s="771">
        <f ca="1">50%-D2</f>
        <v>0.41338198774786489</v>
      </c>
      <c r="H11" s="806">
        <f t="shared" ca="1" si="0"/>
        <v>0.5</v>
      </c>
      <c r="J11" s="712"/>
      <c r="M11" s="792"/>
    </row>
    <row r="12" spans="1:64">
      <c r="I12" s="712"/>
    </row>
    <row r="13" spans="1:64">
      <c r="G13" s="723"/>
      <c r="H13" s="712"/>
      <c r="I13" s="712"/>
    </row>
    <row r="14" spans="1:64">
      <c r="A14" s="746"/>
      <c r="B14" s="701"/>
      <c r="C14" s="701"/>
      <c r="D14" s="701"/>
      <c r="E14" s="701"/>
      <c r="F14" s="701"/>
      <c r="G14" s="701"/>
      <c r="H14" s="701"/>
      <c r="I14" s="701"/>
    </row>
    <row r="15" spans="1:64">
      <c r="A15" s="746"/>
      <c r="B15" s="701"/>
      <c r="C15" s="701"/>
      <c r="D15" s="747">
        <v>411049</v>
      </c>
      <c r="E15" s="747">
        <f>EOMONTH(D15,1)</f>
        <v>411080</v>
      </c>
      <c r="F15" s="747">
        <f t="shared" ref="F15:BL15" si="1">EOMONTH(E15,1)</f>
        <v>411111</v>
      </c>
      <c r="G15" s="747">
        <f>EOMONTH(F15,1)</f>
        <v>411142</v>
      </c>
      <c r="H15" s="747">
        <f t="shared" si="1"/>
        <v>411172</v>
      </c>
      <c r="I15" s="747">
        <f t="shared" si="1"/>
        <v>411203</v>
      </c>
      <c r="J15" s="747">
        <f t="shared" si="1"/>
        <v>411233</v>
      </c>
      <c r="K15" s="747">
        <f t="shared" si="1"/>
        <v>411264</v>
      </c>
      <c r="L15" s="747">
        <f t="shared" si="1"/>
        <v>411295</v>
      </c>
      <c r="M15" s="747">
        <f t="shared" si="1"/>
        <v>411323</v>
      </c>
      <c r="N15" s="747">
        <f t="shared" si="1"/>
        <v>411354</v>
      </c>
      <c r="O15" s="747">
        <f t="shared" si="1"/>
        <v>411384</v>
      </c>
      <c r="P15" s="747">
        <f t="shared" si="1"/>
        <v>411415</v>
      </c>
      <c r="Q15" s="747">
        <f t="shared" si="1"/>
        <v>411445</v>
      </c>
      <c r="R15" s="747">
        <f t="shared" si="1"/>
        <v>411476</v>
      </c>
      <c r="S15" s="747">
        <f t="shared" si="1"/>
        <v>411507</v>
      </c>
      <c r="T15" s="747">
        <f t="shared" si="1"/>
        <v>411537</v>
      </c>
      <c r="U15" s="747">
        <f t="shared" si="1"/>
        <v>411568</v>
      </c>
      <c r="V15" s="747">
        <f t="shared" si="1"/>
        <v>411598</v>
      </c>
      <c r="W15" s="747">
        <f t="shared" si="1"/>
        <v>411629</v>
      </c>
      <c r="X15" s="747">
        <f t="shared" si="1"/>
        <v>411660</v>
      </c>
      <c r="Y15" s="747">
        <f t="shared" si="1"/>
        <v>411688</v>
      </c>
      <c r="Z15" s="747">
        <f t="shared" si="1"/>
        <v>411719</v>
      </c>
      <c r="AA15" s="747">
        <f t="shared" si="1"/>
        <v>411749</v>
      </c>
      <c r="AB15" s="747">
        <f t="shared" si="1"/>
        <v>411780</v>
      </c>
      <c r="AC15" s="747">
        <f t="shared" si="1"/>
        <v>411810</v>
      </c>
      <c r="AD15" s="747">
        <f t="shared" si="1"/>
        <v>411841</v>
      </c>
      <c r="AE15" s="747">
        <f t="shared" si="1"/>
        <v>411872</v>
      </c>
      <c r="AF15" s="747">
        <f t="shared" si="1"/>
        <v>411902</v>
      </c>
      <c r="AG15" s="747">
        <f t="shared" si="1"/>
        <v>411933</v>
      </c>
      <c r="AH15" s="747">
        <f t="shared" si="1"/>
        <v>411963</v>
      </c>
      <c r="AI15" s="747">
        <f t="shared" si="1"/>
        <v>411994</v>
      </c>
      <c r="AJ15" s="747">
        <f t="shared" si="1"/>
        <v>412025</v>
      </c>
      <c r="AK15" s="747">
        <f t="shared" si="1"/>
        <v>412054</v>
      </c>
      <c r="AL15" s="747">
        <f t="shared" si="1"/>
        <v>412085</v>
      </c>
      <c r="AM15" s="747">
        <f t="shared" si="1"/>
        <v>412115</v>
      </c>
      <c r="AN15" s="747">
        <f t="shared" si="1"/>
        <v>412146</v>
      </c>
      <c r="AO15" s="747">
        <f t="shared" si="1"/>
        <v>412176</v>
      </c>
      <c r="AP15" s="747">
        <f t="shared" si="1"/>
        <v>412207</v>
      </c>
      <c r="AQ15" s="747">
        <f t="shared" si="1"/>
        <v>412238</v>
      </c>
      <c r="AR15" s="747">
        <f t="shared" si="1"/>
        <v>412268</v>
      </c>
      <c r="AS15" s="747">
        <f t="shared" si="1"/>
        <v>412299</v>
      </c>
      <c r="AT15" s="747">
        <f t="shared" si="1"/>
        <v>412329</v>
      </c>
      <c r="AU15" s="747">
        <f t="shared" si="1"/>
        <v>412360</v>
      </c>
      <c r="AV15" s="747">
        <f t="shared" si="1"/>
        <v>412391</v>
      </c>
      <c r="AW15" s="747">
        <f t="shared" si="1"/>
        <v>412419</v>
      </c>
      <c r="AX15" s="747">
        <f t="shared" si="1"/>
        <v>412450</v>
      </c>
      <c r="AY15" s="747">
        <f t="shared" si="1"/>
        <v>412480</v>
      </c>
      <c r="AZ15" s="747">
        <f t="shared" si="1"/>
        <v>412511</v>
      </c>
      <c r="BA15" s="747">
        <f t="shared" si="1"/>
        <v>412541</v>
      </c>
      <c r="BB15" s="747">
        <f t="shared" si="1"/>
        <v>412572</v>
      </c>
      <c r="BC15" s="747">
        <f t="shared" si="1"/>
        <v>412603</v>
      </c>
      <c r="BD15" s="747">
        <f t="shared" si="1"/>
        <v>412633</v>
      </c>
      <c r="BE15" s="747">
        <f t="shared" si="1"/>
        <v>412664</v>
      </c>
      <c r="BF15" s="747">
        <f t="shared" si="1"/>
        <v>412694</v>
      </c>
      <c r="BG15" s="747">
        <f t="shared" si="1"/>
        <v>412725</v>
      </c>
      <c r="BH15" s="747">
        <f t="shared" si="1"/>
        <v>412756</v>
      </c>
      <c r="BI15" s="747">
        <f t="shared" si="1"/>
        <v>412784</v>
      </c>
      <c r="BJ15" s="747">
        <f t="shared" si="1"/>
        <v>412815</v>
      </c>
      <c r="BK15" s="747">
        <f t="shared" si="1"/>
        <v>412845</v>
      </c>
      <c r="BL15" s="747">
        <f t="shared" si="1"/>
        <v>412876</v>
      </c>
    </row>
    <row r="16" spans="1:64">
      <c r="A16" s="701"/>
      <c r="B16" s="701"/>
      <c r="C16" s="748" t="s">
        <v>386</v>
      </c>
      <c r="D16" s="749" t="s">
        <v>674</v>
      </c>
      <c r="E16" s="750">
        <v>1</v>
      </c>
      <c r="F16" s="750">
        <v>2</v>
      </c>
      <c r="G16" s="750">
        <v>3</v>
      </c>
      <c r="H16" s="750">
        <v>4</v>
      </c>
      <c r="I16" s="750">
        <v>5</v>
      </c>
      <c r="J16" s="750">
        <v>6</v>
      </c>
      <c r="K16" s="750">
        <v>7</v>
      </c>
      <c r="L16" s="750">
        <v>8</v>
      </c>
      <c r="M16" s="750">
        <v>9</v>
      </c>
      <c r="N16" s="750">
        <v>10</v>
      </c>
      <c r="O16" s="750">
        <v>11</v>
      </c>
      <c r="P16" s="750">
        <v>12</v>
      </c>
      <c r="Q16" s="750">
        <v>13</v>
      </c>
      <c r="R16" s="750">
        <v>14</v>
      </c>
      <c r="S16" s="750">
        <v>15</v>
      </c>
      <c r="T16" s="750">
        <v>16</v>
      </c>
      <c r="U16" s="750">
        <v>17</v>
      </c>
      <c r="V16" s="750">
        <v>18</v>
      </c>
      <c r="W16" s="750">
        <v>19</v>
      </c>
      <c r="X16" s="750">
        <v>20</v>
      </c>
      <c r="Y16" s="750">
        <v>21</v>
      </c>
      <c r="Z16" s="750">
        <v>22</v>
      </c>
      <c r="AA16" s="750">
        <v>23</v>
      </c>
      <c r="AB16" s="750">
        <v>24</v>
      </c>
      <c r="AC16" s="750">
        <v>25</v>
      </c>
      <c r="AD16" s="750">
        <v>26</v>
      </c>
      <c r="AE16" s="750">
        <v>27</v>
      </c>
      <c r="AF16" s="750">
        <v>28</v>
      </c>
      <c r="AG16" s="750">
        <v>29</v>
      </c>
      <c r="AH16" s="750">
        <v>30</v>
      </c>
      <c r="AI16" s="750">
        <v>31</v>
      </c>
      <c r="AJ16" s="750">
        <v>32</v>
      </c>
      <c r="AK16" s="750">
        <v>33</v>
      </c>
      <c r="AL16" s="750">
        <v>34</v>
      </c>
      <c r="AM16" s="750">
        <v>35</v>
      </c>
      <c r="AN16" s="750">
        <v>36</v>
      </c>
      <c r="AO16" s="750">
        <v>37</v>
      </c>
      <c r="AP16" s="750">
        <v>38</v>
      </c>
      <c r="AQ16" s="750">
        <v>39</v>
      </c>
      <c r="AR16" s="750">
        <v>40</v>
      </c>
      <c r="AS16" s="750">
        <v>41</v>
      </c>
      <c r="AT16" s="750">
        <v>42</v>
      </c>
      <c r="AU16" s="750">
        <v>43</v>
      </c>
      <c r="AV16" s="750">
        <v>44</v>
      </c>
      <c r="AW16" s="750">
        <v>45</v>
      </c>
      <c r="AX16" s="750">
        <v>46</v>
      </c>
      <c r="AY16" s="750">
        <v>47</v>
      </c>
      <c r="AZ16" s="750">
        <v>48</v>
      </c>
      <c r="BA16" s="750">
        <v>49</v>
      </c>
      <c r="BB16" s="750">
        <v>50</v>
      </c>
      <c r="BC16" s="750">
        <v>51</v>
      </c>
      <c r="BD16" s="750">
        <v>52</v>
      </c>
      <c r="BE16" s="750">
        <v>53</v>
      </c>
      <c r="BF16" s="750">
        <v>54</v>
      </c>
      <c r="BG16" s="750">
        <v>55</v>
      </c>
      <c r="BH16" s="750">
        <v>56</v>
      </c>
      <c r="BI16" s="750">
        <v>57</v>
      </c>
      <c r="BJ16" s="750">
        <v>58</v>
      </c>
      <c r="BK16" s="750">
        <v>59</v>
      </c>
      <c r="BL16" s="750">
        <v>60</v>
      </c>
    </row>
    <row r="17" spans="1:64">
      <c r="A17" s="701"/>
      <c r="B17" s="701"/>
      <c r="C17" s="701"/>
      <c r="D17" s="748"/>
      <c r="E17" s="751"/>
      <c r="F17" s="751"/>
      <c r="G17" s="751"/>
      <c r="H17" s="751"/>
      <c r="I17" s="751"/>
      <c r="J17" s="751"/>
      <c r="K17" s="751"/>
      <c r="L17" s="751"/>
      <c r="M17" s="751"/>
      <c r="N17" s="751"/>
      <c r="O17" s="751"/>
      <c r="P17" s="751"/>
      <c r="Q17" s="751"/>
      <c r="R17" s="751"/>
      <c r="S17" s="751"/>
      <c r="T17" s="751"/>
      <c r="U17" s="751"/>
      <c r="V17" s="751"/>
      <c r="W17" s="751"/>
      <c r="X17" s="751"/>
      <c r="Y17" s="751"/>
      <c r="Z17" s="751"/>
      <c r="AA17" s="751"/>
      <c r="AB17" s="751"/>
      <c r="AC17" s="751"/>
      <c r="AD17" s="751"/>
      <c r="AE17" s="751"/>
      <c r="AF17" s="751"/>
      <c r="AG17" s="751"/>
      <c r="AH17" s="751"/>
      <c r="AI17" s="751"/>
      <c r="AJ17" s="751"/>
      <c r="AK17" s="751"/>
      <c r="AL17" s="751"/>
      <c r="AM17" s="751"/>
      <c r="AN17" s="751"/>
      <c r="AO17" s="751"/>
      <c r="AP17" s="751"/>
      <c r="AQ17" s="751"/>
      <c r="AR17" s="751"/>
      <c r="AS17" s="751"/>
      <c r="AT17" s="751"/>
      <c r="AU17" s="751"/>
      <c r="AV17" s="751"/>
      <c r="AW17" s="751"/>
      <c r="AX17" s="751"/>
      <c r="AY17" s="751"/>
      <c r="AZ17" s="751"/>
      <c r="BA17" s="751"/>
      <c r="BB17" s="751"/>
      <c r="BC17" s="751"/>
      <c r="BD17" s="751"/>
      <c r="BE17" s="751"/>
      <c r="BF17" s="751"/>
      <c r="BG17" s="751"/>
      <c r="BH17" s="751"/>
      <c r="BI17" s="751"/>
      <c r="BJ17" s="751"/>
      <c r="BK17" s="751"/>
      <c r="BL17" s="751"/>
    </row>
    <row r="18" spans="1:64">
      <c r="A18" s="701" t="s">
        <v>680</v>
      </c>
      <c r="B18" s="701"/>
      <c r="C18" s="699">
        <f ca="1">SUM(D18:BL18)</f>
        <v>25273559.381281402</v>
      </c>
      <c r="D18" s="746">
        <f>'Monthly PF Cash Flow'!G177</f>
        <v>0</v>
      </c>
      <c r="E18" s="746">
        <f ca="1">'Monthly PF Cash Flow'!H177</f>
        <v>0</v>
      </c>
      <c r="F18" s="746">
        <f ca="1">'Monthly PF Cash Flow'!I177</f>
        <v>0</v>
      </c>
      <c r="G18" s="746">
        <f ca="1">'Monthly PF Cash Flow'!J177</f>
        <v>0</v>
      </c>
      <c r="H18" s="746">
        <f ca="1">'Monthly PF Cash Flow'!K177</f>
        <v>0</v>
      </c>
      <c r="I18" s="746">
        <f ca="1">'Monthly PF Cash Flow'!L177</f>
        <v>0</v>
      </c>
      <c r="J18" s="746">
        <f ca="1">'Monthly PF Cash Flow'!M177</f>
        <v>0</v>
      </c>
      <c r="K18" s="746">
        <f ca="1">'Monthly PF Cash Flow'!N177</f>
        <v>0</v>
      </c>
      <c r="L18" s="746">
        <f ca="1">'Monthly PF Cash Flow'!O177</f>
        <v>0</v>
      </c>
      <c r="M18" s="746">
        <f ca="1">'Monthly PF Cash Flow'!P177</f>
        <v>0</v>
      </c>
      <c r="N18" s="746">
        <f ca="1">'Monthly PF Cash Flow'!Q177</f>
        <v>0</v>
      </c>
      <c r="O18" s="746">
        <f ca="1">'Monthly PF Cash Flow'!R177</f>
        <v>0</v>
      </c>
      <c r="P18" s="746">
        <f ca="1">'Monthly PF Cash Flow'!S177</f>
        <v>0</v>
      </c>
      <c r="Q18" s="746">
        <f ca="1">'Monthly PF Cash Flow'!T177</f>
        <v>0</v>
      </c>
      <c r="R18" s="746">
        <f ca="1">'Monthly PF Cash Flow'!U177</f>
        <v>132618.31297400931</v>
      </c>
      <c r="S18" s="746">
        <f ca="1">'Monthly PF Cash Flow'!V177</f>
        <v>0</v>
      </c>
      <c r="T18" s="746">
        <f ca="1">'Monthly PF Cash Flow'!W177</f>
        <v>0</v>
      </c>
      <c r="U18" s="746">
        <f ca="1">'Monthly PF Cash Flow'!X177</f>
        <v>0</v>
      </c>
      <c r="V18" s="746">
        <f ca="1">'Monthly PF Cash Flow'!Y177</f>
        <v>0</v>
      </c>
      <c r="W18" s="746">
        <f ca="1">'Monthly PF Cash Flow'!Z177</f>
        <v>0</v>
      </c>
      <c r="X18" s="746">
        <f ca="1">'Monthly PF Cash Flow'!AA177</f>
        <v>0</v>
      </c>
      <c r="Y18" s="746">
        <f ca="1">'Monthly PF Cash Flow'!AB177</f>
        <v>0</v>
      </c>
      <c r="Z18" s="746">
        <f ca="1">'Monthly PF Cash Flow'!AC177</f>
        <v>0</v>
      </c>
      <c r="AA18" s="746">
        <f ca="1">'Monthly PF Cash Flow'!AD177</f>
        <v>0</v>
      </c>
      <c r="AB18" s="746">
        <f ca="1">'Monthly PF Cash Flow'!AE177</f>
        <v>0</v>
      </c>
      <c r="AC18" s="746">
        <f ca="1">'Monthly PF Cash Flow'!AF177</f>
        <v>7206.0087427061371</v>
      </c>
      <c r="AD18" s="746">
        <f ca="1">'Monthly PF Cash Flow'!AG177</f>
        <v>173151.06485049459</v>
      </c>
      <c r="AE18" s="746">
        <f ca="1">'Monthly PF Cash Flow'!AH177</f>
        <v>21055.946865947888</v>
      </c>
      <c r="AF18" s="746">
        <f ca="1">'Monthly PF Cash Flow'!AI177</f>
        <v>28724.387467987923</v>
      </c>
      <c r="AG18" s="746">
        <f ca="1">'Monthly PF Cash Flow'!AJ177</f>
        <v>36104.966417679243</v>
      </c>
      <c r="AH18" s="746">
        <f ca="1">'Monthly PF Cash Flow'!AK177</f>
        <v>54059.507925376165</v>
      </c>
      <c r="AI18" s="746">
        <f ca="1">'Monthly PF Cash Flow'!AL177</f>
        <v>62943.060065788086</v>
      </c>
      <c r="AJ18" s="746">
        <f ca="1">'Monthly PF Cash Flow'!AM177</f>
        <v>68900.47988270261</v>
      </c>
      <c r="AK18" s="746">
        <f ca="1">'Monthly PF Cash Flow'!AN177</f>
        <v>50097.05957852221</v>
      </c>
      <c r="AL18" s="746">
        <f ca="1">'Monthly PF Cash Flow'!AO177</f>
        <v>50673.06200911761</v>
      </c>
      <c r="AM18" s="746">
        <f ca="1">'Monthly PF Cash Flow'!AP177</f>
        <v>50445.81195463457</v>
      </c>
      <c r="AN18" s="746">
        <f ca="1">'Monthly PF Cash Flow'!AQ177</f>
        <v>58259.71555476317</v>
      </c>
      <c r="AO18" s="746">
        <f ca="1">'Monthly PF Cash Flow'!AR177</f>
        <v>57992.480314047338</v>
      </c>
      <c r="AP18" s="746">
        <f ca="1">'Monthly PF Cash Flow'!AS177</f>
        <v>60492.991125167217</v>
      </c>
      <c r="AQ18" s="746">
        <f ca="1">'Monthly PF Cash Flow'!AT177</f>
        <v>63197.325187124254</v>
      </c>
      <c r="AR18" s="746">
        <f ca="1">'Monthly PF Cash Flow'!AU177</f>
        <v>66212.546362612702</v>
      </c>
      <c r="AS18" s="746">
        <f ca="1">'Monthly PF Cash Flow'!AV177</f>
        <v>69882.109380630471</v>
      </c>
      <c r="AT18" s="746">
        <f ca="1">'Monthly PF Cash Flow'!AW177</f>
        <v>72211.426165391909</v>
      </c>
      <c r="AU18" s="746">
        <f ca="1">'Monthly PF Cash Flow'!AX177</f>
        <v>73919.889087109943</v>
      </c>
      <c r="AV18" s="746">
        <f ca="1">'Monthly PF Cash Flow'!AY177</f>
        <v>75481.35254099837</v>
      </c>
      <c r="AW18" s="746">
        <f ca="1">'Monthly PF Cash Flow'!AZ177</f>
        <v>74781.561758040159</v>
      </c>
      <c r="AX18" s="746">
        <f ca="1">'Monthly PF Cash Flow'!BA177</f>
        <v>74535.894558091793</v>
      </c>
      <c r="AY18" s="746">
        <f ca="1">'Monthly PF Cash Flow'!BB177</f>
        <v>73577.268404592178</v>
      </c>
      <c r="AZ18" s="746">
        <f ca="1">'Monthly PF Cash Flow'!BC177</f>
        <v>23717035.152093817</v>
      </c>
      <c r="BA18" s="746">
        <f ca="1">'Monthly PF Cash Flow'!BD177</f>
        <v>0</v>
      </c>
      <c r="BB18" s="746">
        <f ca="1">'Monthly PF Cash Flow'!BE177</f>
        <v>0</v>
      </c>
      <c r="BC18" s="746">
        <f ca="1">'Monthly PF Cash Flow'!BF177</f>
        <v>0</v>
      </c>
      <c r="BD18" s="746">
        <f ca="1">'Monthly PF Cash Flow'!BG177</f>
        <v>0</v>
      </c>
      <c r="BE18" s="746">
        <f ca="1">'Monthly PF Cash Flow'!BH177</f>
        <v>0</v>
      </c>
      <c r="BF18" s="746">
        <f ca="1">'Monthly PF Cash Flow'!BI177</f>
        <v>0</v>
      </c>
      <c r="BG18" s="746">
        <f ca="1">'Monthly PF Cash Flow'!BJ177</f>
        <v>0</v>
      </c>
      <c r="BH18" s="746">
        <f ca="1">'Monthly PF Cash Flow'!BK177</f>
        <v>0</v>
      </c>
      <c r="BI18" s="746">
        <f ca="1">'Monthly PF Cash Flow'!BL177</f>
        <v>0</v>
      </c>
      <c r="BJ18" s="746">
        <f ca="1">'Monthly PF Cash Flow'!BM177</f>
        <v>0</v>
      </c>
      <c r="BK18" s="746">
        <f ca="1">'Monthly PF Cash Flow'!BN177</f>
        <v>0</v>
      </c>
      <c r="BL18" s="746">
        <f ca="1">'Monthly PF Cash Flow'!BO177</f>
        <v>0</v>
      </c>
    </row>
    <row r="19" spans="1:64">
      <c r="A19" s="701" t="s">
        <v>645</v>
      </c>
      <c r="B19" s="701"/>
      <c r="C19" s="699">
        <f ca="1">SUM(D19:BL19)</f>
        <v>-6926965.7014692798</v>
      </c>
      <c r="D19" s="746">
        <f ca="1">'Monthly PF Cash Flow'!G176</f>
        <v>-6170830.5186084146</v>
      </c>
      <c r="E19" s="746">
        <f ca="1">'Monthly PF Cash Flow'!H176</f>
        <v>-756135.18286102917</v>
      </c>
      <c r="F19" s="746">
        <f ca="1">'Monthly PF Cash Flow'!I176</f>
        <v>1.862645149230957E-8</v>
      </c>
      <c r="G19" s="746">
        <f ca="1">'Monthly PF Cash Flow'!J176</f>
        <v>1.862645149230957E-8</v>
      </c>
      <c r="H19" s="746">
        <f ca="1">'Monthly PF Cash Flow'!K176</f>
        <v>1.862645149230957E-8</v>
      </c>
      <c r="I19" s="746">
        <f ca="1">'Monthly PF Cash Flow'!L176</f>
        <v>1.862645149230957E-8</v>
      </c>
      <c r="J19" s="746">
        <f ca="1">'Monthly PF Cash Flow'!M176</f>
        <v>1.862645149230957E-8</v>
      </c>
      <c r="K19" s="746">
        <f ca="1">'Monthly PF Cash Flow'!N176</f>
        <v>1.862645149230957E-8</v>
      </c>
      <c r="L19" s="746">
        <f ca="1">'Monthly PF Cash Flow'!O176</f>
        <v>1.862645149230957E-8</v>
      </c>
      <c r="M19" s="746">
        <f>'Monthly PF Cash Flow'!P176</f>
        <v>0</v>
      </c>
      <c r="N19" s="746">
        <f>'Monthly PF Cash Flow'!Q176</f>
        <v>0</v>
      </c>
      <c r="O19" s="746">
        <f>'Monthly PF Cash Flow'!R176</f>
        <v>0</v>
      </c>
      <c r="P19" s="746">
        <f>'Monthly PF Cash Flow'!S176</f>
        <v>0</v>
      </c>
      <c r="Q19" s="746">
        <f>'Monthly PF Cash Flow'!T176</f>
        <v>0</v>
      </c>
      <c r="R19" s="746">
        <f>'Monthly PF Cash Flow'!U176</f>
        <v>0</v>
      </c>
      <c r="S19" s="746">
        <f>'Monthly PF Cash Flow'!V176</f>
        <v>0</v>
      </c>
      <c r="T19" s="746">
        <f>'Monthly PF Cash Flow'!W176</f>
        <v>0</v>
      </c>
      <c r="U19" s="746">
        <f>'Monthly PF Cash Flow'!X176</f>
        <v>0</v>
      </c>
      <c r="V19" s="746">
        <f>'Monthly PF Cash Flow'!Y176</f>
        <v>0</v>
      </c>
      <c r="W19" s="746">
        <f>'Monthly PF Cash Flow'!Z176</f>
        <v>0</v>
      </c>
      <c r="X19" s="746">
        <f>'Monthly PF Cash Flow'!AA176</f>
        <v>0</v>
      </c>
      <c r="Y19" s="746">
        <f>'Monthly PF Cash Flow'!AB176</f>
        <v>0</v>
      </c>
      <c r="Z19" s="746">
        <f>'Monthly PF Cash Flow'!AC176</f>
        <v>0</v>
      </c>
      <c r="AA19" s="746">
        <f>'Monthly PF Cash Flow'!AD176</f>
        <v>0</v>
      </c>
      <c r="AB19" s="746">
        <f>'Monthly PF Cash Flow'!AE176</f>
        <v>0</v>
      </c>
      <c r="AC19" s="746">
        <f>'Monthly PF Cash Flow'!AF176</f>
        <v>0</v>
      </c>
      <c r="AD19" s="746">
        <f>'Monthly PF Cash Flow'!AG176</f>
        <v>0</v>
      </c>
      <c r="AE19" s="746">
        <f>'Monthly PF Cash Flow'!AH176</f>
        <v>0</v>
      </c>
      <c r="AF19" s="746">
        <f>'Monthly PF Cash Flow'!AI176</f>
        <v>0</v>
      </c>
      <c r="AG19" s="746">
        <f>'Monthly PF Cash Flow'!AJ176</f>
        <v>0</v>
      </c>
      <c r="AH19" s="746">
        <f>'Monthly PF Cash Flow'!AK176</f>
        <v>0</v>
      </c>
      <c r="AI19" s="746">
        <f>'Monthly PF Cash Flow'!AL176</f>
        <v>0</v>
      </c>
      <c r="AJ19" s="746">
        <f>'Monthly PF Cash Flow'!AM176</f>
        <v>0</v>
      </c>
      <c r="AK19" s="746">
        <f>'Monthly PF Cash Flow'!AN176</f>
        <v>0</v>
      </c>
      <c r="AL19" s="746">
        <f>'Monthly PF Cash Flow'!AO176</f>
        <v>0</v>
      </c>
      <c r="AM19" s="746">
        <f>'Monthly PF Cash Flow'!AP176</f>
        <v>0</v>
      </c>
      <c r="AN19" s="746">
        <f>'Monthly PF Cash Flow'!AQ176</f>
        <v>0</v>
      </c>
      <c r="AO19" s="746">
        <f>'Monthly PF Cash Flow'!AR176</f>
        <v>0</v>
      </c>
      <c r="AP19" s="746">
        <f>'Monthly PF Cash Flow'!AS176</f>
        <v>0</v>
      </c>
      <c r="AQ19" s="746">
        <f>'Monthly PF Cash Flow'!AT176</f>
        <v>0</v>
      </c>
      <c r="AR19" s="746">
        <f>'Monthly PF Cash Flow'!AU176</f>
        <v>0</v>
      </c>
      <c r="AS19" s="746">
        <f>'Monthly PF Cash Flow'!AV176</f>
        <v>0</v>
      </c>
      <c r="AT19" s="746">
        <f>'Monthly PF Cash Flow'!AW176</f>
        <v>0</v>
      </c>
      <c r="AU19" s="746">
        <f>'Monthly PF Cash Flow'!AX176</f>
        <v>0</v>
      </c>
      <c r="AV19" s="746">
        <f>'Monthly PF Cash Flow'!AY176</f>
        <v>0</v>
      </c>
      <c r="AW19" s="746">
        <f>'Monthly PF Cash Flow'!AZ176</f>
        <v>0</v>
      </c>
      <c r="AX19" s="746">
        <f>'Monthly PF Cash Flow'!BA176</f>
        <v>0</v>
      </c>
      <c r="AY19" s="746">
        <f>'Monthly PF Cash Flow'!BB176</f>
        <v>0</v>
      </c>
      <c r="AZ19" s="746">
        <f>'Monthly PF Cash Flow'!BC176</f>
        <v>0</v>
      </c>
      <c r="BA19" s="746">
        <f>'Monthly PF Cash Flow'!BD176</f>
        <v>0</v>
      </c>
      <c r="BB19" s="746">
        <f>'Monthly PF Cash Flow'!BE176</f>
        <v>0</v>
      </c>
      <c r="BC19" s="746">
        <f>'Monthly PF Cash Flow'!BF176</f>
        <v>0</v>
      </c>
      <c r="BD19" s="746">
        <f>'Monthly PF Cash Flow'!BG176</f>
        <v>0</v>
      </c>
      <c r="BE19" s="746">
        <f>'Monthly PF Cash Flow'!BH176</f>
        <v>0</v>
      </c>
      <c r="BF19" s="746">
        <f>'Monthly PF Cash Flow'!BI176</f>
        <v>0</v>
      </c>
      <c r="BG19" s="746">
        <f>'Monthly PF Cash Flow'!BJ176</f>
        <v>0</v>
      </c>
      <c r="BH19" s="746">
        <f>'Monthly PF Cash Flow'!BK176</f>
        <v>0</v>
      </c>
      <c r="BI19" s="746">
        <f>'Monthly PF Cash Flow'!BL176</f>
        <v>0</v>
      </c>
      <c r="BJ19" s="746">
        <f>'Monthly PF Cash Flow'!BM176</f>
        <v>0</v>
      </c>
      <c r="BK19" s="746">
        <f>'Monthly PF Cash Flow'!BN176</f>
        <v>0</v>
      </c>
      <c r="BL19" s="746">
        <f>'Monthly PF Cash Flow'!BO176</f>
        <v>0</v>
      </c>
    </row>
    <row r="20" spans="1:64">
      <c r="A20" s="701" t="s">
        <v>354</v>
      </c>
      <c r="B20" s="701"/>
      <c r="C20" s="705">
        <f ca="1">C18+C19</f>
        <v>18346593.679812122</v>
      </c>
      <c r="D20" s="746"/>
      <c r="E20" s="746"/>
      <c r="F20" s="746"/>
      <c r="G20" s="746"/>
      <c r="H20" s="746"/>
      <c r="I20" s="746"/>
      <c r="J20" s="746"/>
      <c r="K20" s="746"/>
      <c r="L20" s="746"/>
      <c r="M20" s="746"/>
      <c r="N20" s="746"/>
      <c r="O20" s="746"/>
      <c r="P20" s="746"/>
      <c r="Q20" s="746"/>
      <c r="R20" s="746"/>
      <c r="S20" s="746"/>
      <c r="T20" s="746"/>
      <c r="U20" s="746"/>
      <c r="V20" s="746"/>
      <c r="W20" s="746"/>
      <c r="X20" s="746"/>
      <c r="Y20" s="746"/>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c r="BC20" s="746"/>
      <c r="BD20" s="746"/>
      <c r="BE20" s="746"/>
      <c r="BF20" s="746"/>
      <c r="BG20" s="746"/>
      <c r="BH20" s="746"/>
      <c r="BI20" s="746"/>
      <c r="BJ20" s="746"/>
      <c r="BK20" s="746"/>
      <c r="BL20" s="746"/>
    </row>
    <row r="21" spans="1:64">
      <c r="A21" s="701"/>
      <c r="B21" s="701"/>
      <c r="C21" s="699"/>
      <c r="D21" s="746"/>
      <c r="E21" s="746"/>
      <c r="F21" s="746"/>
      <c r="G21" s="746"/>
      <c r="H21" s="746"/>
      <c r="I21" s="746"/>
      <c r="J21" s="746"/>
      <c r="K21" s="746"/>
      <c r="L21" s="746"/>
      <c r="M21" s="746"/>
      <c r="N21" s="746"/>
      <c r="O21" s="746"/>
      <c r="P21" s="746"/>
      <c r="Q21" s="746"/>
      <c r="R21" s="746"/>
      <c r="S21" s="746"/>
      <c r="T21" s="746"/>
      <c r="U21" s="746"/>
      <c r="V21" s="746"/>
      <c r="W21" s="746"/>
      <c r="X21" s="746"/>
      <c r="Y21" s="746"/>
      <c r="Z21" s="746"/>
      <c r="AA21" s="746"/>
      <c r="AB21" s="746"/>
      <c r="AC21" s="746"/>
      <c r="AD21" s="746"/>
      <c r="AE21" s="746"/>
      <c r="AF21" s="746"/>
      <c r="AG21" s="746"/>
      <c r="AH21" s="746"/>
      <c r="AI21" s="746"/>
      <c r="AJ21" s="746"/>
      <c r="AK21" s="746"/>
      <c r="AL21" s="746"/>
      <c r="AM21" s="746"/>
      <c r="AN21" s="746"/>
      <c r="AO21" s="746"/>
      <c r="AP21" s="746"/>
      <c r="AQ21" s="746"/>
      <c r="AR21" s="746"/>
      <c r="AS21" s="746"/>
      <c r="AT21" s="746"/>
      <c r="AU21" s="746"/>
      <c r="AV21" s="746"/>
      <c r="AW21" s="746"/>
      <c r="AX21" s="746"/>
      <c r="AY21" s="746"/>
      <c r="AZ21" s="746"/>
      <c r="BA21" s="746"/>
      <c r="BB21" s="746"/>
      <c r="BC21" s="746"/>
      <c r="BD21" s="746"/>
      <c r="BE21" s="746"/>
      <c r="BF21" s="746"/>
      <c r="BG21" s="746"/>
      <c r="BH21" s="746"/>
      <c r="BI21" s="746"/>
      <c r="BJ21" s="746"/>
      <c r="BK21" s="746"/>
      <c r="BL21" s="746"/>
    </row>
    <row r="22" spans="1:64">
      <c r="A22" s="701"/>
      <c r="B22" s="701"/>
      <c r="C22" s="699"/>
      <c r="D22" s="748"/>
      <c r="E22" s="751"/>
      <c r="F22" s="751"/>
      <c r="G22" s="751"/>
      <c r="H22" s="751"/>
      <c r="I22" s="751"/>
      <c r="J22" s="751"/>
      <c r="K22" s="751"/>
      <c r="L22" s="751"/>
      <c r="M22" s="751"/>
      <c r="N22" s="751"/>
      <c r="O22" s="751"/>
      <c r="P22" s="751"/>
      <c r="Q22" s="751"/>
      <c r="R22" s="751"/>
      <c r="S22" s="751"/>
      <c r="T22" s="751"/>
      <c r="U22" s="751"/>
      <c r="V22" s="751"/>
      <c r="W22" s="751"/>
      <c r="X22" s="751"/>
      <c r="Y22" s="751"/>
      <c r="Z22" s="751"/>
      <c r="AA22" s="751"/>
      <c r="AB22" s="751"/>
      <c r="AC22" s="751"/>
      <c r="AD22" s="751"/>
      <c r="AE22" s="751"/>
      <c r="AF22" s="751"/>
      <c r="AG22" s="751"/>
      <c r="AH22" s="751"/>
      <c r="AI22" s="751"/>
      <c r="AJ22" s="751"/>
      <c r="AK22" s="751"/>
      <c r="AL22" s="751"/>
      <c r="AM22" s="751"/>
      <c r="AN22" s="751"/>
      <c r="AO22" s="751"/>
      <c r="AP22" s="751"/>
      <c r="AQ22" s="751"/>
      <c r="AR22" s="751"/>
      <c r="AS22" s="751"/>
      <c r="AT22" s="751"/>
      <c r="AU22" s="751"/>
      <c r="AV22" s="751"/>
      <c r="AW22" s="751"/>
      <c r="AX22" s="751"/>
      <c r="AY22" s="751"/>
      <c r="AZ22" s="751"/>
      <c r="BA22" s="751"/>
      <c r="BB22" s="751"/>
      <c r="BC22" s="751"/>
      <c r="BD22" s="751"/>
      <c r="BE22" s="751"/>
      <c r="BF22" s="751"/>
      <c r="BG22" s="751"/>
      <c r="BH22" s="751"/>
      <c r="BI22" s="751"/>
      <c r="BJ22" s="751"/>
      <c r="BK22" s="751"/>
      <c r="BL22" s="751"/>
    </row>
    <row r="23" spans="1:64">
      <c r="A23" s="700" t="s">
        <v>680</v>
      </c>
      <c r="B23" s="710"/>
      <c r="C23" s="699">
        <f ca="1">SUM(D23:BL23)</f>
        <v>25273559.381281402</v>
      </c>
      <c r="D23" s="711">
        <f>'Monthly PF Cash Flow'!G177</f>
        <v>0</v>
      </c>
      <c r="E23" s="711">
        <f ca="1">'Monthly PF Cash Flow'!H177</f>
        <v>0</v>
      </c>
      <c r="F23" s="711">
        <f ca="1">'Monthly PF Cash Flow'!I177</f>
        <v>0</v>
      </c>
      <c r="G23" s="711">
        <f ca="1">'Monthly PF Cash Flow'!J177</f>
        <v>0</v>
      </c>
      <c r="H23" s="711">
        <f ca="1">'Monthly PF Cash Flow'!K177</f>
        <v>0</v>
      </c>
      <c r="I23" s="711">
        <f ca="1">'Monthly PF Cash Flow'!L177</f>
        <v>0</v>
      </c>
      <c r="J23" s="711">
        <f ca="1">'Monthly PF Cash Flow'!M177</f>
        <v>0</v>
      </c>
      <c r="K23" s="711">
        <f ca="1">'Monthly PF Cash Flow'!N177</f>
        <v>0</v>
      </c>
      <c r="L23" s="711">
        <f ca="1">'Monthly PF Cash Flow'!O177</f>
        <v>0</v>
      </c>
      <c r="M23" s="711">
        <f ca="1">'Monthly PF Cash Flow'!P177</f>
        <v>0</v>
      </c>
      <c r="N23" s="711">
        <f ca="1">'Monthly PF Cash Flow'!Q177</f>
        <v>0</v>
      </c>
      <c r="O23" s="711">
        <f ca="1">'Monthly PF Cash Flow'!R177</f>
        <v>0</v>
      </c>
      <c r="P23" s="711">
        <f ca="1">'Monthly PF Cash Flow'!S177</f>
        <v>0</v>
      </c>
      <c r="Q23" s="711">
        <f ca="1">'Monthly PF Cash Flow'!T177</f>
        <v>0</v>
      </c>
      <c r="R23" s="711">
        <f ca="1">'Monthly PF Cash Flow'!U177</f>
        <v>132618.31297400931</v>
      </c>
      <c r="S23" s="711">
        <f ca="1">'Monthly PF Cash Flow'!V177</f>
        <v>0</v>
      </c>
      <c r="T23" s="711">
        <f ca="1">'Monthly PF Cash Flow'!W177</f>
        <v>0</v>
      </c>
      <c r="U23" s="711">
        <f ca="1">'Monthly PF Cash Flow'!X177</f>
        <v>0</v>
      </c>
      <c r="V23" s="711">
        <f ca="1">'Monthly PF Cash Flow'!Y177</f>
        <v>0</v>
      </c>
      <c r="W23" s="711">
        <f ca="1">'Monthly PF Cash Flow'!Z177</f>
        <v>0</v>
      </c>
      <c r="X23" s="711">
        <f ca="1">'Monthly PF Cash Flow'!AA177</f>
        <v>0</v>
      </c>
      <c r="Y23" s="711">
        <f ca="1">'Monthly PF Cash Flow'!AB177</f>
        <v>0</v>
      </c>
      <c r="Z23" s="711">
        <f ca="1">'Monthly PF Cash Flow'!AC177</f>
        <v>0</v>
      </c>
      <c r="AA23" s="711">
        <f ca="1">'Monthly PF Cash Flow'!AD177</f>
        <v>0</v>
      </c>
      <c r="AB23" s="711">
        <f ca="1">'Monthly PF Cash Flow'!AE177</f>
        <v>0</v>
      </c>
      <c r="AC23" s="711">
        <f ca="1">'Monthly PF Cash Flow'!AF177</f>
        <v>7206.0087427061371</v>
      </c>
      <c r="AD23" s="711">
        <f ca="1">'Monthly PF Cash Flow'!AG177</f>
        <v>173151.06485049459</v>
      </c>
      <c r="AE23" s="711">
        <f ca="1">'Monthly PF Cash Flow'!AH177</f>
        <v>21055.946865947888</v>
      </c>
      <c r="AF23" s="711">
        <f ca="1">'Monthly PF Cash Flow'!AI177</f>
        <v>28724.387467987923</v>
      </c>
      <c r="AG23" s="711">
        <f ca="1">'Monthly PF Cash Flow'!AJ177</f>
        <v>36104.966417679243</v>
      </c>
      <c r="AH23" s="711">
        <f ca="1">'Monthly PF Cash Flow'!AK177</f>
        <v>54059.507925376165</v>
      </c>
      <c r="AI23" s="711">
        <f ca="1">'Monthly PF Cash Flow'!AL177</f>
        <v>62943.060065788086</v>
      </c>
      <c r="AJ23" s="711">
        <f ca="1">'Monthly PF Cash Flow'!AM177</f>
        <v>68900.47988270261</v>
      </c>
      <c r="AK23" s="711">
        <f ca="1">'Monthly PF Cash Flow'!AN177</f>
        <v>50097.05957852221</v>
      </c>
      <c r="AL23" s="711">
        <f ca="1">'Monthly PF Cash Flow'!AO177</f>
        <v>50673.06200911761</v>
      </c>
      <c r="AM23" s="711">
        <f ca="1">'Monthly PF Cash Flow'!AP177</f>
        <v>50445.81195463457</v>
      </c>
      <c r="AN23" s="711">
        <f ca="1">'Monthly PF Cash Flow'!AQ177</f>
        <v>58259.71555476317</v>
      </c>
      <c r="AO23" s="711">
        <f ca="1">'Monthly PF Cash Flow'!AR177</f>
        <v>57992.480314047338</v>
      </c>
      <c r="AP23" s="711">
        <f ca="1">'Monthly PF Cash Flow'!AS177</f>
        <v>60492.991125167217</v>
      </c>
      <c r="AQ23" s="711">
        <f ca="1">'Monthly PF Cash Flow'!AT177</f>
        <v>63197.325187124254</v>
      </c>
      <c r="AR23" s="711">
        <f ca="1">'Monthly PF Cash Flow'!AU177</f>
        <v>66212.546362612702</v>
      </c>
      <c r="AS23" s="711">
        <f ca="1">'Monthly PF Cash Flow'!AV177</f>
        <v>69882.109380630471</v>
      </c>
      <c r="AT23" s="711">
        <f ca="1">'Monthly PF Cash Flow'!AW177</f>
        <v>72211.426165391909</v>
      </c>
      <c r="AU23" s="711">
        <f ca="1">'Monthly PF Cash Flow'!AX177</f>
        <v>73919.889087109943</v>
      </c>
      <c r="AV23" s="711">
        <f ca="1">'Monthly PF Cash Flow'!AY177</f>
        <v>75481.35254099837</v>
      </c>
      <c r="AW23" s="711">
        <f ca="1">'Monthly PF Cash Flow'!AZ177</f>
        <v>74781.561758040159</v>
      </c>
      <c r="AX23" s="711">
        <f ca="1">'Monthly PF Cash Flow'!BA177</f>
        <v>74535.894558091793</v>
      </c>
      <c r="AY23" s="711">
        <f ca="1">'Monthly PF Cash Flow'!BB177</f>
        <v>73577.268404592178</v>
      </c>
      <c r="AZ23" s="711">
        <f ca="1">'Monthly PF Cash Flow'!BC177</f>
        <v>23717035.152093817</v>
      </c>
      <c r="BA23" s="711">
        <f ca="1">'Monthly PF Cash Flow'!BD177</f>
        <v>0</v>
      </c>
      <c r="BB23" s="711">
        <f ca="1">'Monthly PF Cash Flow'!BE177</f>
        <v>0</v>
      </c>
      <c r="BC23" s="711">
        <f ca="1">'Monthly PF Cash Flow'!BF177</f>
        <v>0</v>
      </c>
      <c r="BD23" s="711">
        <f ca="1">'Monthly PF Cash Flow'!BG177</f>
        <v>0</v>
      </c>
      <c r="BE23" s="711">
        <f ca="1">'Monthly PF Cash Flow'!BH177</f>
        <v>0</v>
      </c>
      <c r="BF23" s="711">
        <f ca="1">'Monthly PF Cash Flow'!BI177</f>
        <v>0</v>
      </c>
      <c r="BG23" s="711">
        <f ca="1">'Monthly PF Cash Flow'!BJ177</f>
        <v>0</v>
      </c>
      <c r="BH23" s="711">
        <f ca="1">'Monthly PF Cash Flow'!BK177</f>
        <v>0</v>
      </c>
      <c r="BI23" s="711">
        <f ca="1">'Monthly PF Cash Flow'!BL177</f>
        <v>0</v>
      </c>
      <c r="BJ23" s="711">
        <f ca="1">'Monthly PF Cash Flow'!BM177</f>
        <v>0</v>
      </c>
      <c r="BK23" s="711">
        <f ca="1">'Monthly PF Cash Flow'!BN177</f>
        <v>0</v>
      </c>
      <c r="BL23" s="711">
        <f ca="1">'Monthly PF Cash Flow'!BO177</f>
        <v>0</v>
      </c>
    </row>
    <row r="24" spans="1:64">
      <c r="A24" s="701"/>
      <c r="B24" s="701"/>
      <c r="C24" s="699"/>
      <c r="D24" s="748"/>
      <c r="E24" s="751"/>
      <c r="F24" s="751"/>
      <c r="G24" s="751"/>
      <c r="H24" s="751"/>
      <c r="I24" s="751"/>
      <c r="J24" s="751"/>
      <c r="K24" s="751"/>
      <c r="L24" s="751"/>
      <c r="M24" s="751"/>
      <c r="N24" s="751"/>
      <c r="O24" s="751"/>
      <c r="P24" s="751"/>
      <c r="Q24" s="751"/>
      <c r="R24" s="751"/>
      <c r="S24" s="751"/>
      <c r="T24" s="751"/>
      <c r="U24" s="751"/>
      <c r="V24" s="751"/>
      <c r="W24" s="751"/>
      <c r="X24" s="751"/>
      <c r="Y24" s="751"/>
      <c r="Z24" s="751"/>
      <c r="AA24" s="751"/>
      <c r="AB24" s="751"/>
      <c r="AC24" s="751"/>
      <c r="AD24" s="751"/>
      <c r="AE24" s="751"/>
      <c r="AF24" s="751"/>
      <c r="AG24" s="751"/>
      <c r="AH24" s="751"/>
      <c r="AI24" s="751"/>
      <c r="AJ24" s="751"/>
      <c r="AK24" s="751"/>
      <c r="AL24" s="751"/>
      <c r="AM24" s="751"/>
      <c r="AN24" s="751"/>
      <c r="AO24" s="751"/>
      <c r="AP24" s="751"/>
      <c r="AQ24" s="751"/>
      <c r="AR24" s="751"/>
      <c r="AS24" s="751"/>
      <c r="AT24" s="751"/>
      <c r="AU24" s="751"/>
      <c r="AV24" s="751"/>
      <c r="AW24" s="751"/>
      <c r="AX24" s="751"/>
      <c r="AY24" s="751"/>
      <c r="AZ24" s="751"/>
      <c r="BA24" s="751"/>
      <c r="BB24" s="751"/>
      <c r="BC24" s="751"/>
      <c r="BD24" s="751"/>
      <c r="BE24" s="751"/>
      <c r="BF24" s="751"/>
      <c r="BG24" s="751"/>
      <c r="BH24" s="751"/>
      <c r="BI24" s="751"/>
      <c r="BJ24" s="751"/>
      <c r="BK24" s="751"/>
      <c r="BL24" s="751"/>
    </row>
    <row r="25" spans="1:64">
      <c r="A25" s="700" t="s">
        <v>647</v>
      </c>
      <c r="B25" s="701"/>
      <c r="C25" s="699"/>
      <c r="D25" s="701"/>
      <c r="E25" s="701"/>
      <c r="F25" s="701"/>
      <c r="G25" s="701"/>
      <c r="H25" s="701"/>
      <c r="I25" s="701"/>
    </row>
    <row r="26" spans="1:64">
      <c r="A26" s="701" t="s">
        <v>633</v>
      </c>
      <c r="B26" s="702">
        <f ca="1">D2</f>
        <v>8.6618012252135113E-2</v>
      </c>
      <c r="C26" s="699">
        <f ca="1">SUM(D26:BL26)</f>
        <v>-599999.99999998452</v>
      </c>
      <c r="D26" s="703">
        <f ca="1">D19*$B$26</f>
        <v>-534505.07346667291</v>
      </c>
      <c r="E26" s="703">
        <f t="shared" ref="E26:BL26" ca="1" si="2">E19*$B$26</f>
        <v>-65494.926533327045</v>
      </c>
      <c r="F26" s="703">
        <f t="shared" ca="1" si="2"/>
        <v>1.6133862035746707E-9</v>
      </c>
      <c r="G26" s="703">
        <f t="shared" ca="1" si="2"/>
        <v>1.6133862035746707E-9</v>
      </c>
      <c r="H26" s="703">
        <f t="shared" ca="1" si="2"/>
        <v>1.6133862035746707E-9</v>
      </c>
      <c r="I26" s="703">
        <f t="shared" ca="1" si="2"/>
        <v>1.6133862035746707E-9</v>
      </c>
      <c r="J26" s="703">
        <f t="shared" ca="1" si="2"/>
        <v>1.6133862035746707E-9</v>
      </c>
      <c r="K26" s="703">
        <f t="shared" ca="1" si="2"/>
        <v>1.6133862035746707E-9</v>
      </c>
      <c r="L26" s="703">
        <f t="shared" ca="1" si="2"/>
        <v>1.6133862035746707E-9</v>
      </c>
      <c r="M26" s="703">
        <f t="shared" ca="1" si="2"/>
        <v>0</v>
      </c>
      <c r="N26" s="703">
        <f t="shared" ca="1" si="2"/>
        <v>0</v>
      </c>
      <c r="O26" s="703">
        <f t="shared" ca="1" si="2"/>
        <v>0</v>
      </c>
      <c r="P26" s="703">
        <f t="shared" ca="1" si="2"/>
        <v>0</v>
      </c>
      <c r="Q26" s="703">
        <f t="shared" ca="1" si="2"/>
        <v>0</v>
      </c>
      <c r="R26" s="703">
        <f t="shared" ca="1" si="2"/>
        <v>0</v>
      </c>
      <c r="S26" s="703">
        <f t="shared" ca="1" si="2"/>
        <v>0</v>
      </c>
      <c r="T26" s="703">
        <f t="shared" ca="1" si="2"/>
        <v>0</v>
      </c>
      <c r="U26" s="703">
        <f t="shared" ca="1" si="2"/>
        <v>0</v>
      </c>
      <c r="V26" s="703">
        <f t="shared" ca="1" si="2"/>
        <v>0</v>
      </c>
      <c r="W26" s="703">
        <f t="shared" ca="1" si="2"/>
        <v>0</v>
      </c>
      <c r="X26" s="703">
        <f t="shared" ca="1" si="2"/>
        <v>0</v>
      </c>
      <c r="Y26" s="703">
        <f t="shared" ca="1" si="2"/>
        <v>0</v>
      </c>
      <c r="Z26" s="703">
        <f t="shared" ca="1" si="2"/>
        <v>0</v>
      </c>
      <c r="AA26" s="703">
        <f t="shared" ca="1" si="2"/>
        <v>0</v>
      </c>
      <c r="AB26" s="703">
        <f t="shared" ca="1" si="2"/>
        <v>0</v>
      </c>
      <c r="AC26" s="703">
        <f t="shared" ca="1" si="2"/>
        <v>0</v>
      </c>
      <c r="AD26" s="703">
        <f t="shared" ca="1" si="2"/>
        <v>0</v>
      </c>
      <c r="AE26" s="703">
        <f t="shared" ca="1" si="2"/>
        <v>0</v>
      </c>
      <c r="AF26" s="703">
        <f t="shared" ca="1" si="2"/>
        <v>0</v>
      </c>
      <c r="AG26" s="703">
        <f t="shared" ca="1" si="2"/>
        <v>0</v>
      </c>
      <c r="AH26" s="703">
        <f t="shared" ca="1" si="2"/>
        <v>0</v>
      </c>
      <c r="AI26" s="703">
        <f t="shared" ca="1" si="2"/>
        <v>0</v>
      </c>
      <c r="AJ26" s="703">
        <f t="shared" ca="1" si="2"/>
        <v>0</v>
      </c>
      <c r="AK26" s="703">
        <f t="shared" ca="1" si="2"/>
        <v>0</v>
      </c>
      <c r="AL26" s="703">
        <f t="shared" ca="1" si="2"/>
        <v>0</v>
      </c>
      <c r="AM26" s="703">
        <f t="shared" ca="1" si="2"/>
        <v>0</v>
      </c>
      <c r="AN26" s="703">
        <f t="shared" ca="1" si="2"/>
        <v>0</v>
      </c>
      <c r="AO26" s="703">
        <f t="shared" ca="1" si="2"/>
        <v>0</v>
      </c>
      <c r="AP26" s="703">
        <f t="shared" ca="1" si="2"/>
        <v>0</v>
      </c>
      <c r="AQ26" s="703">
        <f t="shared" ca="1" si="2"/>
        <v>0</v>
      </c>
      <c r="AR26" s="703">
        <f t="shared" ca="1" si="2"/>
        <v>0</v>
      </c>
      <c r="AS26" s="703">
        <f t="shared" ca="1" si="2"/>
        <v>0</v>
      </c>
      <c r="AT26" s="703">
        <f t="shared" ca="1" si="2"/>
        <v>0</v>
      </c>
      <c r="AU26" s="703">
        <f t="shared" ca="1" si="2"/>
        <v>0</v>
      </c>
      <c r="AV26" s="703">
        <f t="shared" ca="1" si="2"/>
        <v>0</v>
      </c>
      <c r="AW26" s="703">
        <f t="shared" ca="1" si="2"/>
        <v>0</v>
      </c>
      <c r="AX26" s="703">
        <f t="shared" ca="1" si="2"/>
        <v>0</v>
      </c>
      <c r="AY26" s="703">
        <f t="shared" ca="1" si="2"/>
        <v>0</v>
      </c>
      <c r="AZ26" s="703">
        <f t="shared" ca="1" si="2"/>
        <v>0</v>
      </c>
      <c r="BA26" s="703">
        <f t="shared" ca="1" si="2"/>
        <v>0</v>
      </c>
      <c r="BB26" s="703">
        <f t="shared" ca="1" si="2"/>
        <v>0</v>
      </c>
      <c r="BC26" s="703">
        <f t="shared" ca="1" si="2"/>
        <v>0</v>
      </c>
      <c r="BD26" s="703">
        <f t="shared" ca="1" si="2"/>
        <v>0</v>
      </c>
      <c r="BE26" s="703">
        <f t="shared" ca="1" si="2"/>
        <v>0</v>
      </c>
      <c r="BF26" s="703">
        <f t="shared" ca="1" si="2"/>
        <v>0</v>
      </c>
      <c r="BG26" s="703">
        <f t="shared" ca="1" si="2"/>
        <v>0</v>
      </c>
      <c r="BH26" s="703">
        <f t="shared" ca="1" si="2"/>
        <v>0</v>
      </c>
      <c r="BI26" s="703">
        <f t="shared" ca="1" si="2"/>
        <v>0</v>
      </c>
      <c r="BJ26" s="703">
        <f t="shared" ca="1" si="2"/>
        <v>0</v>
      </c>
      <c r="BK26" s="703">
        <f t="shared" ca="1" si="2"/>
        <v>0</v>
      </c>
      <c r="BL26" s="703">
        <f t="shared" ca="1" si="2"/>
        <v>0</v>
      </c>
    </row>
    <row r="27" spans="1:64">
      <c r="A27" s="701" t="s">
        <v>634</v>
      </c>
      <c r="B27" s="704">
        <f ca="1">1-B26</f>
        <v>0.91338198774786483</v>
      </c>
      <c r="C27" s="699">
        <f ca="1">SUM(D27:BL27)</f>
        <v>-6326965.7014692929</v>
      </c>
      <c r="D27" s="703">
        <f ca="1">D19*$B$27</f>
        <v>-5636325.4451417411</v>
      </c>
      <c r="E27" s="703">
        <f t="shared" ref="E27:BL27" ca="1" si="3">E19*$B$27</f>
        <v>-690640.25632770208</v>
      </c>
      <c r="F27" s="703">
        <f t="shared" ca="1" si="3"/>
        <v>1.7013065288734899E-8</v>
      </c>
      <c r="G27" s="703">
        <f t="shared" ca="1" si="3"/>
        <v>1.7013065288734899E-8</v>
      </c>
      <c r="H27" s="703">
        <f t="shared" ca="1" si="3"/>
        <v>1.7013065288734899E-8</v>
      </c>
      <c r="I27" s="703">
        <f t="shared" ca="1" si="3"/>
        <v>1.7013065288734899E-8</v>
      </c>
      <c r="J27" s="703">
        <f t="shared" ca="1" si="3"/>
        <v>1.7013065288734899E-8</v>
      </c>
      <c r="K27" s="703">
        <f t="shared" ca="1" si="3"/>
        <v>1.7013065288734899E-8</v>
      </c>
      <c r="L27" s="703">
        <f t="shared" ca="1" si="3"/>
        <v>1.7013065288734899E-8</v>
      </c>
      <c r="M27" s="703">
        <f t="shared" ca="1" si="3"/>
        <v>0</v>
      </c>
      <c r="N27" s="703">
        <f t="shared" ca="1" si="3"/>
        <v>0</v>
      </c>
      <c r="O27" s="703">
        <f t="shared" ca="1" si="3"/>
        <v>0</v>
      </c>
      <c r="P27" s="703">
        <f t="shared" ca="1" si="3"/>
        <v>0</v>
      </c>
      <c r="Q27" s="703">
        <f t="shared" ca="1" si="3"/>
        <v>0</v>
      </c>
      <c r="R27" s="703">
        <f t="shared" ca="1" si="3"/>
        <v>0</v>
      </c>
      <c r="S27" s="703">
        <f t="shared" ca="1" si="3"/>
        <v>0</v>
      </c>
      <c r="T27" s="703">
        <f t="shared" ca="1" si="3"/>
        <v>0</v>
      </c>
      <c r="U27" s="703">
        <f t="shared" ca="1" si="3"/>
        <v>0</v>
      </c>
      <c r="V27" s="703">
        <f t="shared" ca="1" si="3"/>
        <v>0</v>
      </c>
      <c r="W27" s="703">
        <f t="shared" ca="1" si="3"/>
        <v>0</v>
      </c>
      <c r="X27" s="703">
        <f t="shared" ca="1" si="3"/>
        <v>0</v>
      </c>
      <c r="Y27" s="703">
        <f t="shared" ca="1" si="3"/>
        <v>0</v>
      </c>
      <c r="Z27" s="703">
        <f t="shared" ca="1" si="3"/>
        <v>0</v>
      </c>
      <c r="AA27" s="703">
        <f t="shared" ca="1" si="3"/>
        <v>0</v>
      </c>
      <c r="AB27" s="703">
        <f t="shared" ca="1" si="3"/>
        <v>0</v>
      </c>
      <c r="AC27" s="703">
        <f t="shared" ca="1" si="3"/>
        <v>0</v>
      </c>
      <c r="AD27" s="703">
        <f t="shared" ca="1" si="3"/>
        <v>0</v>
      </c>
      <c r="AE27" s="703">
        <f t="shared" ca="1" si="3"/>
        <v>0</v>
      </c>
      <c r="AF27" s="703">
        <f t="shared" ca="1" si="3"/>
        <v>0</v>
      </c>
      <c r="AG27" s="703">
        <f t="shared" ca="1" si="3"/>
        <v>0</v>
      </c>
      <c r="AH27" s="703">
        <f t="shared" ca="1" si="3"/>
        <v>0</v>
      </c>
      <c r="AI27" s="703">
        <f t="shared" ca="1" si="3"/>
        <v>0</v>
      </c>
      <c r="AJ27" s="703">
        <f t="shared" ca="1" si="3"/>
        <v>0</v>
      </c>
      <c r="AK27" s="703">
        <f t="shared" ca="1" si="3"/>
        <v>0</v>
      </c>
      <c r="AL27" s="703">
        <f t="shared" ca="1" si="3"/>
        <v>0</v>
      </c>
      <c r="AM27" s="703">
        <f t="shared" ca="1" si="3"/>
        <v>0</v>
      </c>
      <c r="AN27" s="703">
        <f t="shared" ca="1" si="3"/>
        <v>0</v>
      </c>
      <c r="AO27" s="703">
        <f t="shared" ca="1" si="3"/>
        <v>0</v>
      </c>
      <c r="AP27" s="703">
        <f t="shared" ca="1" si="3"/>
        <v>0</v>
      </c>
      <c r="AQ27" s="703">
        <f t="shared" ca="1" si="3"/>
        <v>0</v>
      </c>
      <c r="AR27" s="703">
        <f t="shared" ca="1" si="3"/>
        <v>0</v>
      </c>
      <c r="AS27" s="703">
        <f t="shared" ca="1" si="3"/>
        <v>0</v>
      </c>
      <c r="AT27" s="703">
        <f t="shared" ca="1" si="3"/>
        <v>0</v>
      </c>
      <c r="AU27" s="703">
        <f t="shared" ca="1" si="3"/>
        <v>0</v>
      </c>
      <c r="AV27" s="703">
        <f t="shared" ca="1" si="3"/>
        <v>0</v>
      </c>
      <c r="AW27" s="703">
        <f t="shared" ca="1" si="3"/>
        <v>0</v>
      </c>
      <c r="AX27" s="703">
        <f t="shared" ca="1" si="3"/>
        <v>0</v>
      </c>
      <c r="AY27" s="703">
        <f t="shared" ca="1" si="3"/>
        <v>0</v>
      </c>
      <c r="AZ27" s="703">
        <f t="shared" ca="1" si="3"/>
        <v>0</v>
      </c>
      <c r="BA27" s="703">
        <f t="shared" ca="1" si="3"/>
        <v>0</v>
      </c>
      <c r="BB27" s="703">
        <f t="shared" ca="1" si="3"/>
        <v>0</v>
      </c>
      <c r="BC27" s="703">
        <f t="shared" ca="1" si="3"/>
        <v>0</v>
      </c>
      <c r="BD27" s="703">
        <f t="shared" ca="1" si="3"/>
        <v>0</v>
      </c>
      <c r="BE27" s="703">
        <f t="shared" ca="1" si="3"/>
        <v>0</v>
      </c>
      <c r="BF27" s="703">
        <f t="shared" ca="1" si="3"/>
        <v>0</v>
      </c>
      <c r="BG27" s="703">
        <f t="shared" ca="1" si="3"/>
        <v>0</v>
      </c>
      <c r="BH27" s="703">
        <f t="shared" ca="1" si="3"/>
        <v>0</v>
      </c>
      <c r="BI27" s="703">
        <f t="shared" ca="1" si="3"/>
        <v>0</v>
      </c>
      <c r="BJ27" s="703">
        <f t="shared" ca="1" si="3"/>
        <v>0</v>
      </c>
      <c r="BK27" s="703">
        <f t="shared" ca="1" si="3"/>
        <v>0</v>
      </c>
      <c r="BL27" s="703">
        <f t="shared" ca="1" si="3"/>
        <v>0</v>
      </c>
    </row>
    <row r="28" spans="1:64">
      <c r="A28" s="701" t="s">
        <v>128</v>
      </c>
      <c r="B28" s="702">
        <f ca="1">SUM(B26:B27)</f>
        <v>1</v>
      </c>
      <c r="C28" s="705">
        <f ca="1">SUM(C26:C27)</f>
        <v>-6926965.701469277</v>
      </c>
      <c r="D28" s="706">
        <f ca="1">SUM(D26:D27)</f>
        <v>-6170830.5186084136</v>
      </c>
      <c r="E28" s="706">
        <f ca="1">SUM(E26:E27)</f>
        <v>-756135.18286102917</v>
      </c>
      <c r="F28" s="706">
        <f t="shared" ref="F28:BL28" ca="1" si="4">SUM(F26:F27)</f>
        <v>1.862645149230957E-8</v>
      </c>
      <c r="G28" s="706">
        <f t="shared" ca="1" si="4"/>
        <v>1.862645149230957E-8</v>
      </c>
      <c r="H28" s="706">
        <f t="shared" ca="1" si="4"/>
        <v>1.862645149230957E-8</v>
      </c>
      <c r="I28" s="706">
        <f t="shared" ca="1" si="4"/>
        <v>1.862645149230957E-8</v>
      </c>
      <c r="J28" s="706">
        <f t="shared" ca="1" si="4"/>
        <v>1.862645149230957E-8</v>
      </c>
      <c r="K28" s="706">
        <f t="shared" ca="1" si="4"/>
        <v>1.862645149230957E-8</v>
      </c>
      <c r="L28" s="706">
        <f t="shared" ca="1" si="4"/>
        <v>1.862645149230957E-8</v>
      </c>
      <c r="M28" s="706">
        <f t="shared" ca="1" si="4"/>
        <v>0</v>
      </c>
      <c r="N28" s="706">
        <f t="shared" ca="1" si="4"/>
        <v>0</v>
      </c>
      <c r="O28" s="706">
        <f t="shared" ca="1" si="4"/>
        <v>0</v>
      </c>
      <c r="P28" s="706">
        <f t="shared" ca="1" si="4"/>
        <v>0</v>
      </c>
      <c r="Q28" s="706">
        <f t="shared" ca="1" si="4"/>
        <v>0</v>
      </c>
      <c r="R28" s="706">
        <f t="shared" ca="1" si="4"/>
        <v>0</v>
      </c>
      <c r="S28" s="706">
        <f t="shared" ca="1" si="4"/>
        <v>0</v>
      </c>
      <c r="T28" s="706">
        <f t="shared" ca="1" si="4"/>
        <v>0</v>
      </c>
      <c r="U28" s="706">
        <f t="shared" ca="1" si="4"/>
        <v>0</v>
      </c>
      <c r="V28" s="706">
        <f t="shared" ca="1" si="4"/>
        <v>0</v>
      </c>
      <c r="W28" s="706">
        <f t="shared" ca="1" si="4"/>
        <v>0</v>
      </c>
      <c r="X28" s="706">
        <f t="shared" ca="1" si="4"/>
        <v>0</v>
      </c>
      <c r="Y28" s="706">
        <f t="shared" ca="1" si="4"/>
        <v>0</v>
      </c>
      <c r="Z28" s="706">
        <f t="shared" ca="1" si="4"/>
        <v>0</v>
      </c>
      <c r="AA28" s="706">
        <f t="shared" ca="1" si="4"/>
        <v>0</v>
      </c>
      <c r="AB28" s="706">
        <f t="shared" ca="1" si="4"/>
        <v>0</v>
      </c>
      <c r="AC28" s="706">
        <f t="shared" ca="1" si="4"/>
        <v>0</v>
      </c>
      <c r="AD28" s="706">
        <f t="shared" ca="1" si="4"/>
        <v>0</v>
      </c>
      <c r="AE28" s="706">
        <f t="shared" ca="1" si="4"/>
        <v>0</v>
      </c>
      <c r="AF28" s="706">
        <f t="shared" ca="1" si="4"/>
        <v>0</v>
      </c>
      <c r="AG28" s="706">
        <f t="shared" ca="1" si="4"/>
        <v>0</v>
      </c>
      <c r="AH28" s="706">
        <f t="shared" ca="1" si="4"/>
        <v>0</v>
      </c>
      <c r="AI28" s="706">
        <f t="shared" ca="1" si="4"/>
        <v>0</v>
      </c>
      <c r="AJ28" s="706">
        <f t="shared" ca="1" si="4"/>
        <v>0</v>
      </c>
      <c r="AK28" s="706">
        <f t="shared" ca="1" si="4"/>
        <v>0</v>
      </c>
      <c r="AL28" s="706">
        <f t="shared" ca="1" si="4"/>
        <v>0</v>
      </c>
      <c r="AM28" s="706">
        <f t="shared" ca="1" si="4"/>
        <v>0</v>
      </c>
      <c r="AN28" s="706">
        <f t="shared" ca="1" si="4"/>
        <v>0</v>
      </c>
      <c r="AO28" s="706">
        <f t="shared" ca="1" si="4"/>
        <v>0</v>
      </c>
      <c r="AP28" s="706">
        <f t="shared" ca="1" si="4"/>
        <v>0</v>
      </c>
      <c r="AQ28" s="706">
        <f t="shared" ca="1" si="4"/>
        <v>0</v>
      </c>
      <c r="AR28" s="706">
        <f t="shared" ca="1" si="4"/>
        <v>0</v>
      </c>
      <c r="AS28" s="706">
        <f t="shared" ca="1" si="4"/>
        <v>0</v>
      </c>
      <c r="AT28" s="706">
        <f t="shared" ca="1" si="4"/>
        <v>0</v>
      </c>
      <c r="AU28" s="706">
        <f t="shared" ca="1" si="4"/>
        <v>0</v>
      </c>
      <c r="AV28" s="706">
        <f t="shared" ca="1" si="4"/>
        <v>0</v>
      </c>
      <c r="AW28" s="706">
        <f t="shared" ca="1" si="4"/>
        <v>0</v>
      </c>
      <c r="AX28" s="706">
        <f t="shared" ca="1" si="4"/>
        <v>0</v>
      </c>
      <c r="AY28" s="706">
        <f t="shared" ca="1" si="4"/>
        <v>0</v>
      </c>
      <c r="AZ28" s="706">
        <f t="shared" ca="1" si="4"/>
        <v>0</v>
      </c>
      <c r="BA28" s="706">
        <f t="shared" ca="1" si="4"/>
        <v>0</v>
      </c>
      <c r="BB28" s="706">
        <f t="shared" ca="1" si="4"/>
        <v>0</v>
      </c>
      <c r="BC28" s="706">
        <f t="shared" ca="1" si="4"/>
        <v>0</v>
      </c>
      <c r="BD28" s="706">
        <f t="shared" ca="1" si="4"/>
        <v>0</v>
      </c>
      <c r="BE28" s="706">
        <f t="shared" ca="1" si="4"/>
        <v>0</v>
      </c>
      <c r="BF28" s="706">
        <f t="shared" ca="1" si="4"/>
        <v>0</v>
      </c>
      <c r="BG28" s="706">
        <f t="shared" ca="1" si="4"/>
        <v>0</v>
      </c>
      <c r="BH28" s="706">
        <f t="shared" ca="1" si="4"/>
        <v>0</v>
      </c>
      <c r="BI28" s="706">
        <f t="shared" ca="1" si="4"/>
        <v>0</v>
      </c>
      <c r="BJ28" s="706">
        <f t="shared" ca="1" si="4"/>
        <v>0</v>
      </c>
      <c r="BK28" s="706">
        <f t="shared" ca="1" si="4"/>
        <v>0</v>
      </c>
      <c r="BL28" s="706">
        <f t="shared" ca="1" si="4"/>
        <v>0</v>
      </c>
    </row>
    <row r="29" spans="1:64">
      <c r="A29" s="701"/>
      <c r="B29" s="707"/>
      <c r="C29" s="708"/>
      <c r="D29" s="709"/>
      <c r="E29" s="707"/>
      <c r="F29" s="707"/>
      <c r="G29" s="707"/>
      <c r="H29" s="707"/>
      <c r="I29" s="707"/>
      <c r="J29" s="707"/>
      <c r="K29" s="707"/>
      <c r="L29" s="707"/>
      <c r="M29" s="707"/>
      <c r="N29" s="707"/>
      <c r="O29" s="707"/>
      <c r="P29" s="707"/>
      <c r="Q29" s="707"/>
      <c r="R29" s="707"/>
      <c r="S29" s="707"/>
      <c r="T29" s="707"/>
      <c r="U29" s="707"/>
      <c r="V29" s="707"/>
      <c r="W29" s="707"/>
      <c r="X29" s="707"/>
      <c r="Y29" s="707"/>
      <c r="Z29" s="707"/>
      <c r="AA29" s="707"/>
      <c r="AB29" s="707"/>
      <c r="AC29" s="707"/>
      <c r="AD29" s="707"/>
      <c r="AE29" s="707"/>
      <c r="AF29" s="707"/>
      <c r="AG29" s="707"/>
      <c r="AH29" s="707"/>
      <c r="AI29" s="707"/>
      <c r="AJ29" s="707"/>
      <c r="AK29" s="707"/>
      <c r="AL29" s="707"/>
      <c r="AM29" s="707"/>
      <c r="AN29" s="707"/>
      <c r="AO29" s="707"/>
      <c r="AP29" s="707"/>
      <c r="AQ29" s="707"/>
      <c r="AR29" s="707"/>
      <c r="AS29" s="707"/>
      <c r="AT29" s="707"/>
      <c r="AU29" s="707"/>
      <c r="AV29" s="707"/>
      <c r="AW29" s="707"/>
      <c r="AX29" s="707"/>
      <c r="AY29" s="707"/>
      <c r="AZ29" s="707"/>
      <c r="BA29" s="707"/>
      <c r="BB29" s="707"/>
      <c r="BC29" s="707"/>
      <c r="BD29" s="707"/>
      <c r="BE29" s="707"/>
      <c r="BF29" s="707"/>
      <c r="BG29" s="707"/>
      <c r="BH29" s="707"/>
      <c r="BI29" s="707"/>
      <c r="BJ29" s="707"/>
      <c r="BK29" s="707"/>
      <c r="BL29" s="707"/>
    </row>
    <row r="30" spans="1:64">
      <c r="A30" s="700" t="s">
        <v>635</v>
      </c>
      <c r="B30" s="701"/>
      <c r="C30" s="703"/>
      <c r="D30" s="701"/>
      <c r="E30" s="701"/>
      <c r="F30" s="701"/>
      <c r="G30" s="701"/>
      <c r="H30" s="701"/>
      <c r="I30" s="701"/>
    </row>
    <row r="31" spans="1:64">
      <c r="A31" s="701"/>
      <c r="B31" s="701"/>
      <c r="C31" s="703"/>
      <c r="D31" s="701"/>
      <c r="E31" s="701"/>
      <c r="F31" s="701"/>
      <c r="G31" s="701"/>
      <c r="H31" s="701"/>
      <c r="I31" s="701"/>
    </row>
    <row r="32" spans="1:64">
      <c r="A32" s="700" t="s">
        <v>636</v>
      </c>
      <c r="B32" s="752">
        <f>D8</f>
        <v>0.08</v>
      </c>
      <c r="C32" s="703"/>
      <c r="D32" s="701"/>
      <c r="E32" s="701"/>
      <c r="F32" s="701"/>
      <c r="G32" s="701"/>
      <c r="H32" s="701"/>
      <c r="I32" s="701"/>
    </row>
    <row r="33" spans="1:64">
      <c r="A33" s="774" t="s">
        <v>637</v>
      </c>
      <c r="B33" s="701"/>
      <c r="C33" s="703"/>
      <c r="D33" s="701">
        <v>0</v>
      </c>
      <c r="E33" s="701">
        <f ca="1">D40</f>
        <v>-6170830.5186084146</v>
      </c>
      <c r="F33" s="701">
        <f t="shared" ref="F33:AH33" ca="1" si="5">E40</f>
        <v>-6966669.0108299181</v>
      </c>
      <c r="G33" s="701">
        <f ca="1">F40</f>
        <v>-7011492.7690120246</v>
      </c>
      <c r="H33" s="701">
        <f t="shared" ca="1" si="5"/>
        <v>-7056604.9246039204</v>
      </c>
      <c r="I33" s="701">
        <f t="shared" ca="1" si="5"/>
        <v>-7102007.3331632195</v>
      </c>
      <c r="J33" s="701">
        <f t="shared" ca="1" si="5"/>
        <v>-7147701.8621862596</v>
      </c>
      <c r="K33" s="701">
        <f t="shared" ca="1" si="5"/>
        <v>-7193690.3911848934</v>
      </c>
      <c r="L33" s="701">
        <f t="shared" ca="1" si="5"/>
        <v>-7239974.8117638221</v>
      </c>
      <c r="M33" s="701">
        <f t="shared" ca="1" si="5"/>
        <v>-7286557.0276983799</v>
      </c>
      <c r="N33" s="701">
        <f t="shared" ca="1" si="5"/>
        <v>-7333438.9550128756</v>
      </c>
      <c r="O33" s="701">
        <f t="shared" ca="1" si="5"/>
        <v>-7380622.5220593372</v>
      </c>
      <c r="P33" s="701">
        <f t="shared" ca="1" si="5"/>
        <v>-7428109.6695968816</v>
      </c>
      <c r="Q33" s="701">
        <f t="shared" ca="1" si="5"/>
        <v>-7475902.3508715257</v>
      </c>
      <c r="R33" s="701">
        <f t="shared" ca="1" si="5"/>
        <v>-7524002.5316965394</v>
      </c>
      <c r="S33" s="701">
        <f t="shared" ca="1" si="5"/>
        <v>-7439793.8775592688</v>
      </c>
      <c r="T33" s="701">
        <f t="shared" ca="1" si="5"/>
        <v>-7487661.7353797629</v>
      </c>
      <c r="U33" s="701">
        <f t="shared" ca="1" si="5"/>
        <v>-7535837.5764387809</v>
      </c>
      <c r="V33" s="701">
        <f t="shared" ca="1" si="5"/>
        <v>-7584323.3823097283</v>
      </c>
      <c r="W33" s="701">
        <f t="shared" ca="1" si="5"/>
        <v>-7633121.1473155385</v>
      </c>
      <c r="X33" s="701">
        <f t="shared" ca="1" si="5"/>
        <v>-7682232.8786106631</v>
      </c>
      <c r="Y33" s="701">
        <f t="shared" ca="1" si="5"/>
        <v>-7731660.5962636378</v>
      </c>
      <c r="Z33" s="701">
        <f t="shared" ca="1" si="5"/>
        <v>-7781406.333340195</v>
      </c>
      <c r="AA33" s="701">
        <f t="shared" ca="1" si="5"/>
        <v>-7831472.1359868674</v>
      </c>
      <c r="AB33" s="701">
        <f t="shared" ca="1" si="5"/>
        <v>-7881860.0635151565</v>
      </c>
      <c r="AC33" s="701">
        <f t="shared" ca="1" si="5"/>
        <v>-7932572.1884862483</v>
      </c>
      <c r="AD33" s="701">
        <f t="shared" ca="1" si="5"/>
        <v>-7976404.5880535338</v>
      </c>
      <c r="AE33" s="701">
        <f t="shared" ca="1" si="5"/>
        <v>-7854573.9504915373</v>
      </c>
      <c r="AF33" s="701">
        <f t="shared" ca="1" si="5"/>
        <v>-7884054.5689235898</v>
      </c>
      <c r="AG33" s="701">
        <f t="shared" ca="1" si="5"/>
        <v>-7906056.4259401597</v>
      </c>
      <c r="AH33" s="701">
        <f t="shared" ca="1" si="5"/>
        <v>-7920819.2646174487</v>
      </c>
      <c r="AI33" s="701">
        <f ca="1">AH40</f>
        <v>-7917722.5463355137</v>
      </c>
      <c r="AJ33" s="701">
        <f t="shared" ref="AJ33:BL33" ca="1" si="6">AI40</f>
        <v>-7905722.3515344299</v>
      </c>
      <c r="AK33" s="701">
        <f t="shared" ca="1" si="6"/>
        <v>-7887687.527301752</v>
      </c>
      <c r="AL33" s="701">
        <f t="shared" ca="1" si="6"/>
        <v>-7888340.0867712172</v>
      </c>
      <c r="AM33" s="701">
        <f t="shared" ca="1" si="6"/>
        <v>-7888420.8423976116</v>
      </c>
      <c r="AN33" s="701">
        <f t="shared" ca="1" si="6"/>
        <v>-7888729.3676630948</v>
      </c>
      <c r="AO33" s="701">
        <f t="shared" ca="1" si="6"/>
        <v>-7881225.9743900327</v>
      </c>
      <c r="AP33" s="701">
        <f t="shared" ca="1" si="6"/>
        <v>-7873941.5393004939</v>
      </c>
      <c r="AQ33" s="701">
        <f t="shared" ca="1" si="6"/>
        <v>-7864109.7251265319</v>
      </c>
      <c r="AR33" s="701">
        <f t="shared" ca="1" si="6"/>
        <v>-7851510.3187038889</v>
      </c>
      <c r="AS33" s="701">
        <f t="shared" ca="1" si="6"/>
        <v>-7835814.6261473959</v>
      </c>
      <c r="AT33" s="701">
        <f t="shared" ca="1" si="6"/>
        <v>-7816348.3840163779</v>
      </c>
      <c r="AU33" s="701">
        <f t="shared" ca="1" si="6"/>
        <v>-7794427.5787144834</v>
      </c>
      <c r="AV33" s="701">
        <f t="shared" ca="1" si="6"/>
        <v>-7770657.2713711094</v>
      </c>
      <c r="AW33" s="701">
        <f t="shared" ca="1" si="6"/>
        <v>-7745172.5617018407</v>
      </c>
      <c r="AX33" s="701">
        <f t="shared" ca="1" si="6"/>
        <v>-7720223.6734269597</v>
      </c>
      <c r="AY33" s="701">
        <f t="shared" ca="1" si="6"/>
        <v>-7695359.930454148</v>
      </c>
      <c r="AZ33" s="701">
        <f t="shared" ca="1" si="6"/>
        <v>-7671294.8395642787</v>
      </c>
      <c r="BA33" s="701">
        <f t="shared" ca="1" si="6"/>
        <v>0</v>
      </c>
      <c r="BB33" s="701">
        <f t="shared" ca="1" si="6"/>
        <v>0</v>
      </c>
      <c r="BC33" s="701">
        <f t="shared" ca="1" si="6"/>
        <v>0</v>
      </c>
      <c r="BD33" s="701">
        <f t="shared" ca="1" si="6"/>
        <v>0</v>
      </c>
      <c r="BE33" s="701">
        <f t="shared" ca="1" si="6"/>
        <v>0</v>
      </c>
      <c r="BF33" s="701">
        <f t="shared" ca="1" si="6"/>
        <v>0</v>
      </c>
      <c r="BG33" s="701">
        <f t="shared" ca="1" si="6"/>
        <v>0</v>
      </c>
      <c r="BH33" s="701">
        <f t="shared" ca="1" si="6"/>
        <v>0</v>
      </c>
      <c r="BI33" s="701">
        <f t="shared" ca="1" si="6"/>
        <v>0</v>
      </c>
      <c r="BJ33" s="701">
        <f t="shared" ca="1" si="6"/>
        <v>0</v>
      </c>
      <c r="BK33" s="701">
        <f t="shared" ca="1" si="6"/>
        <v>0</v>
      </c>
      <c r="BL33" s="701">
        <f t="shared" ca="1" si="6"/>
        <v>0</v>
      </c>
    </row>
    <row r="34" spans="1:64">
      <c r="A34" s="774" t="s">
        <v>638</v>
      </c>
      <c r="B34" s="701">
        <f ca="1">SUM(D34:BL34)</f>
        <v>-6926965.7014692798</v>
      </c>
      <c r="C34" s="699"/>
      <c r="D34" s="701">
        <f ca="1">D28</f>
        <v>-6170830.5186084136</v>
      </c>
      <c r="E34" s="701">
        <f t="shared" ref="E34:BL34" ca="1" si="7">E28</f>
        <v>-756135.18286102917</v>
      </c>
      <c r="F34" s="701">
        <f t="shared" ca="1" si="7"/>
        <v>1.862645149230957E-8</v>
      </c>
      <c r="G34" s="701">
        <f t="shared" ca="1" si="7"/>
        <v>1.862645149230957E-8</v>
      </c>
      <c r="H34" s="701">
        <f t="shared" ca="1" si="7"/>
        <v>1.862645149230957E-8</v>
      </c>
      <c r="I34" s="701">
        <f t="shared" ca="1" si="7"/>
        <v>1.862645149230957E-8</v>
      </c>
      <c r="J34" s="701">
        <f t="shared" ca="1" si="7"/>
        <v>1.862645149230957E-8</v>
      </c>
      <c r="K34" s="701">
        <f t="shared" ca="1" si="7"/>
        <v>1.862645149230957E-8</v>
      </c>
      <c r="L34" s="701">
        <f t="shared" ca="1" si="7"/>
        <v>1.862645149230957E-8</v>
      </c>
      <c r="M34" s="701">
        <f t="shared" ca="1" si="7"/>
        <v>0</v>
      </c>
      <c r="N34" s="701">
        <f t="shared" ca="1" si="7"/>
        <v>0</v>
      </c>
      <c r="O34" s="701">
        <f t="shared" ca="1" si="7"/>
        <v>0</v>
      </c>
      <c r="P34" s="701">
        <f t="shared" ca="1" si="7"/>
        <v>0</v>
      </c>
      <c r="Q34" s="701">
        <f t="shared" ca="1" si="7"/>
        <v>0</v>
      </c>
      <c r="R34" s="701">
        <f t="shared" ca="1" si="7"/>
        <v>0</v>
      </c>
      <c r="S34" s="701">
        <f t="shared" ca="1" si="7"/>
        <v>0</v>
      </c>
      <c r="T34" s="701">
        <f t="shared" ca="1" si="7"/>
        <v>0</v>
      </c>
      <c r="U34" s="701">
        <f t="shared" ca="1" si="7"/>
        <v>0</v>
      </c>
      <c r="V34" s="701">
        <f t="shared" ca="1" si="7"/>
        <v>0</v>
      </c>
      <c r="W34" s="701">
        <f t="shared" ca="1" si="7"/>
        <v>0</v>
      </c>
      <c r="X34" s="701">
        <f t="shared" ca="1" si="7"/>
        <v>0</v>
      </c>
      <c r="Y34" s="701">
        <f t="shared" ca="1" si="7"/>
        <v>0</v>
      </c>
      <c r="Z34" s="701">
        <f t="shared" ca="1" si="7"/>
        <v>0</v>
      </c>
      <c r="AA34" s="701">
        <f t="shared" ca="1" si="7"/>
        <v>0</v>
      </c>
      <c r="AB34" s="701">
        <f t="shared" ca="1" si="7"/>
        <v>0</v>
      </c>
      <c r="AC34" s="701">
        <f t="shared" ca="1" si="7"/>
        <v>0</v>
      </c>
      <c r="AD34" s="701">
        <f t="shared" ca="1" si="7"/>
        <v>0</v>
      </c>
      <c r="AE34" s="701">
        <f t="shared" ca="1" si="7"/>
        <v>0</v>
      </c>
      <c r="AF34" s="701">
        <f t="shared" ca="1" si="7"/>
        <v>0</v>
      </c>
      <c r="AG34" s="701">
        <f t="shared" ca="1" si="7"/>
        <v>0</v>
      </c>
      <c r="AH34" s="701">
        <f t="shared" ca="1" si="7"/>
        <v>0</v>
      </c>
      <c r="AI34" s="701">
        <f t="shared" ca="1" si="7"/>
        <v>0</v>
      </c>
      <c r="AJ34" s="701">
        <f t="shared" ca="1" si="7"/>
        <v>0</v>
      </c>
      <c r="AK34" s="701">
        <f t="shared" ca="1" si="7"/>
        <v>0</v>
      </c>
      <c r="AL34" s="701">
        <f t="shared" ca="1" si="7"/>
        <v>0</v>
      </c>
      <c r="AM34" s="701">
        <f t="shared" ca="1" si="7"/>
        <v>0</v>
      </c>
      <c r="AN34" s="701">
        <f t="shared" ca="1" si="7"/>
        <v>0</v>
      </c>
      <c r="AO34" s="701">
        <f t="shared" ca="1" si="7"/>
        <v>0</v>
      </c>
      <c r="AP34" s="701">
        <f t="shared" ca="1" si="7"/>
        <v>0</v>
      </c>
      <c r="AQ34" s="701">
        <f t="shared" ca="1" si="7"/>
        <v>0</v>
      </c>
      <c r="AR34" s="701">
        <f t="shared" ca="1" si="7"/>
        <v>0</v>
      </c>
      <c r="AS34" s="701">
        <f t="shared" ca="1" si="7"/>
        <v>0</v>
      </c>
      <c r="AT34" s="701">
        <f t="shared" ca="1" si="7"/>
        <v>0</v>
      </c>
      <c r="AU34" s="701">
        <f t="shared" ca="1" si="7"/>
        <v>0</v>
      </c>
      <c r="AV34" s="701">
        <f t="shared" ca="1" si="7"/>
        <v>0</v>
      </c>
      <c r="AW34" s="701">
        <f t="shared" ca="1" si="7"/>
        <v>0</v>
      </c>
      <c r="AX34" s="701">
        <f t="shared" ca="1" si="7"/>
        <v>0</v>
      </c>
      <c r="AY34" s="701">
        <f t="shared" ca="1" si="7"/>
        <v>0</v>
      </c>
      <c r="AZ34" s="701">
        <f t="shared" ca="1" si="7"/>
        <v>0</v>
      </c>
      <c r="BA34" s="701">
        <f t="shared" ca="1" si="7"/>
        <v>0</v>
      </c>
      <c r="BB34" s="701">
        <f t="shared" ca="1" si="7"/>
        <v>0</v>
      </c>
      <c r="BC34" s="701">
        <f t="shared" ca="1" si="7"/>
        <v>0</v>
      </c>
      <c r="BD34" s="701">
        <f t="shared" ca="1" si="7"/>
        <v>0</v>
      </c>
      <c r="BE34" s="701">
        <f t="shared" ca="1" si="7"/>
        <v>0</v>
      </c>
      <c r="BF34" s="701">
        <f t="shared" ca="1" si="7"/>
        <v>0</v>
      </c>
      <c r="BG34" s="701">
        <f t="shared" ca="1" si="7"/>
        <v>0</v>
      </c>
      <c r="BH34" s="701">
        <f t="shared" ca="1" si="7"/>
        <v>0</v>
      </c>
      <c r="BI34" s="701">
        <f t="shared" ca="1" si="7"/>
        <v>0</v>
      </c>
      <c r="BJ34" s="701">
        <f t="shared" ca="1" si="7"/>
        <v>0</v>
      </c>
      <c r="BK34" s="701">
        <f t="shared" ca="1" si="7"/>
        <v>0</v>
      </c>
      <c r="BL34" s="701">
        <f t="shared" ca="1" si="7"/>
        <v>0</v>
      </c>
    </row>
    <row r="35" spans="1:64">
      <c r="A35" s="775">
        <f>B32</f>
        <v>0.08</v>
      </c>
      <c r="B35" s="701">
        <f ca="1">SUM(D35:BL35)</f>
        <v>-2350210.709154957</v>
      </c>
      <c r="C35" s="699"/>
      <c r="D35" s="753">
        <f t="shared" ref="D35:BL35" si="8">D33*((1+$B$32)^(1/12)-1)</f>
        <v>0</v>
      </c>
      <c r="E35" s="753">
        <f t="shared" ca="1" si="8"/>
        <v>-39703.309360454623</v>
      </c>
      <c r="F35" s="753">
        <f t="shared" ca="1" si="8"/>
        <v>-44823.758182107507</v>
      </c>
      <c r="G35" s="753">
        <f t="shared" ca="1" si="8"/>
        <v>-45112.155591894691</v>
      </c>
      <c r="H35" s="753">
        <f t="shared" ca="1" si="8"/>
        <v>-45402.408559300107</v>
      </c>
      <c r="I35" s="753">
        <f t="shared" ca="1" si="8"/>
        <v>-45694.529023037321</v>
      </c>
      <c r="J35" s="753">
        <f t="shared" ca="1" si="8"/>
        <v>-45988.528998633985</v>
      </c>
      <c r="K35" s="753">
        <f t="shared" ca="1" si="8"/>
        <v>-46284.420578925958</v>
      </c>
      <c r="L35" s="753">
        <f t="shared" ca="1" si="8"/>
        <v>-46582.21593455485</v>
      </c>
      <c r="M35" s="753">
        <f t="shared" ca="1" si="8"/>
        <v>-46881.927314468478</v>
      </c>
      <c r="N35" s="753">
        <f t="shared" ca="1" si="8"/>
        <v>-47183.567046424934</v>
      </c>
      <c r="O35" s="753">
        <f t="shared" ca="1" si="8"/>
        <v>-47487.14753749923</v>
      </c>
      <c r="P35" s="753">
        <f t="shared" ca="1" si="8"/>
        <v>-47792.681274593968</v>
      </c>
      <c r="Q35" s="753">
        <f t="shared" ca="1" si="8"/>
        <v>-48100.180824952826</v>
      </c>
      <c r="R35" s="753">
        <f t="shared" ca="1" si="8"/>
        <v>-48409.658836677576</v>
      </c>
      <c r="S35" s="753">
        <f t="shared" ca="1" si="8"/>
        <v>-47867.857820435507</v>
      </c>
      <c r="T35" s="753">
        <f t="shared" ca="1" si="8"/>
        <v>-48175.841058953934</v>
      </c>
      <c r="U35" s="753">
        <f t="shared" ca="1" si="8"/>
        <v>-48485.80587090239</v>
      </c>
      <c r="V35" s="753">
        <f t="shared" ca="1" si="8"/>
        <v>-48797.765005783847</v>
      </c>
      <c r="W35" s="753">
        <f t="shared" ca="1" si="8"/>
        <v>-49111.731295132107</v>
      </c>
      <c r="X35" s="753">
        <f t="shared" ca="1" si="8"/>
        <v>-49427.717653039334</v>
      </c>
      <c r="Y35" s="753">
        <f t="shared" ca="1" si="8"/>
        <v>-49745.737076687321</v>
      </c>
      <c r="Z35" s="753">
        <f t="shared" ca="1" si="8"/>
        <v>-50065.802646882206</v>
      </c>
      <c r="AA35" s="753">
        <f t="shared" ca="1" si="8"/>
        <v>-50387.927528592387</v>
      </c>
      <c r="AB35" s="753">
        <f t="shared" ca="1" si="8"/>
        <v>-50712.12497149007</v>
      </c>
      <c r="AC35" s="753">
        <f t="shared" ca="1" si="8"/>
        <v>-51038.408310496328</v>
      </c>
      <c r="AD35" s="753">
        <f t="shared" ca="1" si="8"/>
        <v>-51320.427289105945</v>
      </c>
      <c r="AE35" s="753">
        <f t="shared" ca="1" si="8"/>
        <v>-50536.565298711146</v>
      </c>
      <c r="AF35" s="753">
        <f t="shared" ca="1" si="8"/>
        <v>-50726.244485364492</v>
      </c>
      <c r="AG35" s="753">
        <f t="shared" ca="1" si="8"/>
        <v>-50867.805095885094</v>
      </c>
      <c r="AH35" s="753">
        <f t="shared" ca="1" si="8"/>
        <v>-50962.789644443896</v>
      </c>
      <c r="AI35" s="753">
        <f t="shared" ca="1" si="8"/>
        <v>-50942.865265775727</v>
      </c>
      <c r="AJ35" s="753">
        <f t="shared" ca="1" si="8"/>
        <v>-50865.655651099645</v>
      </c>
      <c r="AK35" s="753">
        <f t="shared" ca="1" si="8"/>
        <v>-50749.619048957975</v>
      </c>
      <c r="AL35" s="753">
        <f t="shared" ca="1" si="8"/>
        <v>-50753.817636233085</v>
      </c>
      <c r="AM35" s="753">
        <f t="shared" ca="1" si="8"/>
        <v>-50754.337220364854</v>
      </c>
      <c r="AN35" s="753">
        <f t="shared" ca="1" si="8"/>
        <v>-50756.32228121267</v>
      </c>
      <c r="AO35" s="753">
        <f t="shared" ca="1" si="8"/>
        <v>-50708.045222966597</v>
      </c>
      <c r="AP35" s="753">
        <f t="shared" ca="1" si="8"/>
        <v>-50661.176948266133</v>
      </c>
      <c r="AQ35" s="753">
        <f t="shared" ca="1" si="8"/>
        <v>-50597.918759834909</v>
      </c>
      <c r="AR35" s="753">
        <f t="shared" ca="1" si="8"/>
        <v>-50516.853799543453</v>
      </c>
      <c r="AS35" s="753">
        <f t="shared" ca="1" si="8"/>
        <v>-50415.867241037617</v>
      </c>
      <c r="AT35" s="753">
        <f t="shared" ca="1" si="8"/>
        <v>-50290.620853038032</v>
      </c>
      <c r="AU35" s="753">
        <f t="shared" ca="1" si="8"/>
        <v>-50149.581731690116</v>
      </c>
      <c r="AV35" s="753">
        <f t="shared" ca="1" si="8"/>
        <v>-49996.642858518811</v>
      </c>
      <c r="AW35" s="753">
        <f t="shared" ca="1" si="8"/>
        <v>-49832.673469162044</v>
      </c>
      <c r="AX35" s="753">
        <f t="shared" ca="1" si="8"/>
        <v>-49672.151570790345</v>
      </c>
      <c r="AY35" s="753">
        <f t="shared" ca="1" si="8"/>
        <v>-49512.17749985589</v>
      </c>
      <c r="AZ35" s="753">
        <f t="shared" ca="1" si="8"/>
        <v>-49357.341980470504</v>
      </c>
      <c r="BA35" s="753">
        <f t="shared" ca="1" si="8"/>
        <v>0</v>
      </c>
      <c r="BB35" s="753">
        <f t="shared" ca="1" si="8"/>
        <v>0</v>
      </c>
      <c r="BC35" s="753">
        <f t="shared" ca="1" si="8"/>
        <v>0</v>
      </c>
      <c r="BD35" s="753">
        <f t="shared" ca="1" si="8"/>
        <v>0</v>
      </c>
      <c r="BE35" s="753">
        <f t="shared" ca="1" si="8"/>
        <v>0</v>
      </c>
      <c r="BF35" s="753">
        <f t="shared" ca="1" si="8"/>
        <v>0</v>
      </c>
      <c r="BG35" s="753">
        <f t="shared" ca="1" si="8"/>
        <v>0</v>
      </c>
      <c r="BH35" s="753">
        <f t="shared" ca="1" si="8"/>
        <v>0</v>
      </c>
      <c r="BI35" s="753">
        <f t="shared" ca="1" si="8"/>
        <v>0</v>
      </c>
      <c r="BJ35" s="753">
        <f t="shared" ca="1" si="8"/>
        <v>0</v>
      </c>
      <c r="BK35" s="753">
        <f t="shared" ca="1" si="8"/>
        <v>0</v>
      </c>
      <c r="BL35" s="753">
        <f t="shared" ca="1" si="8"/>
        <v>0</v>
      </c>
    </row>
    <row r="36" spans="1:64">
      <c r="A36" s="774" t="s">
        <v>541</v>
      </c>
      <c r="B36" s="701"/>
      <c r="C36" s="703"/>
      <c r="D36" s="701">
        <f ca="1">SUM(D33:D35)</f>
        <v>-6170830.5186084136</v>
      </c>
      <c r="E36" s="701">
        <f t="shared" ref="E36:BL36" ca="1" si="9">SUM(E33:E35)</f>
        <v>-6966669.0108298985</v>
      </c>
      <c r="F36" s="701">
        <f t="shared" ca="1" si="9"/>
        <v>-7011492.7690120069</v>
      </c>
      <c r="G36" s="701">
        <f t="shared" ca="1" si="9"/>
        <v>-7056604.9246039009</v>
      </c>
      <c r="H36" s="701">
        <f t="shared" ca="1" si="9"/>
        <v>-7102007.3331632018</v>
      </c>
      <c r="I36" s="701">
        <f t="shared" ca="1" si="9"/>
        <v>-7147701.8621862382</v>
      </c>
      <c r="J36" s="701">
        <f t="shared" ca="1" si="9"/>
        <v>-7193690.3911848748</v>
      </c>
      <c r="K36" s="701">
        <f t="shared" ca="1" si="9"/>
        <v>-7239974.8117638007</v>
      </c>
      <c r="L36" s="701">
        <f t="shared" ca="1" si="9"/>
        <v>-7286557.0276983585</v>
      </c>
      <c r="M36" s="701">
        <f t="shared" ca="1" si="9"/>
        <v>-7333438.9550128486</v>
      </c>
      <c r="N36" s="701">
        <f t="shared" ca="1" si="9"/>
        <v>-7380622.5220593009</v>
      </c>
      <c r="O36" s="701">
        <f t="shared" ca="1" si="9"/>
        <v>-7428109.6695968369</v>
      </c>
      <c r="P36" s="701">
        <f t="shared" ca="1" si="9"/>
        <v>-7475902.3508714754</v>
      </c>
      <c r="Q36" s="701">
        <f t="shared" ca="1" si="9"/>
        <v>-7524002.5316964788</v>
      </c>
      <c r="R36" s="701">
        <f t="shared" ca="1" si="9"/>
        <v>-7572412.190533217</v>
      </c>
      <c r="S36" s="701">
        <f t="shared" ca="1" si="9"/>
        <v>-7487661.7353797043</v>
      </c>
      <c r="T36" s="701">
        <f t="shared" ca="1" si="9"/>
        <v>-7535837.5764387166</v>
      </c>
      <c r="U36" s="701">
        <f t="shared" ca="1" si="9"/>
        <v>-7584323.3823096836</v>
      </c>
      <c r="V36" s="701">
        <f t="shared" ca="1" si="9"/>
        <v>-7633121.1473155124</v>
      </c>
      <c r="W36" s="701">
        <f t="shared" ca="1" si="9"/>
        <v>-7682232.8786106706</v>
      </c>
      <c r="X36" s="701">
        <f t="shared" ca="1" si="9"/>
        <v>-7731660.596263702</v>
      </c>
      <c r="Y36" s="701">
        <f t="shared" ca="1" si="9"/>
        <v>-7781406.3333403254</v>
      </c>
      <c r="Z36" s="701">
        <f t="shared" ca="1" si="9"/>
        <v>-7831472.1359870769</v>
      </c>
      <c r="AA36" s="701">
        <f t="shared" ca="1" si="9"/>
        <v>-7881860.0635154601</v>
      </c>
      <c r="AB36" s="701">
        <f t="shared" ca="1" si="9"/>
        <v>-7932572.1884866469</v>
      </c>
      <c r="AC36" s="701">
        <f t="shared" ca="1" si="9"/>
        <v>-7983610.5967967445</v>
      </c>
      <c r="AD36" s="701">
        <f t="shared" ca="1" si="9"/>
        <v>-8027725.0153426398</v>
      </c>
      <c r="AE36" s="701">
        <f t="shared" ca="1" si="9"/>
        <v>-7905110.5157902483</v>
      </c>
      <c r="AF36" s="701">
        <f t="shared" ca="1" si="9"/>
        <v>-7934780.8134089541</v>
      </c>
      <c r="AG36" s="701">
        <f t="shared" ca="1" si="9"/>
        <v>-7956924.2310360447</v>
      </c>
      <c r="AH36" s="701">
        <f t="shared" ca="1" si="9"/>
        <v>-7971782.054261893</v>
      </c>
      <c r="AI36" s="701">
        <f t="shared" ca="1" si="9"/>
        <v>-7968665.4116012892</v>
      </c>
      <c r="AJ36" s="701">
        <f t="shared" ca="1" si="9"/>
        <v>-7956588.0071855299</v>
      </c>
      <c r="AK36" s="701">
        <f t="shared" ca="1" si="9"/>
        <v>-7938437.1463507097</v>
      </c>
      <c r="AL36" s="701">
        <f t="shared" ca="1" si="9"/>
        <v>-7939093.90440745</v>
      </c>
      <c r="AM36" s="701">
        <f t="shared" ca="1" si="9"/>
        <v>-7939175.1796179768</v>
      </c>
      <c r="AN36" s="701">
        <f t="shared" ca="1" si="9"/>
        <v>-7939485.6899443073</v>
      </c>
      <c r="AO36" s="701">
        <f t="shared" ca="1" si="9"/>
        <v>-7931934.0196129996</v>
      </c>
      <c r="AP36" s="701">
        <f t="shared" ca="1" si="9"/>
        <v>-7924602.71624876</v>
      </c>
      <c r="AQ36" s="701">
        <f t="shared" ca="1" si="9"/>
        <v>-7914707.6438863669</v>
      </c>
      <c r="AR36" s="701">
        <f t="shared" ca="1" si="9"/>
        <v>-7902027.1725034323</v>
      </c>
      <c r="AS36" s="701">
        <f t="shared" ca="1" si="9"/>
        <v>-7886230.4933884339</v>
      </c>
      <c r="AT36" s="701">
        <f t="shared" ca="1" si="9"/>
        <v>-7866639.0048694154</v>
      </c>
      <c r="AU36" s="701">
        <f t="shared" ca="1" si="9"/>
        <v>-7844577.1604461735</v>
      </c>
      <c r="AV36" s="701">
        <f t="shared" ca="1" si="9"/>
        <v>-7820653.9142296286</v>
      </c>
      <c r="AW36" s="701">
        <f t="shared" ca="1" si="9"/>
        <v>-7795005.2351710023</v>
      </c>
      <c r="AX36" s="701">
        <f t="shared" ca="1" si="9"/>
        <v>-7769895.8249977501</v>
      </c>
      <c r="AY36" s="701">
        <f t="shared" ca="1" si="9"/>
        <v>-7744872.1079540038</v>
      </c>
      <c r="AZ36" s="701">
        <f t="shared" ca="1" si="9"/>
        <v>-7720652.1815447491</v>
      </c>
      <c r="BA36" s="701">
        <f t="shared" ca="1" si="9"/>
        <v>0</v>
      </c>
      <c r="BB36" s="701">
        <f t="shared" ca="1" si="9"/>
        <v>0</v>
      </c>
      <c r="BC36" s="701">
        <f t="shared" ca="1" si="9"/>
        <v>0</v>
      </c>
      <c r="BD36" s="701">
        <f t="shared" ca="1" si="9"/>
        <v>0</v>
      </c>
      <c r="BE36" s="701">
        <f t="shared" ca="1" si="9"/>
        <v>0</v>
      </c>
      <c r="BF36" s="701">
        <f t="shared" ca="1" si="9"/>
        <v>0</v>
      </c>
      <c r="BG36" s="701">
        <f t="shared" ca="1" si="9"/>
        <v>0</v>
      </c>
      <c r="BH36" s="701">
        <f t="shared" ca="1" si="9"/>
        <v>0</v>
      </c>
      <c r="BI36" s="701">
        <f t="shared" ca="1" si="9"/>
        <v>0</v>
      </c>
      <c r="BJ36" s="701">
        <f t="shared" ca="1" si="9"/>
        <v>0</v>
      </c>
      <c r="BK36" s="701">
        <f t="shared" ca="1" si="9"/>
        <v>0</v>
      </c>
      <c r="BL36" s="701">
        <f t="shared" ca="1" si="9"/>
        <v>0</v>
      </c>
    </row>
    <row r="37" spans="1:64">
      <c r="A37" s="774" t="s">
        <v>639</v>
      </c>
      <c r="B37" s="701">
        <f ca="1">SUM(D37:BL37)</f>
        <v>1149276.0139407997</v>
      </c>
      <c r="C37" s="699"/>
      <c r="D37" s="701">
        <f>IF(D23&gt;0,MIN(D23*$B$27,-D36),0)</f>
        <v>0</v>
      </c>
      <c r="E37" s="701">
        <f t="shared" ref="E37:BL37" ca="1" si="10">IF(E23&gt;0,IF(E23&gt;-E35,-E35,E23),0)</f>
        <v>0</v>
      </c>
      <c r="F37" s="701">
        <f t="shared" ca="1" si="10"/>
        <v>0</v>
      </c>
      <c r="G37" s="701">
        <f t="shared" ca="1" si="10"/>
        <v>0</v>
      </c>
      <c r="H37" s="701">
        <f t="shared" ca="1" si="10"/>
        <v>0</v>
      </c>
      <c r="I37" s="701">
        <f t="shared" ca="1" si="10"/>
        <v>0</v>
      </c>
      <c r="J37" s="701">
        <f t="shared" ca="1" si="10"/>
        <v>0</v>
      </c>
      <c r="K37" s="701">
        <f t="shared" ca="1" si="10"/>
        <v>0</v>
      </c>
      <c r="L37" s="701">
        <f t="shared" ca="1" si="10"/>
        <v>0</v>
      </c>
      <c r="M37" s="701">
        <f t="shared" ca="1" si="10"/>
        <v>0</v>
      </c>
      <c r="N37" s="701">
        <f t="shared" ca="1" si="10"/>
        <v>0</v>
      </c>
      <c r="O37" s="701">
        <f t="shared" ca="1" si="10"/>
        <v>0</v>
      </c>
      <c r="P37" s="701">
        <f t="shared" ca="1" si="10"/>
        <v>0</v>
      </c>
      <c r="Q37" s="701">
        <f t="shared" ca="1" si="10"/>
        <v>0</v>
      </c>
      <c r="R37" s="701">
        <f t="shared" ca="1" si="10"/>
        <v>48409.658836677576</v>
      </c>
      <c r="S37" s="701">
        <f t="shared" ca="1" si="10"/>
        <v>0</v>
      </c>
      <c r="T37" s="701">
        <f t="shared" ca="1" si="10"/>
        <v>0</v>
      </c>
      <c r="U37" s="701">
        <f t="shared" ca="1" si="10"/>
        <v>0</v>
      </c>
      <c r="V37" s="701">
        <f t="shared" ca="1" si="10"/>
        <v>0</v>
      </c>
      <c r="W37" s="701">
        <f t="shared" ca="1" si="10"/>
        <v>0</v>
      </c>
      <c r="X37" s="701">
        <f t="shared" ca="1" si="10"/>
        <v>0</v>
      </c>
      <c r="Y37" s="701">
        <f t="shared" ca="1" si="10"/>
        <v>0</v>
      </c>
      <c r="Z37" s="701">
        <f t="shared" ca="1" si="10"/>
        <v>0</v>
      </c>
      <c r="AA37" s="701">
        <f t="shared" ca="1" si="10"/>
        <v>0</v>
      </c>
      <c r="AB37" s="701">
        <f t="shared" ca="1" si="10"/>
        <v>0</v>
      </c>
      <c r="AC37" s="701">
        <f t="shared" ca="1" si="10"/>
        <v>7206.0087427061371</v>
      </c>
      <c r="AD37" s="701">
        <f t="shared" ca="1" si="10"/>
        <v>51320.427289105945</v>
      </c>
      <c r="AE37" s="701">
        <f t="shared" ca="1" si="10"/>
        <v>21055.946865947888</v>
      </c>
      <c r="AF37" s="701">
        <f t="shared" ca="1" si="10"/>
        <v>28724.387467987923</v>
      </c>
      <c r="AG37" s="701">
        <f t="shared" ca="1" si="10"/>
        <v>36104.966417679243</v>
      </c>
      <c r="AH37" s="701">
        <f t="shared" ca="1" si="10"/>
        <v>50962.789644443896</v>
      </c>
      <c r="AI37" s="701">
        <f t="shared" ca="1" si="10"/>
        <v>50942.865265775727</v>
      </c>
      <c r="AJ37" s="701">
        <f t="shared" ca="1" si="10"/>
        <v>50865.655651099645</v>
      </c>
      <c r="AK37" s="701">
        <f t="shared" ca="1" si="10"/>
        <v>50097.05957852221</v>
      </c>
      <c r="AL37" s="701">
        <f t="shared" ca="1" si="10"/>
        <v>50673.06200911761</v>
      </c>
      <c r="AM37" s="701">
        <f t="shared" ca="1" si="10"/>
        <v>50445.81195463457</v>
      </c>
      <c r="AN37" s="701">
        <f t="shared" ca="1" si="10"/>
        <v>50756.32228121267</v>
      </c>
      <c r="AO37" s="701">
        <f t="shared" ca="1" si="10"/>
        <v>50708.045222966597</v>
      </c>
      <c r="AP37" s="701">
        <f t="shared" ca="1" si="10"/>
        <v>50661.176948266133</v>
      </c>
      <c r="AQ37" s="701">
        <f t="shared" ca="1" si="10"/>
        <v>50597.918759834909</v>
      </c>
      <c r="AR37" s="701">
        <f t="shared" ca="1" si="10"/>
        <v>50516.853799543453</v>
      </c>
      <c r="AS37" s="701">
        <f t="shared" ca="1" si="10"/>
        <v>50415.867241037617</v>
      </c>
      <c r="AT37" s="701">
        <f t="shared" ca="1" si="10"/>
        <v>50290.620853038032</v>
      </c>
      <c r="AU37" s="701">
        <f t="shared" ca="1" si="10"/>
        <v>50149.581731690116</v>
      </c>
      <c r="AV37" s="701">
        <f t="shared" ca="1" si="10"/>
        <v>49996.642858518811</v>
      </c>
      <c r="AW37" s="701">
        <f t="shared" ca="1" si="10"/>
        <v>49832.673469162044</v>
      </c>
      <c r="AX37" s="701">
        <f t="shared" ca="1" si="10"/>
        <v>49672.151570790345</v>
      </c>
      <c r="AY37" s="701">
        <f t="shared" ca="1" si="10"/>
        <v>49512.17749985589</v>
      </c>
      <c r="AZ37" s="701">
        <f t="shared" ca="1" si="10"/>
        <v>49357.341980470504</v>
      </c>
      <c r="BA37" s="701">
        <f t="shared" ca="1" si="10"/>
        <v>0</v>
      </c>
      <c r="BB37" s="701">
        <f t="shared" ca="1" si="10"/>
        <v>0</v>
      </c>
      <c r="BC37" s="701">
        <f t="shared" ca="1" si="10"/>
        <v>0</v>
      </c>
      <c r="BD37" s="701">
        <f t="shared" ca="1" si="10"/>
        <v>0</v>
      </c>
      <c r="BE37" s="701">
        <f t="shared" ca="1" si="10"/>
        <v>0</v>
      </c>
      <c r="BF37" s="701">
        <f t="shared" ca="1" si="10"/>
        <v>0</v>
      </c>
      <c r="BG37" s="701">
        <f t="shared" ca="1" si="10"/>
        <v>0</v>
      </c>
      <c r="BH37" s="701">
        <f t="shared" ca="1" si="10"/>
        <v>0</v>
      </c>
      <c r="BI37" s="701">
        <f t="shared" ca="1" si="10"/>
        <v>0</v>
      </c>
      <c r="BJ37" s="701">
        <f t="shared" ca="1" si="10"/>
        <v>0</v>
      </c>
      <c r="BK37" s="701">
        <f t="shared" ca="1" si="10"/>
        <v>0</v>
      </c>
      <c r="BL37" s="701">
        <f t="shared" ca="1" si="10"/>
        <v>0</v>
      </c>
    </row>
    <row r="38" spans="1:64">
      <c r="A38" s="813" t="s">
        <v>707</v>
      </c>
      <c r="B38" s="701"/>
      <c r="C38" s="699"/>
      <c r="D38" s="701"/>
      <c r="E38" s="790">
        <f ca="1">IF(E37=0,0,E37/-E33*12)</f>
        <v>0</v>
      </c>
      <c r="F38" s="790">
        <f t="shared" ref="F38:BL38" ca="1" si="11">IF(F37=0,0,F37/-F33*12)</f>
        <v>0</v>
      </c>
      <c r="G38" s="790">
        <f t="shared" ca="1" si="11"/>
        <v>0</v>
      </c>
      <c r="H38" s="790">
        <f t="shared" ca="1" si="11"/>
        <v>0</v>
      </c>
      <c r="I38" s="790">
        <f t="shared" ca="1" si="11"/>
        <v>0</v>
      </c>
      <c r="J38" s="790">
        <f t="shared" ca="1" si="11"/>
        <v>0</v>
      </c>
      <c r="K38" s="790">
        <f t="shared" ca="1" si="11"/>
        <v>0</v>
      </c>
      <c r="L38" s="790">
        <f t="shared" ca="1" si="11"/>
        <v>0</v>
      </c>
      <c r="M38" s="790">
        <f t="shared" ca="1" si="11"/>
        <v>0</v>
      </c>
      <c r="N38" s="790">
        <f t="shared" ca="1" si="11"/>
        <v>0</v>
      </c>
      <c r="O38" s="790">
        <f t="shared" ca="1" si="11"/>
        <v>0</v>
      </c>
      <c r="P38" s="790">
        <f t="shared" ca="1" si="11"/>
        <v>0</v>
      </c>
      <c r="Q38" s="790">
        <f t="shared" ca="1" si="11"/>
        <v>0</v>
      </c>
      <c r="R38" s="790">
        <f t="shared" ca="1" si="11"/>
        <v>7.7208361320041163E-2</v>
      </c>
      <c r="S38" s="790">
        <f t="shared" ca="1" si="11"/>
        <v>0</v>
      </c>
      <c r="T38" s="790">
        <f t="shared" ca="1" si="11"/>
        <v>0</v>
      </c>
      <c r="U38" s="790">
        <f t="shared" ca="1" si="11"/>
        <v>0</v>
      </c>
      <c r="V38" s="790">
        <f t="shared" ca="1" si="11"/>
        <v>0</v>
      </c>
      <c r="W38" s="790">
        <f t="shared" ca="1" si="11"/>
        <v>0</v>
      </c>
      <c r="X38" s="790">
        <f t="shared" ca="1" si="11"/>
        <v>0</v>
      </c>
      <c r="Y38" s="790">
        <f t="shared" ca="1" si="11"/>
        <v>0</v>
      </c>
      <c r="Z38" s="790">
        <f t="shared" ca="1" si="11"/>
        <v>0</v>
      </c>
      <c r="AA38" s="790">
        <f t="shared" ca="1" si="11"/>
        <v>0</v>
      </c>
      <c r="AB38" s="790">
        <f t="shared" ca="1" si="11"/>
        <v>0</v>
      </c>
      <c r="AC38" s="790">
        <f t="shared" ca="1" si="11"/>
        <v>1.0900891017163865E-2</v>
      </c>
      <c r="AD38" s="790">
        <f t="shared" ca="1" si="11"/>
        <v>7.7208361320041163E-2</v>
      </c>
      <c r="AE38" s="790">
        <f t="shared" ca="1" si="11"/>
        <v>3.216869100526612E-2</v>
      </c>
      <c r="AF38" s="790">
        <f t="shared" ca="1" si="11"/>
        <v>4.3720226262071137E-2</v>
      </c>
      <c r="AG38" s="790">
        <f t="shared" ca="1" si="11"/>
        <v>5.48009745529522E-2</v>
      </c>
      <c r="AH38" s="790">
        <f t="shared" ca="1" si="11"/>
        <v>7.7208361320041163E-2</v>
      </c>
      <c r="AI38" s="790">
        <f t="shared" ca="1" si="11"/>
        <v>7.7208361320041163E-2</v>
      </c>
      <c r="AJ38" s="790">
        <f t="shared" ca="1" si="11"/>
        <v>7.7208361320041163E-2</v>
      </c>
      <c r="AK38" s="790">
        <f t="shared" ca="1" si="11"/>
        <v>7.6215584461408692E-2</v>
      </c>
      <c r="AL38" s="790">
        <f t="shared" ca="1" si="11"/>
        <v>7.7085513228462188E-2</v>
      </c>
      <c r="AM38" s="790">
        <f t="shared" ca="1" si="11"/>
        <v>7.6739027436526122E-2</v>
      </c>
      <c r="AN38" s="790">
        <f t="shared" ca="1" si="11"/>
        <v>7.7208361320041163E-2</v>
      </c>
      <c r="AO38" s="790">
        <f t="shared" ca="1" si="11"/>
        <v>7.7208361320041163E-2</v>
      </c>
      <c r="AP38" s="790">
        <f t="shared" ca="1" si="11"/>
        <v>7.7208361320041163E-2</v>
      </c>
      <c r="AQ38" s="790">
        <f t="shared" ca="1" si="11"/>
        <v>7.7208361320041163E-2</v>
      </c>
      <c r="AR38" s="790">
        <f t="shared" ca="1" si="11"/>
        <v>7.7208361320041163E-2</v>
      </c>
      <c r="AS38" s="790">
        <f t="shared" ca="1" si="11"/>
        <v>7.7208361320041163E-2</v>
      </c>
      <c r="AT38" s="790">
        <f t="shared" ca="1" si="11"/>
        <v>7.7208361320041163E-2</v>
      </c>
      <c r="AU38" s="790">
        <f t="shared" ca="1" si="11"/>
        <v>7.7208361320041163E-2</v>
      </c>
      <c r="AV38" s="790">
        <f t="shared" ca="1" si="11"/>
        <v>7.7208361320041163E-2</v>
      </c>
      <c r="AW38" s="790">
        <f t="shared" ca="1" si="11"/>
        <v>7.7208361320041163E-2</v>
      </c>
      <c r="AX38" s="790">
        <f t="shared" ca="1" si="11"/>
        <v>7.7208361320041163E-2</v>
      </c>
      <c r="AY38" s="790">
        <f t="shared" ca="1" si="11"/>
        <v>7.7208361320041163E-2</v>
      </c>
      <c r="AZ38" s="790">
        <f t="shared" ca="1" si="11"/>
        <v>7.7208361320041163E-2</v>
      </c>
      <c r="BA38" s="790">
        <f t="shared" ca="1" si="11"/>
        <v>0</v>
      </c>
      <c r="BB38" s="790">
        <f t="shared" ca="1" si="11"/>
        <v>0</v>
      </c>
      <c r="BC38" s="790">
        <f t="shared" ca="1" si="11"/>
        <v>0</v>
      </c>
      <c r="BD38" s="790">
        <f t="shared" ca="1" si="11"/>
        <v>0</v>
      </c>
      <c r="BE38" s="790">
        <f t="shared" ca="1" si="11"/>
        <v>0</v>
      </c>
      <c r="BF38" s="790">
        <f t="shared" ca="1" si="11"/>
        <v>0</v>
      </c>
      <c r="BG38" s="790">
        <f t="shared" ca="1" si="11"/>
        <v>0</v>
      </c>
      <c r="BH38" s="790">
        <f t="shared" ca="1" si="11"/>
        <v>0</v>
      </c>
      <c r="BI38" s="790">
        <f t="shared" ca="1" si="11"/>
        <v>0</v>
      </c>
      <c r="BJ38" s="790">
        <f t="shared" ca="1" si="11"/>
        <v>0</v>
      </c>
      <c r="BK38" s="790">
        <f t="shared" ca="1" si="11"/>
        <v>0</v>
      </c>
      <c r="BL38" s="790">
        <f t="shared" ca="1" si="11"/>
        <v>0</v>
      </c>
    </row>
    <row r="39" spans="1:64">
      <c r="A39" s="774" t="s">
        <v>640</v>
      </c>
      <c r="B39" s="701">
        <f ca="1">SUM(D39:BL39)</f>
        <v>8127900.3967932286</v>
      </c>
      <c r="C39" s="699"/>
      <c r="D39" s="701">
        <v>0</v>
      </c>
      <c r="E39" s="701">
        <f t="shared" ref="E39:BL39" ca="1" si="12">IF(E23-E37&gt;-D40,-D40,E23-E37)</f>
        <v>0</v>
      </c>
      <c r="F39" s="701">
        <f t="shared" ca="1" si="12"/>
        <v>0</v>
      </c>
      <c r="G39" s="701">
        <f t="shared" ca="1" si="12"/>
        <v>0</v>
      </c>
      <c r="H39" s="701">
        <f t="shared" ca="1" si="12"/>
        <v>0</v>
      </c>
      <c r="I39" s="701">
        <f t="shared" ca="1" si="12"/>
        <v>0</v>
      </c>
      <c r="J39" s="701">
        <f t="shared" ca="1" si="12"/>
        <v>0</v>
      </c>
      <c r="K39" s="701">
        <f t="shared" ca="1" si="12"/>
        <v>0</v>
      </c>
      <c r="L39" s="701">
        <f t="shared" ca="1" si="12"/>
        <v>0</v>
      </c>
      <c r="M39" s="701">
        <f t="shared" ca="1" si="12"/>
        <v>0</v>
      </c>
      <c r="N39" s="701">
        <f t="shared" ca="1" si="12"/>
        <v>0</v>
      </c>
      <c r="O39" s="701">
        <f t="shared" ca="1" si="12"/>
        <v>0</v>
      </c>
      <c r="P39" s="701">
        <f t="shared" ca="1" si="12"/>
        <v>0</v>
      </c>
      <c r="Q39" s="701">
        <f t="shared" ca="1" si="12"/>
        <v>0</v>
      </c>
      <c r="R39" s="701">
        <f t="shared" ca="1" si="12"/>
        <v>84208.65413733173</v>
      </c>
      <c r="S39" s="701">
        <f t="shared" ca="1" si="12"/>
        <v>0</v>
      </c>
      <c r="T39" s="701">
        <f t="shared" ca="1" si="12"/>
        <v>0</v>
      </c>
      <c r="U39" s="701">
        <f t="shared" ca="1" si="12"/>
        <v>0</v>
      </c>
      <c r="V39" s="701">
        <f t="shared" ca="1" si="12"/>
        <v>0</v>
      </c>
      <c r="W39" s="701">
        <f t="shared" ca="1" si="12"/>
        <v>0</v>
      </c>
      <c r="X39" s="701">
        <f t="shared" ca="1" si="12"/>
        <v>0</v>
      </c>
      <c r="Y39" s="701">
        <f t="shared" ca="1" si="12"/>
        <v>0</v>
      </c>
      <c r="Z39" s="701">
        <f t="shared" ca="1" si="12"/>
        <v>0</v>
      </c>
      <c r="AA39" s="701">
        <f t="shared" ca="1" si="12"/>
        <v>0</v>
      </c>
      <c r="AB39" s="701">
        <f t="shared" ca="1" si="12"/>
        <v>0</v>
      </c>
      <c r="AC39" s="701">
        <f t="shared" ca="1" si="12"/>
        <v>0</v>
      </c>
      <c r="AD39" s="701">
        <f t="shared" ca="1" si="12"/>
        <v>121830.63756138863</v>
      </c>
      <c r="AE39" s="701">
        <f t="shared" ca="1" si="12"/>
        <v>0</v>
      </c>
      <c r="AF39" s="701">
        <f t="shared" ca="1" si="12"/>
        <v>0</v>
      </c>
      <c r="AG39" s="701">
        <f t="shared" ca="1" si="12"/>
        <v>0</v>
      </c>
      <c r="AH39" s="701">
        <f t="shared" ca="1" si="12"/>
        <v>3096.7182809322694</v>
      </c>
      <c r="AI39" s="701">
        <f t="shared" ca="1" si="12"/>
        <v>12000.194800012359</v>
      </c>
      <c r="AJ39" s="701">
        <f t="shared" ca="1" si="12"/>
        <v>18034.824231602965</v>
      </c>
      <c r="AK39" s="701">
        <f t="shared" ca="1" si="12"/>
        <v>0</v>
      </c>
      <c r="AL39" s="701">
        <f t="shared" ca="1" si="12"/>
        <v>0</v>
      </c>
      <c r="AM39" s="701">
        <f t="shared" ca="1" si="12"/>
        <v>0</v>
      </c>
      <c r="AN39" s="701">
        <f t="shared" ca="1" si="12"/>
        <v>7503.3932735505005</v>
      </c>
      <c r="AO39" s="701">
        <f t="shared" ca="1" si="12"/>
        <v>7284.4350910807407</v>
      </c>
      <c r="AP39" s="701">
        <f t="shared" ca="1" si="12"/>
        <v>9831.8141769010836</v>
      </c>
      <c r="AQ39" s="701">
        <f t="shared" ca="1" si="12"/>
        <v>12599.406427289345</v>
      </c>
      <c r="AR39" s="701">
        <f t="shared" ca="1" si="12"/>
        <v>15695.692563069249</v>
      </c>
      <c r="AS39" s="701">
        <f t="shared" ca="1" si="12"/>
        <v>19466.242139592854</v>
      </c>
      <c r="AT39" s="701">
        <f t="shared" ca="1" si="12"/>
        <v>21920.805312353878</v>
      </c>
      <c r="AU39" s="701">
        <f t="shared" ca="1" si="12"/>
        <v>23770.307355419827</v>
      </c>
      <c r="AV39" s="701">
        <f t="shared" ca="1" si="12"/>
        <v>25484.709682479559</v>
      </c>
      <c r="AW39" s="701">
        <f t="shared" ca="1" si="12"/>
        <v>24948.888288878115</v>
      </c>
      <c r="AX39" s="701">
        <f t="shared" ca="1" si="12"/>
        <v>24863.742987301448</v>
      </c>
      <c r="AY39" s="701">
        <f t="shared" ca="1" si="12"/>
        <v>24065.090904736287</v>
      </c>
      <c r="AZ39" s="701">
        <f t="shared" ca="1" si="12"/>
        <v>7671294.8395642787</v>
      </c>
      <c r="BA39" s="701">
        <f t="shared" ca="1" si="12"/>
        <v>0</v>
      </c>
      <c r="BB39" s="701">
        <f t="shared" ca="1" si="12"/>
        <v>0</v>
      </c>
      <c r="BC39" s="701">
        <f t="shared" ca="1" si="12"/>
        <v>0</v>
      </c>
      <c r="BD39" s="701">
        <f t="shared" ca="1" si="12"/>
        <v>0</v>
      </c>
      <c r="BE39" s="701">
        <f t="shared" ca="1" si="12"/>
        <v>0</v>
      </c>
      <c r="BF39" s="701">
        <f t="shared" ca="1" si="12"/>
        <v>0</v>
      </c>
      <c r="BG39" s="701">
        <f t="shared" ca="1" si="12"/>
        <v>0</v>
      </c>
      <c r="BH39" s="701">
        <f t="shared" ca="1" si="12"/>
        <v>0</v>
      </c>
      <c r="BI39" s="701">
        <f t="shared" ca="1" si="12"/>
        <v>0</v>
      </c>
      <c r="BJ39" s="701">
        <f t="shared" ca="1" si="12"/>
        <v>0</v>
      </c>
      <c r="BK39" s="701">
        <f t="shared" ca="1" si="12"/>
        <v>0</v>
      </c>
      <c r="BL39" s="701">
        <f t="shared" ca="1" si="12"/>
        <v>0</v>
      </c>
    </row>
    <row r="40" spans="1:64">
      <c r="A40" s="774" t="s">
        <v>641</v>
      </c>
      <c r="B40" s="701"/>
      <c r="C40" s="703"/>
      <c r="D40" s="754">
        <f ca="1">SUM(D36:D37,D39)</f>
        <v>-6170830.5186084136</v>
      </c>
      <c r="E40" s="754">
        <f t="shared" ref="E40:BL40" ca="1" si="13">SUM(E36:E37,E39)</f>
        <v>-6966669.0108298985</v>
      </c>
      <c r="F40" s="754">
        <f t="shared" ca="1" si="13"/>
        <v>-7011492.7690120069</v>
      </c>
      <c r="G40" s="754">
        <f t="shared" ca="1" si="13"/>
        <v>-7056604.9246039009</v>
      </c>
      <c r="H40" s="754">
        <f t="shared" ca="1" si="13"/>
        <v>-7102007.3331632018</v>
      </c>
      <c r="I40" s="754">
        <f t="shared" ca="1" si="13"/>
        <v>-7147701.8621862382</v>
      </c>
      <c r="J40" s="754">
        <f t="shared" ca="1" si="13"/>
        <v>-7193690.3911848748</v>
      </c>
      <c r="K40" s="754">
        <f t="shared" ca="1" si="13"/>
        <v>-7239974.8117638007</v>
      </c>
      <c r="L40" s="754">
        <f t="shared" ca="1" si="13"/>
        <v>-7286557.0276983585</v>
      </c>
      <c r="M40" s="754">
        <f t="shared" ca="1" si="13"/>
        <v>-7333438.9550128486</v>
      </c>
      <c r="N40" s="754">
        <f t="shared" ca="1" si="13"/>
        <v>-7380622.5220593009</v>
      </c>
      <c r="O40" s="754">
        <f t="shared" ca="1" si="13"/>
        <v>-7428109.6695968369</v>
      </c>
      <c r="P40" s="754">
        <f t="shared" ca="1" si="13"/>
        <v>-7475902.3508714754</v>
      </c>
      <c r="Q40" s="754">
        <f t="shared" ca="1" si="13"/>
        <v>-7524002.5316964788</v>
      </c>
      <c r="R40" s="754">
        <f t="shared" ca="1" si="13"/>
        <v>-7439793.8775592074</v>
      </c>
      <c r="S40" s="754">
        <f t="shared" ca="1" si="13"/>
        <v>-7487661.7353797043</v>
      </c>
      <c r="T40" s="754">
        <f t="shared" ca="1" si="13"/>
        <v>-7535837.5764387166</v>
      </c>
      <c r="U40" s="754">
        <f t="shared" ca="1" si="13"/>
        <v>-7584323.3823096836</v>
      </c>
      <c r="V40" s="754">
        <f t="shared" ca="1" si="13"/>
        <v>-7633121.1473155124</v>
      </c>
      <c r="W40" s="754">
        <f t="shared" ca="1" si="13"/>
        <v>-7682232.8786106706</v>
      </c>
      <c r="X40" s="754">
        <f t="shared" ca="1" si="13"/>
        <v>-7731660.596263702</v>
      </c>
      <c r="Y40" s="754">
        <f t="shared" ca="1" si="13"/>
        <v>-7781406.3333403254</v>
      </c>
      <c r="Z40" s="754">
        <f t="shared" ca="1" si="13"/>
        <v>-7831472.1359870769</v>
      </c>
      <c r="AA40" s="754">
        <f t="shared" ca="1" si="13"/>
        <v>-7881860.0635154601</v>
      </c>
      <c r="AB40" s="754">
        <f t="shared" ca="1" si="13"/>
        <v>-7932572.1884866469</v>
      </c>
      <c r="AC40" s="754">
        <f t="shared" ca="1" si="13"/>
        <v>-7976404.5880540386</v>
      </c>
      <c r="AD40" s="754">
        <f t="shared" ca="1" si="13"/>
        <v>-7854573.9504921455</v>
      </c>
      <c r="AE40" s="754">
        <f t="shared" ca="1" si="13"/>
        <v>-7884054.5689243004</v>
      </c>
      <c r="AF40" s="754">
        <f t="shared" ca="1" si="13"/>
        <v>-7906056.4259409662</v>
      </c>
      <c r="AG40" s="754">
        <f t="shared" ca="1" si="13"/>
        <v>-7920819.2646183651</v>
      </c>
      <c r="AH40" s="754">
        <f t="shared" ca="1" si="13"/>
        <v>-7917722.5463365167</v>
      </c>
      <c r="AI40" s="754">
        <f t="shared" ca="1" si="13"/>
        <v>-7905722.351535501</v>
      </c>
      <c r="AJ40" s="754">
        <f t="shared" ca="1" si="13"/>
        <v>-7887687.5273028268</v>
      </c>
      <c r="AK40" s="754">
        <f t="shared" ca="1" si="13"/>
        <v>-7888340.0867721876</v>
      </c>
      <c r="AL40" s="754">
        <f t="shared" ca="1" si="13"/>
        <v>-7888420.8423983324</v>
      </c>
      <c r="AM40" s="754">
        <f t="shared" ca="1" si="13"/>
        <v>-7888729.3676633425</v>
      </c>
      <c r="AN40" s="754">
        <f t="shared" ca="1" si="13"/>
        <v>-7881225.9743895447</v>
      </c>
      <c r="AO40" s="754">
        <f t="shared" ca="1" si="13"/>
        <v>-7873941.5392989516</v>
      </c>
      <c r="AP40" s="754">
        <f t="shared" ca="1" si="13"/>
        <v>-7864109.7251235927</v>
      </c>
      <c r="AQ40" s="754">
        <f t="shared" ca="1" si="13"/>
        <v>-7851510.3186992425</v>
      </c>
      <c r="AR40" s="754">
        <f t="shared" ca="1" si="13"/>
        <v>-7835814.6261408199</v>
      </c>
      <c r="AS40" s="754">
        <f t="shared" ca="1" si="13"/>
        <v>-7816348.3840078032</v>
      </c>
      <c r="AT40" s="754">
        <f t="shared" ca="1" si="13"/>
        <v>-7794427.5787040237</v>
      </c>
      <c r="AU40" s="754">
        <f t="shared" ca="1" si="13"/>
        <v>-7770657.2713590637</v>
      </c>
      <c r="AV40" s="754">
        <f t="shared" ca="1" si="13"/>
        <v>-7745172.5616886299</v>
      </c>
      <c r="AW40" s="754">
        <f t="shared" ca="1" si="13"/>
        <v>-7720223.6734129628</v>
      </c>
      <c r="AX40" s="754">
        <f t="shared" ca="1" si="13"/>
        <v>-7695359.9304396585</v>
      </c>
      <c r="AY40" s="754">
        <f t="shared" ca="1" si="13"/>
        <v>-7671294.839549412</v>
      </c>
      <c r="AZ40" s="754">
        <f t="shared" ca="1" si="13"/>
        <v>0</v>
      </c>
      <c r="BA40" s="754">
        <f t="shared" ca="1" si="13"/>
        <v>0</v>
      </c>
      <c r="BB40" s="754">
        <f t="shared" ca="1" si="13"/>
        <v>0</v>
      </c>
      <c r="BC40" s="754">
        <f t="shared" ca="1" si="13"/>
        <v>0</v>
      </c>
      <c r="BD40" s="754">
        <f t="shared" ca="1" si="13"/>
        <v>0</v>
      </c>
      <c r="BE40" s="754">
        <f t="shared" ca="1" si="13"/>
        <v>0</v>
      </c>
      <c r="BF40" s="754">
        <f t="shared" ca="1" si="13"/>
        <v>0</v>
      </c>
      <c r="BG40" s="754">
        <f t="shared" ca="1" si="13"/>
        <v>0</v>
      </c>
      <c r="BH40" s="754">
        <f t="shared" ca="1" si="13"/>
        <v>0</v>
      </c>
      <c r="BI40" s="754">
        <f t="shared" ca="1" si="13"/>
        <v>0</v>
      </c>
      <c r="BJ40" s="754">
        <f t="shared" ca="1" si="13"/>
        <v>0</v>
      </c>
      <c r="BK40" s="754">
        <f t="shared" ca="1" si="13"/>
        <v>0</v>
      </c>
      <c r="BL40" s="754">
        <f t="shared" ca="1" si="13"/>
        <v>0</v>
      </c>
    </row>
    <row r="41" spans="1:64">
      <c r="A41" s="774" t="s">
        <v>642</v>
      </c>
      <c r="B41" s="701"/>
      <c r="C41" s="703"/>
      <c r="D41" s="754">
        <f>SUM(D37:D39)</f>
        <v>0</v>
      </c>
      <c r="E41" s="754">
        <f ca="1">SUM(E37:E39)</f>
        <v>0</v>
      </c>
      <c r="F41" s="754">
        <f t="shared" ref="F41:BL41" ca="1" si="14">SUM(F37:F39)</f>
        <v>0</v>
      </c>
      <c r="G41" s="754">
        <f t="shared" ca="1" si="14"/>
        <v>0</v>
      </c>
      <c r="H41" s="754">
        <f t="shared" ca="1" si="14"/>
        <v>0</v>
      </c>
      <c r="I41" s="754">
        <f t="shared" ca="1" si="14"/>
        <v>0</v>
      </c>
      <c r="J41" s="754">
        <f t="shared" ca="1" si="14"/>
        <v>0</v>
      </c>
      <c r="K41" s="754">
        <f t="shared" ca="1" si="14"/>
        <v>0</v>
      </c>
      <c r="L41" s="754">
        <f t="shared" ca="1" si="14"/>
        <v>0</v>
      </c>
      <c r="M41" s="754">
        <f t="shared" ca="1" si="14"/>
        <v>0</v>
      </c>
      <c r="N41" s="754">
        <f t="shared" ca="1" si="14"/>
        <v>0</v>
      </c>
      <c r="O41" s="754">
        <f t="shared" ca="1" si="14"/>
        <v>0</v>
      </c>
      <c r="P41" s="754">
        <f t="shared" ca="1" si="14"/>
        <v>0</v>
      </c>
      <c r="Q41" s="754">
        <f t="shared" ca="1" si="14"/>
        <v>0</v>
      </c>
      <c r="R41" s="754">
        <f t="shared" ca="1" si="14"/>
        <v>132618.39018237061</v>
      </c>
      <c r="S41" s="754">
        <f t="shared" ca="1" si="14"/>
        <v>0</v>
      </c>
      <c r="T41" s="754">
        <f t="shared" ca="1" si="14"/>
        <v>0</v>
      </c>
      <c r="U41" s="754">
        <f t="shared" ca="1" si="14"/>
        <v>0</v>
      </c>
      <c r="V41" s="754">
        <f t="shared" ca="1" si="14"/>
        <v>0</v>
      </c>
      <c r="W41" s="754">
        <f t="shared" ca="1" si="14"/>
        <v>0</v>
      </c>
      <c r="X41" s="754">
        <f t="shared" ca="1" si="14"/>
        <v>0</v>
      </c>
      <c r="Y41" s="754">
        <f t="shared" ca="1" si="14"/>
        <v>0</v>
      </c>
      <c r="Z41" s="754">
        <f t="shared" ca="1" si="14"/>
        <v>0</v>
      </c>
      <c r="AA41" s="754">
        <f t="shared" ca="1" si="14"/>
        <v>0</v>
      </c>
      <c r="AB41" s="754">
        <f t="shared" ca="1" si="14"/>
        <v>0</v>
      </c>
      <c r="AC41" s="754">
        <f t="shared" ca="1" si="14"/>
        <v>7206.0196435971538</v>
      </c>
      <c r="AD41" s="754">
        <f t="shared" ca="1" si="14"/>
        <v>173151.14205885591</v>
      </c>
      <c r="AE41" s="754">
        <f t="shared" ca="1" si="14"/>
        <v>21055.979034638895</v>
      </c>
      <c r="AF41" s="754">
        <f t="shared" ca="1" si="14"/>
        <v>28724.431188214185</v>
      </c>
      <c r="AG41" s="754">
        <f t="shared" ca="1" si="14"/>
        <v>36105.021218653797</v>
      </c>
      <c r="AH41" s="754">
        <f t="shared" ca="1" si="14"/>
        <v>54059.585133737484</v>
      </c>
      <c r="AI41" s="754">
        <f t="shared" ca="1" si="14"/>
        <v>62943.137274149405</v>
      </c>
      <c r="AJ41" s="754">
        <f t="shared" ca="1" si="14"/>
        <v>68900.557091063936</v>
      </c>
      <c r="AK41" s="754">
        <f t="shared" ca="1" si="14"/>
        <v>50097.135794106674</v>
      </c>
      <c r="AL41" s="754">
        <f t="shared" ca="1" si="14"/>
        <v>50673.139094630838</v>
      </c>
      <c r="AM41" s="754">
        <f t="shared" ca="1" si="14"/>
        <v>50445.888693662004</v>
      </c>
      <c r="AN41" s="754">
        <f t="shared" ca="1" si="14"/>
        <v>58259.792763124489</v>
      </c>
      <c r="AO41" s="754">
        <f t="shared" ca="1" si="14"/>
        <v>57992.557522408657</v>
      </c>
      <c r="AP41" s="754">
        <f t="shared" ca="1" si="14"/>
        <v>60493.068333528536</v>
      </c>
      <c r="AQ41" s="754">
        <f t="shared" ca="1" si="14"/>
        <v>63197.402395485573</v>
      </c>
      <c r="AR41" s="754">
        <f t="shared" ca="1" si="14"/>
        <v>66212.623570974014</v>
      </c>
      <c r="AS41" s="754">
        <f t="shared" ca="1" si="14"/>
        <v>69882.186588991783</v>
      </c>
      <c r="AT41" s="754">
        <f t="shared" ca="1" si="14"/>
        <v>72211.503373753221</v>
      </c>
      <c r="AU41" s="754">
        <f t="shared" ca="1" si="14"/>
        <v>73919.966295471269</v>
      </c>
      <c r="AV41" s="754">
        <f t="shared" ca="1" si="14"/>
        <v>75481.429749359697</v>
      </c>
      <c r="AW41" s="754">
        <f t="shared" ca="1" si="14"/>
        <v>74781.638966401486</v>
      </c>
      <c r="AX41" s="754">
        <f t="shared" ca="1" si="14"/>
        <v>74535.97176645312</v>
      </c>
      <c r="AY41" s="754">
        <f t="shared" ca="1" si="14"/>
        <v>73577.345612953504</v>
      </c>
      <c r="AZ41" s="754">
        <f t="shared" ca="1" si="14"/>
        <v>7720652.2587531107</v>
      </c>
      <c r="BA41" s="754">
        <f t="shared" ca="1" si="14"/>
        <v>0</v>
      </c>
      <c r="BB41" s="754">
        <f t="shared" ca="1" si="14"/>
        <v>0</v>
      </c>
      <c r="BC41" s="754">
        <f t="shared" ca="1" si="14"/>
        <v>0</v>
      </c>
      <c r="BD41" s="754">
        <f t="shared" ca="1" si="14"/>
        <v>0</v>
      </c>
      <c r="BE41" s="754">
        <f t="shared" ca="1" si="14"/>
        <v>0</v>
      </c>
      <c r="BF41" s="754">
        <f t="shared" ca="1" si="14"/>
        <v>0</v>
      </c>
      <c r="BG41" s="754">
        <f t="shared" ca="1" si="14"/>
        <v>0</v>
      </c>
      <c r="BH41" s="754">
        <f t="shared" ca="1" si="14"/>
        <v>0</v>
      </c>
      <c r="BI41" s="754">
        <f t="shared" ca="1" si="14"/>
        <v>0</v>
      </c>
      <c r="BJ41" s="754">
        <f t="shared" ca="1" si="14"/>
        <v>0</v>
      </c>
      <c r="BK41" s="754">
        <f t="shared" ca="1" si="14"/>
        <v>0</v>
      </c>
      <c r="BL41" s="754">
        <f t="shared" ca="1" si="14"/>
        <v>0</v>
      </c>
    </row>
    <row r="42" spans="1:64">
      <c r="A42" s="774" t="s">
        <v>675</v>
      </c>
      <c r="B42" s="790">
        <f ca="1">B27</f>
        <v>0.91338198774786483</v>
      </c>
      <c r="C42" s="703"/>
      <c r="D42" s="701">
        <f ca="1">D41*$B42</f>
        <v>0</v>
      </c>
      <c r="E42" s="701">
        <f t="shared" ref="E42:BL43" ca="1" si="15">E41*$B42</f>
        <v>0</v>
      </c>
      <c r="F42" s="701">
        <f t="shared" ca="1" si="15"/>
        <v>0</v>
      </c>
      <c r="G42" s="701">
        <f t="shared" ca="1" si="15"/>
        <v>0</v>
      </c>
      <c r="H42" s="701">
        <f t="shared" ca="1" si="15"/>
        <v>0</v>
      </c>
      <c r="I42" s="701">
        <f t="shared" ca="1" si="15"/>
        <v>0</v>
      </c>
      <c r="J42" s="701">
        <f t="shared" ca="1" si="15"/>
        <v>0</v>
      </c>
      <c r="K42" s="701">
        <f t="shared" ca="1" si="15"/>
        <v>0</v>
      </c>
      <c r="L42" s="701">
        <f t="shared" ca="1" si="15"/>
        <v>0</v>
      </c>
      <c r="M42" s="701">
        <f t="shared" ca="1" si="15"/>
        <v>0</v>
      </c>
      <c r="N42" s="701">
        <f t="shared" ca="1" si="15"/>
        <v>0</v>
      </c>
      <c r="O42" s="701">
        <f t="shared" ca="1" si="15"/>
        <v>0</v>
      </c>
      <c r="P42" s="701">
        <f t="shared" ca="1" si="15"/>
        <v>0</v>
      </c>
      <c r="Q42" s="701">
        <f t="shared" ca="1" si="15"/>
        <v>0</v>
      </c>
      <c r="R42" s="701">
        <f t="shared" ca="1" si="15"/>
        <v>121131.24883669559</v>
      </c>
      <c r="S42" s="701">
        <f t="shared" ca="1" si="15"/>
        <v>0</v>
      </c>
      <c r="T42" s="701">
        <f t="shared" ca="1" si="15"/>
        <v>0</v>
      </c>
      <c r="U42" s="701">
        <f t="shared" ca="1" si="15"/>
        <v>0</v>
      </c>
      <c r="V42" s="701">
        <f t="shared" ca="1" si="15"/>
        <v>0</v>
      </c>
      <c r="W42" s="701">
        <f t="shared" ca="1" si="15"/>
        <v>0</v>
      </c>
      <c r="X42" s="701">
        <f t="shared" ca="1" si="15"/>
        <v>0</v>
      </c>
      <c r="Y42" s="701">
        <f t="shared" ca="1" si="15"/>
        <v>0</v>
      </c>
      <c r="Z42" s="701">
        <f t="shared" ca="1" si="15"/>
        <v>0</v>
      </c>
      <c r="AA42" s="701">
        <f t="shared" ca="1" si="15"/>
        <v>0</v>
      </c>
      <c r="AB42" s="701">
        <f t="shared" ca="1" si="15"/>
        <v>0</v>
      </c>
      <c r="AC42" s="701">
        <f t="shared" ca="1" si="15"/>
        <v>6581.8485458189289</v>
      </c>
      <c r="AD42" s="701">
        <f t="shared" ca="1" si="15"/>
        <v>158153.13431453073</v>
      </c>
      <c r="AE42" s="701">
        <f t="shared" ca="1" si="15"/>
        <v>19232.151984635842</v>
      </c>
      <c r="AF42" s="701">
        <f t="shared" ca="1" si="15"/>
        <v>26236.378055617835</v>
      </c>
      <c r="AG42" s="701">
        <f t="shared" ca="1" si="15"/>
        <v>32977.676048372843</v>
      </c>
      <c r="AH42" s="701">
        <f t="shared" ca="1" si="15"/>
        <v>49377.051326278066</v>
      </c>
      <c r="AI42" s="701">
        <f t="shared" ca="1" si="15"/>
        <v>57491.127838549306</v>
      </c>
      <c r="AJ42" s="701">
        <f t="shared" ca="1" si="15"/>
        <v>62932.527792771223</v>
      </c>
      <c r="AK42" s="701">
        <f t="shared" ca="1" si="15"/>
        <v>45757.821472095864</v>
      </c>
      <c r="AL42" s="701">
        <f t="shared" ca="1" si="15"/>
        <v>46283.932511677958</v>
      </c>
      <c r="AM42" s="701">
        <f t="shared" ca="1" si="15"/>
        <v>46076.366088724542</v>
      </c>
      <c r="AN42" s="701">
        <f t="shared" ca="1" si="15"/>
        <v>53213.445319761318</v>
      </c>
      <c r="AO42" s="701">
        <f t="shared" ca="1" si="15"/>
        <v>52969.357464400011</v>
      </c>
      <c r="AP42" s="701">
        <f t="shared" ca="1" si="15"/>
        <v>55253.278999445713</v>
      </c>
      <c r="AQ42" s="701">
        <f t="shared" ca="1" si="15"/>
        <v>57723.369020490289</v>
      </c>
      <c r="AR42" s="701">
        <f t="shared" ca="1" si="15"/>
        <v>60477.417731257374</v>
      </c>
      <c r="AS42" s="701">
        <f t="shared" ca="1" si="15"/>
        <v>63829.1304948205</v>
      </c>
      <c r="AT42" s="701">
        <f t="shared" ca="1" si="15"/>
        <v>65956.686489780361</v>
      </c>
      <c r="AU42" s="701">
        <f t="shared" ca="1" si="15"/>
        <v>67517.165749212727</v>
      </c>
      <c r="AV42" s="701">
        <f t="shared" ca="1" si="15"/>
        <v>68943.378342520984</v>
      </c>
      <c r="AW42" s="701">
        <f t="shared" ca="1" si="15"/>
        <v>68304.202046174978</v>
      </c>
      <c r="AX42" s="701">
        <f t="shared" ca="1" si="15"/>
        <v>68079.814050761677</v>
      </c>
      <c r="AY42" s="701">
        <f t="shared" ca="1" si="15"/>
        <v>67204.222189171109</v>
      </c>
      <c r="AZ42" s="701">
        <f t="shared" ca="1" si="15"/>
        <v>7051904.7068099584</v>
      </c>
      <c r="BA42" s="701">
        <f t="shared" ca="1" si="15"/>
        <v>0</v>
      </c>
      <c r="BB42" s="701">
        <f t="shared" ca="1" si="15"/>
        <v>0</v>
      </c>
      <c r="BC42" s="701">
        <f t="shared" ca="1" si="15"/>
        <v>0</v>
      </c>
      <c r="BD42" s="701">
        <f t="shared" ca="1" si="15"/>
        <v>0</v>
      </c>
      <c r="BE42" s="701">
        <f t="shared" ca="1" si="15"/>
        <v>0</v>
      </c>
      <c r="BF42" s="701">
        <f t="shared" ca="1" si="15"/>
        <v>0</v>
      </c>
      <c r="BG42" s="701">
        <f t="shared" ca="1" si="15"/>
        <v>0</v>
      </c>
      <c r="BH42" s="701">
        <f t="shared" ca="1" si="15"/>
        <v>0</v>
      </c>
      <c r="BI42" s="701">
        <f t="shared" ca="1" si="15"/>
        <v>0</v>
      </c>
      <c r="BJ42" s="701">
        <f t="shared" ca="1" si="15"/>
        <v>0</v>
      </c>
      <c r="BK42" s="701">
        <f t="shared" ca="1" si="15"/>
        <v>0</v>
      </c>
      <c r="BL42" s="701">
        <f t="shared" ca="1" si="15"/>
        <v>0</v>
      </c>
    </row>
    <row r="43" spans="1:64">
      <c r="A43" s="774" t="s">
        <v>676</v>
      </c>
      <c r="B43" s="790">
        <f ca="1">B26</f>
        <v>8.6618012252135113E-2</v>
      </c>
      <c r="C43" s="703"/>
      <c r="D43" s="701">
        <f ca="1">D42*$B43</f>
        <v>0</v>
      </c>
      <c r="E43" s="701">
        <f t="shared" ca="1" si="15"/>
        <v>0</v>
      </c>
      <c r="F43" s="701">
        <f t="shared" ca="1" si="15"/>
        <v>0</v>
      </c>
      <c r="G43" s="701">
        <f t="shared" ca="1" si="15"/>
        <v>0</v>
      </c>
      <c r="H43" s="701">
        <f t="shared" ca="1" si="15"/>
        <v>0</v>
      </c>
      <c r="I43" s="701">
        <f t="shared" ca="1" si="15"/>
        <v>0</v>
      </c>
      <c r="J43" s="701">
        <f t="shared" ca="1" si="15"/>
        <v>0</v>
      </c>
      <c r="K43" s="701">
        <f t="shared" ca="1" si="15"/>
        <v>0</v>
      </c>
      <c r="L43" s="701">
        <f t="shared" ca="1" si="15"/>
        <v>0</v>
      </c>
      <c r="M43" s="701">
        <f t="shared" ca="1" si="15"/>
        <v>0</v>
      </c>
      <c r="N43" s="701">
        <f t="shared" ca="1" si="15"/>
        <v>0</v>
      </c>
      <c r="O43" s="701">
        <f t="shared" ca="1" si="15"/>
        <v>0</v>
      </c>
      <c r="P43" s="701">
        <f t="shared" ca="1" si="15"/>
        <v>0</v>
      </c>
      <c r="Q43" s="701">
        <f t="shared" ca="1" si="15"/>
        <v>0</v>
      </c>
      <c r="R43" s="701">
        <f t="shared" ca="1" si="15"/>
        <v>10492.147995853325</v>
      </c>
      <c r="S43" s="701">
        <f t="shared" ca="1" si="15"/>
        <v>0</v>
      </c>
      <c r="T43" s="701">
        <f t="shared" ca="1" si="15"/>
        <v>0</v>
      </c>
      <c r="U43" s="701">
        <f t="shared" ca="1" si="15"/>
        <v>0</v>
      </c>
      <c r="V43" s="701">
        <f t="shared" ca="1" si="15"/>
        <v>0</v>
      </c>
      <c r="W43" s="701">
        <f t="shared" ca="1" si="15"/>
        <v>0</v>
      </c>
      <c r="X43" s="701">
        <f t="shared" ca="1" si="15"/>
        <v>0</v>
      </c>
      <c r="Y43" s="701">
        <f t="shared" ca="1" si="15"/>
        <v>0</v>
      </c>
      <c r="Z43" s="701">
        <f t="shared" ca="1" si="15"/>
        <v>0</v>
      </c>
      <c r="AA43" s="701">
        <f t="shared" ca="1" si="15"/>
        <v>0</v>
      </c>
      <c r="AB43" s="701">
        <f t="shared" ca="1" si="15"/>
        <v>0</v>
      </c>
      <c r="AC43" s="701">
        <f t="shared" ca="1" si="15"/>
        <v>570.1066379834416</v>
      </c>
      <c r="AD43" s="701">
        <f t="shared" ca="1" si="15"/>
        <v>13698.910125769593</v>
      </c>
      <c r="AE43" s="701">
        <f t="shared" ca="1" si="15"/>
        <v>1665.8507762401121</v>
      </c>
      <c r="AF43" s="701">
        <f t="shared" ca="1" si="15"/>
        <v>2272.5429158731545</v>
      </c>
      <c r="AG43" s="701">
        <f t="shared" ca="1" si="15"/>
        <v>2856.4607480049017</v>
      </c>
      <c r="AH43" s="701">
        <f t="shared" ca="1" si="15"/>
        <v>4276.9420367538578</v>
      </c>
      <c r="AI43" s="701">
        <f t="shared" ca="1" si="15"/>
        <v>4979.7672155085302</v>
      </c>
      <c r="AJ43" s="701">
        <f t="shared" ca="1" si="15"/>
        <v>5451.0904634120916</v>
      </c>
      <c r="AK43" s="701">
        <f t="shared" ca="1" si="15"/>
        <v>3963.4515409010105</v>
      </c>
      <c r="AL43" s="701">
        <f t="shared" ca="1" si="15"/>
        <v>4009.022233373516</v>
      </c>
      <c r="AM43" s="701">
        <f t="shared" ca="1" si="15"/>
        <v>3991.0432424070054</v>
      </c>
      <c r="AN43" s="701">
        <f t="shared" ca="1" si="15"/>
        <v>4609.2428586854076</v>
      </c>
      <c r="AO43" s="701">
        <f t="shared" ca="1" si="15"/>
        <v>4588.1004538391244</v>
      </c>
      <c r="AP43" s="701">
        <f t="shared" ca="1" si="15"/>
        <v>4785.9291973446288</v>
      </c>
      <c r="AQ43" s="701">
        <f t="shared" ca="1" si="15"/>
        <v>4999.883485051344</v>
      </c>
      <c r="AR43" s="701">
        <f t="shared" ca="1" si="15"/>
        <v>5238.4337100235443</v>
      </c>
      <c r="AS43" s="701">
        <f t="shared" ca="1" si="15"/>
        <v>5528.7524072434926</v>
      </c>
      <c r="AT43" s="701">
        <f t="shared" ca="1" si="15"/>
        <v>5713.0370784820298</v>
      </c>
      <c r="AU43" s="701">
        <f t="shared" ca="1" si="15"/>
        <v>5848.2026900947449</v>
      </c>
      <c r="AV43" s="701">
        <f t="shared" ca="1" si="15"/>
        <v>5971.7383899760689</v>
      </c>
      <c r="AW43" s="701">
        <f t="shared" ca="1" si="15"/>
        <v>5916.3742097078966</v>
      </c>
      <c r="AX43" s="701">
        <f t="shared" ca="1" si="15"/>
        <v>5896.9381675719551</v>
      </c>
      <c r="AY43" s="701">
        <f t="shared" ca="1" si="15"/>
        <v>5821.0961409768333</v>
      </c>
      <c r="AZ43" s="701">
        <f t="shared" ca="1" si="15"/>
        <v>610821.96829535428</v>
      </c>
      <c r="BA43" s="701">
        <f t="shared" ca="1" si="15"/>
        <v>0</v>
      </c>
      <c r="BB43" s="701">
        <f t="shared" ca="1" si="15"/>
        <v>0</v>
      </c>
      <c r="BC43" s="701">
        <f t="shared" ca="1" si="15"/>
        <v>0</v>
      </c>
      <c r="BD43" s="701">
        <f t="shared" ca="1" si="15"/>
        <v>0</v>
      </c>
      <c r="BE43" s="701">
        <f t="shared" ca="1" si="15"/>
        <v>0</v>
      </c>
      <c r="BF43" s="701">
        <f t="shared" ca="1" si="15"/>
        <v>0</v>
      </c>
      <c r="BG43" s="701">
        <f t="shared" ca="1" si="15"/>
        <v>0</v>
      </c>
      <c r="BH43" s="701">
        <f t="shared" ca="1" si="15"/>
        <v>0</v>
      </c>
      <c r="BI43" s="701">
        <f t="shared" ca="1" si="15"/>
        <v>0</v>
      </c>
      <c r="BJ43" s="701">
        <f t="shared" ca="1" si="15"/>
        <v>0</v>
      </c>
      <c r="BK43" s="701">
        <f t="shared" ca="1" si="15"/>
        <v>0</v>
      </c>
      <c r="BL43" s="701">
        <f t="shared" ca="1" si="15"/>
        <v>0</v>
      </c>
    </row>
    <row r="44" spans="1:64">
      <c r="A44" s="776" t="s">
        <v>681</v>
      </c>
      <c r="B44" s="755"/>
      <c r="C44" s="703"/>
      <c r="D44" s="756">
        <f>D23-D41</f>
        <v>0</v>
      </c>
      <c r="E44" s="756">
        <f t="shared" ref="E44:BL44" ca="1" si="16">E23-E41</f>
        <v>0</v>
      </c>
      <c r="F44" s="756">
        <f t="shared" ca="1" si="16"/>
        <v>0</v>
      </c>
      <c r="G44" s="756">
        <f t="shared" ca="1" si="16"/>
        <v>0</v>
      </c>
      <c r="H44" s="756">
        <f t="shared" ca="1" si="16"/>
        <v>0</v>
      </c>
      <c r="I44" s="756">
        <f t="shared" ca="1" si="16"/>
        <v>0</v>
      </c>
      <c r="J44" s="756">
        <f t="shared" ca="1" si="16"/>
        <v>0</v>
      </c>
      <c r="K44" s="756">
        <f t="shared" ca="1" si="16"/>
        <v>0</v>
      </c>
      <c r="L44" s="756">
        <f t="shared" ca="1" si="16"/>
        <v>0</v>
      </c>
      <c r="M44" s="756">
        <f t="shared" ca="1" si="16"/>
        <v>0</v>
      </c>
      <c r="N44" s="756">
        <f t="shared" ca="1" si="16"/>
        <v>0</v>
      </c>
      <c r="O44" s="756">
        <f t="shared" ca="1" si="16"/>
        <v>0</v>
      </c>
      <c r="P44" s="756">
        <f t="shared" ca="1" si="16"/>
        <v>0</v>
      </c>
      <c r="Q44" s="756">
        <f t="shared" ca="1" si="16"/>
        <v>0</v>
      </c>
      <c r="R44" s="756">
        <f t="shared" ca="1" si="16"/>
        <v>-7.7208361297380179E-2</v>
      </c>
      <c r="S44" s="756">
        <f t="shared" ca="1" si="16"/>
        <v>0</v>
      </c>
      <c r="T44" s="756">
        <f t="shared" ca="1" si="16"/>
        <v>0</v>
      </c>
      <c r="U44" s="756">
        <f t="shared" ca="1" si="16"/>
        <v>0</v>
      </c>
      <c r="V44" s="756">
        <f t="shared" ca="1" si="16"/>
        <v>0</v>
      </c>
      <c r="W44" s="756">
        <f t="shared" ca="1" si="16"/>
        <v>0</v>
      </c>
      <c r="X44" s="756">
        <f t="shared" ca="1" si="16"/>
        <v>0</v>
      </c>
      <c r="Y44" s="756">
        <f t="shared" ca="1" si="16"/>
        <v>0</v>
      </c>
      <c r="Z44" s="756">
        <f t="shared" ca="1" si="16"/>
        <v>0</v>
      </c>
      <c r="AA44" s="756">
        <f t="shared" ca="1" si="16"/>
        <v>0</v>
      </c>
      <c r="AB44" s="756">
        <f t="shared" ca="1" si="16"/>
        <v>0</v>
      </c>
      <c r="AC44" s="756">
        <f t="shared" ca="1" si="16"/>
        <v>-1.0900891016717651E-2</v>
      </c>
      <c r="AD44" s="756">
        <f t="shared" ca="1" si="16"/>
        <v>-7.720836132648401E-2</v>
      </c>
      <c r="AE44" s="756">
        <f t="shared" ca="1" si="16"/>
        <v>-3.2168691006518202E-2</v>
      </c>
      <c r="AF44" s="756">
        <f t="shared" ca="1" si="16"/>
        <v>-4.3720226261939388E-2</v>
      </c>
      <c r="AG44" s="756">
        <f t="shared" ca="1" si="16"/>
        <v>-5.4800974554382265E-2</v>
      </c>
      <c r="AH44" s="756">
        <f t="shared" ca="1" si="16"/>
        <v>-7.7208361319208052E-2</v>
      </c>
      <c r="AI44" s="756">
        <f t="shared" ca="1" si="16"/>
        <v>-7.7208361319208052E-2</v>
      </c>
      <c r="AJ44" s="756">
        <f t="shared" ca="1" si="16"/>
        <v>-7.720836132648401E-2</v>
      </c>
      <c r="AK44" s="756">
        <f t="shared" ca="1" si="16"/>
        <v>-7.6215584464080166E-2</v>
      </c>
      <c r="AL44" s="756">
        <f t="shared" ca="1" si="16"/>
        <v>-7.7085513228666969E-2</v>
      </c>
      <c r="AM44" s="756">
        <f t="shared" ca="1" si="16"/>
        <v>-7.6739027434086893E-2</v>
      </c>
      <c r="AN44" s="756">
        <f t="shared" ca="1" si="16"/>
        <v>-7.7208361319208052E-2</v>
      </c>
      <c r="AO44" s="756">
        <f t="shared" ca="1" si="16"/>
        <v>-7.7208361319208052E-2</v>
      </c>
      <c r="AP44" s="756">
        <f t="shared" ca="1" si="16"/>
        <v>-7.7208361319208052E-2</v>
      </c>
      <c r="AQ44" s="756">
        <f t="shared" ca="1" si="16"/>
        <v>-7.7208361319208052E-2</v>
      </c>
      <c r="AR44" s="756">
        <f t="shared" ca="1" si="16"/>
        <v>-7.7208361311932094E-2</v>
      </c>
      <c r="AS44" s="756">
        <f t="shared" ca="1" si="16"/>
        <v>-7.7208361311932094E-2</v>
      </c>
      <c r="AT44" s="756">
        <f t="shared" ca="1" si="16"/>
        <v>-7.7208361311932094E-2</v>
      </c>
      <c r="AU44" s="756">
        <f t="shared" ca="1" si="16"/>
        <v>-7.720836132648401E-2</v>
      </c>
      <c r="AV44" s="756">
        <f t="shared" ca="1" si="16"/>
        <v>-7.720836132648401E-2</v>
      </c>
      <c r="AW44" s="756">
        <f t="shared" ca="1" si="16"/>
        <v>-7.720836132648401E-2</v>
      </c>
      <c r="AX44" s="756">
        <f t="shared" ca="1" si="16"/>
        <v>-7.720836132648401E-2</v>
      </c>
      <c r="AY44" s="756">
        <f t="shared" ca="1" si="16"/>
        <v>-7.720836132648401E-2</v>
      </c>
      <c r="AZ44" s="756">
        <f t="shared" ca="1" si="16"/>
        <v>15996382.893340707</v>
      </c>
      <c r="BA44" s="756">
        <f t="shared" ca="1" si="16"/>
        <v>0</v>
      </c>
      <c r="BB44" s="756">
        <f t="shared" ca="1" si="16"/>
        <v>0</v>
      </c>
      <c r="BC44" s="756">
        <f t="shared" ca="1" si="16"/>
        <v>0</v>
      </c>
      <c r="BD44" s="756">
        <f t="shared" ca="1" si="16"/>
        <v>0</v>
      </c>
      <c r="BE44" s="756">
        <f t="shared" ca="1" si="16"/>
        <v>0</v>
      </c>
      <c r="BF44" s="756">
        <f t="shared" ca="1" si="16"/>
        <v>0</v>
      </c>
      <c r="BG44" s="756">
        <f t="shared" ca="1" si="16"/>
        <v>0</v>
      </c>
      <c r="BH44" s="756">
        <f t="shared" ca="1" si="16"/>
        <v>0</v>
      </c>
      <c r="BI44" s="756">
        <f t="shared" ca="1" si="16"/>
        <v>0</v>
      </c>
      <c r="BJ44" s="756">
        <f t="shared" ca="1" si="16"/>
        <v>0</v>
      </c>
      <c r="BK44" s="756">
        <f t="shared" ca="1" si="16"/>
        <v>0</v>
      </c>
      <c r="BL44" s="756">
        <f t="shared" ca="1" si="16"/>
        <v>0</v>
      </c>
    </row>
    <row r="45" spans="1:64">
      <c r="A45" s="777" t="s">
        <v>644</v>
      </c>
      <c r="B45" s="758">
        <f ca="1">(1+IRR(D45:BL45,0.01))^12-1</f>
        <v>8.000005755295958E-2</v>
      </c>
      <c r="C45" s="703"/>
      <c r="D45" s="757">
        <f ca="1">D34+D41</f>
        <v>-6170830.5186084136</v>
      </c>
      <c r="E45" s="757">
        <f t="shared" ref="E45:BL45" ca="1" si="17">E34+E41</f>
        <v>-756135.18286102917</v>
      </c>
      <c r="F45" s="757">
        <f t="shared" ca="1" si="17"/>
        <v>1.862645149230957E-8</v>
      </c>
      <c r="G45" s="757">
        <f t="shared" ca="1" si="17"/>
        <v>1.862645149230957E-8</v>
      </c>
      <c r="H45" s="757">
        <f t="shared" ca="1" si="17"/>
        <v>1.862645149230957E-8</v>
      </c>
      <c r="I45" s="757">
        <f t="shared" ca="1" si="17"/>
        <v>1.862645149230957E-8</v>
      </c>
      <c r="J45" s="757">
        <f t="shared" ca="1" si="17"/>
        <v>1.862645149230957E-8</v>
      </c>
      <c r="K45" s="757">
        <f t="shared" ca="1" si="17"/>
        <v>1.862645149230957E-8</v>
      </c>
      <c r="L45" s="757">
        <f t="shared" ca="1" si="17"/>
        <v>1.862645149230957E-8</v>
      </c>
      <c r="M45" s="757">
        <f t="shared" ca="1" si="17"/>
        <v>0</v>
      </c>
      <c r="N45" s="757">
        <f t="shared" ca="1" si="17"/>
        <v>0</v>
      </c>
      <c r="O45" s="757">
        <f t="shared" ca="1" si="17"/>
        <v>0</v>
      </c>
      <c r="P45" s="757">
        <f t="shared" ca="1" si="17"/>
        <v>0</v>
      </c>
      <c r="Q45" s="757">
        <f t="shared" ca="1" si="17"/>
        <v>0</v>
      </c>
      <c r="R45" s="757">
        <f t="shared" ca="1" si="17"/>
        <v>132618.39018237061</v>
      </c>
      <c r="S45" s="757">
        <f t="shared" ca="1" si="17"/>
        <v>0</v>
      </c>
      <c r="T45" s="757">
        <f t="shared" ca="1" si="17"/>
        <v>0</v>
      </c>
      <c r="U45" s="757">
        <f t="shared" ca="1" si="17"/>
        <v>0</v>
      </c>
      <c r="V45" s="757">
        <f t="shared" ca="1" si="17"/>
        <v>0</v>
      </c>
      <c r="W45" s="757">
        <f t="shared" ca="1" si="17"/>
        <v>0</v>
      </c>
      <c r="X45" s="757">
        <f t="shared" ca="1" si="17"/>
        <v>0</v>
      </c>
      <c r="Y45" s="757">
        <f t="shared" ca="1" si="17"/>
        <v>0</v>
      </c>
      <c r="Z45" s="757">
        <f t="shared" ca="1" si="17"/>
        <v>0</v>
      </c>
      <c r="AA45" s="757">
        <f t="shared" ca="1" si="17"/>
        <v>0</v>
      </c>
      <c r="AB45" s="757">
        <f t="shared" ca="1" si="17"/>
        <v>0</v>
      </c>
      <c r="AC45" s="757">
        <f t="shared" ca="1" si="17"/>
        <v>7206.0196435971538</v>
      </c>
      <c r="AD45" s="757">
        <f t="shared" ca="1" si="17"/>
        <v>173151.14205885591</v>
      </c>
      <c r="AE45" s="757">
        <f t="shared" ca="1" si="17"/>
        <v>21055.979034638895</v>
      </c>
      <c r="AF45" s="757">
        <f t="shared" ca="1" si="17"/>
        <v>28724.431188214185</v>
      </c>
      <c r="AG45" s="757">
        <f t="shared" ca="1" si="17"/>
        <v>36105.021218653797</v>
      </c>
      <c r="AH45" s="757">
        <f t="shared" ca="1" si="17"/>
        <v>54059.585133737484</v>
      </c>
      <c r="AI45" s="757">
        <f t="shared" ca="1" si="17"/>
        <v>62943.137274149405</v>
      </c>
      <c r="AJ45" s="757">
        <f t="shared" ca="1" si="17"/>
        <v>68900.557091063936</v>
      </c>
      <c r="AK45" s="757">
        <f t="shared" ca="1" si="17"/>
        <v>50097.135794106674</v>
      </c>
      <c r="AL45" s="757">
        <f t="shared" ca="1" si="17"/>
        <v>50673.139094630838</v>
      </c>
      <c r="AM45" s="757">
        <f t="shared" ca="1" si="17"/>
        <v>50445.888693662004</v>
      </c>
      <c r="AN45" s="757">
        <f t="shared" ca="1" si="17"/>
        <v>58259.792763124489</v>
      </c>
      <c r="AO45" s="757">
        <f t="shared" ca="1" si="17"/>
        <v>57992.557522408657</v>
      </c>
      <c r="AP45" s="757">
        <f t="shared" ca="1" si="17"/>
        <v>60493.068333528536</v>
      </c>
      <c r="AQ45" s="757">
        <f t="shared" ca="1" si="17"/>
        <v>63197.402395485573</v>
      </c>
      <c r="AR45" s="757">
        <f t="shared" ca="1" si="17"/>
        <v>66212.623570974014</v>
      </c>
      <c r="AS45" s="757">
        <f t="shared" ca="1" si="17"/>
        <v>69882.186588991783</v>
      </c>
      <c r="AT45" s="757">
        <f t="shared" ca="1" si="17"/>
        <v>72211.503373753221</v>
      </c>
      <c r="AU45" s="757">
        <f t="shared" ca="1" si="17"/>
        <v>73919.966295471269</v>
      </c>
      <c r="AV45" s="757">
        <f t="shared" ca="1" si="17"/>
        <v>75481.429749359697</v>
      </c>
      <c r="AW45" s="757">
        <f t="shared" ca="1" si="17"/>
        <v>74781.638966401486</v>
      </c>
      <c r="AX45" s="757">
        <f t="shared" ca="1" si="17"/>
        <v>74535.97176645312</v>
      </c>
      <c r="AY45" s="757">
        <f t="shared" ca="1" si="17"/>
        <v>73577.345612953504</v>
      </c>
      <c r="AZ45" s="757">
        <f t="shared" ca="1" si="17"/>
        <v>7720652.2587531107</v>
      </c>
      <c r="BA45" s="757">
        <f t="shared" ca="1" si="17"/>
        <v>0</v>
      </c>
      <c r="BB45" s="757">
        <f t="shared" ca="1" si="17"/>
        <v>0</v>
      </c>
      <c r="BC45" s="757">
        <f t="shared" ca="1" si="17"/>
        <v>0</v>
      </c>
      <c r="BD45" s="757">
        <f t="shared" ca="1" si="17"/>
        <v>0</v>
      </c>
      <c r="BE45" s="757">
        <f t="shared" ca="1" si="17"/>
        <v>0</v>
      </c>
      <c r="BF45" s="757">
        <f t="shared" ca="1" si="17"/>
        <v>0</v>
      </c>
      <c r="BG45" s="757">
        <f t="shared" ca="1" si="17"/>
        <v>0</v>
      </c>
      <c r="BH45" s="757">
        <f t="shared" ca="1" si="17"/>
        <v>0</v>
      </c>
      <c r="BI45" s="757">
        <f t="shared" ca="1" si="17"/>
        <v>0</v>
      </c>
      <c r="BJ45" s="757">
        <f t="shared" ca="1" si="17"/>
        <v>0</v>
      </c>
      <c r="BK45" s="757">
        <f t="shared" ca="1" si="17"/>
        <v>0</v>
      </c>
      <c r="BL45" s="757">
        <f t="shared" ca="1" si="17"/>
        <v>0</v>
      </c>
    </row>
    <row r="46" spans="1:64">
      <c r="A46" s="757"/>
      <c r="B46" s="758"/>
      <c r="C46" s="703"/>
      <c r="D46" s="757"/>
      <c r="E46" s="757"/>
      <c r="F46" s="757"/>
      <c r="G46" s="757"/>
      <c r="H46" s="757"/>
      <c r="I46" s="757"/>
      <c r="J46" s="757"/>
      <c r="K46" s="757"/>
      <c r="L46" s="757"/>
      <c r="M46" s="757"/>
      <c r="N46" s="757"/>
      <c r="O46" s="757"/>
      <c r="P46" s="757"/>
      <c r="Q46" s="757"/>
      <c r="R46" s="757"/>
      <c r="S46" s="757"/>
      <c r="T46" s="757"/>
      <c r="U46" s="757"/>
      <c r="V46" s="757"/>
      <c r="W46" s="757"/>
      <c r="X46" s="757"/>
      <c r="Y46" s="757"/>
      <c r="Z46" s="757"/>
      <c r="AA46" s="757"/>
      <c r="AB46" s="757"/>
      <c r="AC46" s="757"/>
      <c r="AD46" s="757"/>
      <c r="AE46" s="757"/>
      <c r="AF46" s="757"/>
      <c r="AG46" s="757"/>
      <c r="AH46" s="757"/>
      <c r="AI46" s="757"/>
      <c r="AJ46" s="757"/>
      <c r="AK46" s="757"/>
      <c r="AL46" s="757"/>
      <c r="AM46" s="757"/>
      <c r="AN46" s="757"/>
      <c r="AO46" s="757"/>
      <c r="AP46" s="757"/>
      <c r="AQ46" s="757"/>
      <c r="AR46" s="757"/>
      <c r="AS46" s="757"/>
      <c r="AT46" s="757"/>
      <c r="AU46" s="757"/>
      <c r="AV46" s="757"/>
      <c r="AW46" s="757"/>
      <c r="AX46" s="757"/>
      <c r="AY46" s="757"/>
      <c r="AZ46" s="757"/>
      <c r="BA46" s="757"/>
      <c r="BB46" s="757"/>
      <c r="BC46" s="757"/>
      <c r="BD46" s="757"/>
      <c r="BE46" s="757"/>
      <c r="BF46" s="757"/>
      <c r="BG46" s="757"/>
      <c r="BH46" s="757"/>
      <c r="BI46" s="757"/>
      <c r="BJ46" s="757"/>
      <c r="BK46" s="757"/>
      <c r="BL46" s="757"/>
    </row>
    <row r="47" spans="1:64" s="1148" customFormat="1">
      <c r="A47" s="1144" t="s">
        <v>685</v>
      </c>
      <c r="B47" s="1145"/>
      <c r="C47" s="1146"/>
      <c r="D47" s="1147"/>
      <c r="E47" s="1147"/>
      <c r="F47" s="1147"/>
      <c r="G47" s="1147"/>
      <c r="H47" s="1147"/>
      <c r="I47" s="1147"/>
      <c r="J47" s="1147"/>
      <c r="K47" s="1147"/>
      <c r="L47" s="1147"/>
      <c r="M47" s="1147"/>
      <c r="N47" s="1147"/>
      <c r="O47" s="1147"/>
      <c r="P47" s="1147"/>
      <c r="Q47" s="1147"/>
      <c r="R47" s="1147"/>
      <c r="S47" s="1147"/>
      <c r="T47" s="1147"/>
      <c r="U47" s="1147"/>
      <c r="V47" s="1147"/>
      <c r="W47" s="1147"/>
      <c r="X47" s="1147"/>
      <c r="Y47" s="1147"/>
      <c r="Z47" s="1147"/>
      <c r="AA47" s="1147"/>
      <c r="AB47" s="1147"/>
      <c r="AC47" s="1147"/>
      <c r="AD47" s="1147"/>
      <c r="AE47" s="1147"/>
      <c r="AF47" s="1147"/>
      <c r="AG47" s="1147"/>
      <c r="AH47" s="1147"/>
      <c r="AI47" s="1147"/>
      <c r="AJ47" s="1147"/>
      <c r="AK47" s="1147"/>
      <c r="AL47" s="1147"/>
      <c r="AM47" s="1147"/>
      <c r="AN47" s="1147"/>
      <c r="AO47" s="1147"/>
      <c r="AP47" s="1147"/>
      <c r="AQ47" s="1147"/>
      <c r="AR47" s="1147"/>
      <c r="AS47" s="1147"/>
      <c r="AT47" s="1147"/>
      <c r="AU47" s="1147"/>
      <c r="AV47" s="1147"/>
      <c r="AW47" s="1147"/>
      <c r="AX47" s="1147"/>
      <c r="AY47" s="1147"/>
      <c r="AZ47" s="1147"/>
      <c r="BA47" s="1147"/>
      <c r="BB47" s="1147"/>
      <c r="BC47" s="1147"/>
      <c r="BD47" s="1147"/>
      <c r="BE47" s="1147"/>
      <c r="BF47" s="1147"/>
      <c r="BG47" s="1147"/>
      <c r="BH47" s="1147"/>
      <c r="BI47" s="1147"/>
      <c r="BJ47" s="1147"/>
      <c r="BK47" s="1147"/>
      <c r="BL47" s="1147"/>
    </row>
    <row r="48" spans="1:64" s="1148" customFormat="1">
      <c r="A48" s="1149" t="s">
        <v>686</v>
      </c>
      <c r="B48" s="1145">
        <f t="shared" ref="B48:B49" si="18">SUM(D48:BL48)</f>
        <v>0</v>
      </c>
      <c r="C48" s="1156">
        <v>0</v>
      </c>
      <c r="D48" s="1145">
        <f>IF(D16='Monthly PF Cash Flow'!$C$96,$C$48,0)</f>
        <v>0</v>
      </c>
      <c r="E48" s="1145">
        <f>IF(E16='Monthly PF Cash Flow'!$C$96,$C$48,0)</f>
        <v>0</v>
      </c>
      <c r="F48" s="1145">
        <f>IF(F16='Monthly PF Cash Flow'!$C$96,$C$48,0)</f>
        <v>0</v>
      </c>
      <c r="G48" s="1145">
        <f>IF(G16='Monthly PF Cash Flow'!$C$96,$C$48,0)</f>
        <v>0</v>
      </c>
      <c r="H48" s="1145">
        <f>IF(H16='Monthly PF Cash Flow'!$C$96,$C$48,0)</f>
        <v>0</v>
      </c>
      <c r="I48" s="1145">
        <f>IF(I16='Monthly PF Cash Flow'!$C$96,$C$48,0)</f>
        <v>0</v>
      </c>
      <c r="J48" s="1145">
        <f>IF(J16='Monthly PF Cash Flow'!$C$96,$C$48,0)</f>
        <v>0</v>
      </c>
      <c r="K48" s="1145">
        <f>IF(K16='Monthly PF Cash Flow'!$C$96,$C$48,0)</f>
        <v>0</v>
      </c>
      <c r="L48" s="1145">
        <f>IF(L16='Monthly PF Cash Flow'!$C$96,$C$48,0)</f>
        <v>0</v>
      </c>
      <c r="M48" s="1145">
        <f>IF(M16='Monthly PF Cash Flow'!$C$96,$C$48,0)</f>
        <v>0</v>
      </c>
      <c r="N48" s="1145">
        <f>IF(N16='Monthly PF Cash Flow'!$C$96,$C$48,0)</f>
        <v>0</v>
      </c>
      <c r="O48" s="1145">
        <f>IF(O16='Monthly PF Cash Flow'!$C$96,$C$48,0)</f>
        <v>0</v>
      </c>
      <c r="P48" s="1145">
        <f>IF(P16='Monthly PF Cash Flow'!$C$96,$C$48,0)</f>
        <v>0</v>
      </c>
      <c r="Q48" s="1145">
        <f>IF(Q16='Monthly PF Cash Flow'!$C$96,$C$48,0)</f>
        <v>0</v>
      </c>
      <c r="R48" s="1145">
        <f>IF(R16='Monthly PF Cash Flow'!$C$96,$C$48,0)</f>
        <v>0</v>
      </c>
      <c r="S48" s="1145">
        <f>IF(S16='Monthly PF Cash Flow'!$C$96,$C$48,0)</f>
        <v>0</v>
      </c>
      <c r="T48" s="1145">
        <f>IF(T16='Monthly PF Cash Flow'!$C$96,$C$48,0)</f>
        <v>0</v>
      </c>
      <c r="U48" s="1145">
        <f>IF(U16='Monthly PF Cash Flow'!$C$96,$C$48,0)</f>
        <v>0</v>
      </c>
      <c r="V48" s="1145">
        <f>IF(V16='Monthly PF Cash Flow'!$C$96,$C$48,0)</f>
        <v>0</v>
      </c>
      <c r="W48" s="1145">
        <f>IF(W16='Monthly PF Cash Flow'!$C$96,$C$48,0)</f>
        <v>0</v>
      </c>
      <c r="X48" s="1145">
        <f>IF(X16='Monthly PF Cash Flow'!$C$96,$C$48,0)</f>
        <v>0</v>
      </c>
      <c r="Y48" s="1145">
        <f>IF(Y16='Monthly PF Cash Flow'!$C$96,$C$48,0)</f>
        <v>0</v>
      </c>
      <c r="Z48" s="1145">
        <f>IF(Z16='Monthly PF Cash Flow'!$C$96,$C$48,0)</f>
        <v>0</v>
      </c>
      <c r="AA48" s="1145">
        <f>IF(AA16='Monthly PF Cash Flow'!$C$96,$C$48,0)</f>
        <v>0</v>
      </c>
      <c r="AB48" s="1145">
        <f>IF(AB16='Monthly PF Cash Flow'!$C$96,$C$48,0)</f>
        <v>0</v>
      </c>
      <c r="AC48" s="1145">
        <f>IF(AC16='Monthly PF Cash Flow'!$C$96,$C$48,0)</f>
        <v>0</v>
      </c>
      <c r="AD48" s="1145">
        <f>IF(AD16='Monthly PF Cash Flow'!$C$96,$C$48,0)</f>
        <v>0</v>
      </c>
      <c r="AE48" s="1145">
        <f>IF(AE16='Monthly PF Cash Flow'!$C$96,$C$48,0)</f>
        <v>0</v>
      </c>
      <c r="AF48" s="1145">
        <f>IF(AF16='Monthly PF Cash Flow'!$C$96,$C$48,0)</f>
        <v>0</v>
      </c>
      <c r="AG48" s="1145">
        <f>IF(AG16='Monthly PF Cash Flow'!$C$96,$C$48,0)</f>
        <v>0</v>
      </c>
      <c r="AH48" s="1145">
        <f>IF(AH16='Monthly PF Cash Flow'!$C$96,$C$48,0)</f>
        <v>0</v>
      </c>
      <c r="AI48" s="1145">
        <f>IF(AI16='Monthly PF Cash Flow'!$C$96,$C$48,0)</f>
        <v>0</v>
      </c>
      <c r="AJ48" s="1145">
        <f>IF(AJ16='Monthly PF Cash Flow'!$C$96,$C$48,0)</f>
        <v>0</v>
      </c>
      <c r="AK48" s="1145">
        <f>IF(AK16='Monthly PF Cash Flow'!$C$96,$C$48,0)</f>
        <v>0</v>
      </c>
      <c r="AL48" s="1145">
        <f>IF(AL16='Monthly PF Cash Flow'!$C$96,$C$48,0)</f>
        <v>0</v>
      </c>
      <c r="AM48" s="1145">
        <f>IF(AM16='Monthly PF Cash Flow'!$C$96,$C$48,0)</f>
        <v>0</v>
      </c>
      <c r="AN48" s="1145">
        <f>IF(AN16='Monthly PF Cash Flow'!$C$96,$C$48,0)</f>
        <v>0</v>
      </c>
      <c r="AO48" s="1145">
        <f>IF(AO16='Monthly PF Cash Flow'!$C$96,$C$48,0)</f>
        <v>0</v>
      </c>
      <c r="AP48" s="1145">
        <f>IF(AP16='Monthly PF Cash Flow'!$C$96,$C$48,0)</f>
        <v>0</v>
      </c>
      <c r="AQ48" s="1145">
        <f>IF(AQ16='Monthly PF Cash Flow'!$C$96,$C$48,0)</f>
        <v>0</v>
      </c>
      <c r="AR48" s="1145">
        <f>IF(AR16='Monthly PF Cash Flow'!$C$96,$C$48,0)</f>
        <v>0</v>
      </c>
      <c r="AS48" s="1145">
        <f>IF(AS16='Monthly PF Cash Flow'!$C$96,$C$48,0)</f>
        <v>0</v>
      </c>
      <c r="AT48" s="1145">
        <f>IF(AT16='Monthly PF Cash Flow'!$C$96,$C$48,0)</f>
        <v>0</v>
      </c>
      <c r="AU48" s="1145">
        <f>IF(AU16='Monthly PF Cash Flow'!$C$96,$C$48,0)</f>
        <v>0</v>
      </c>
      <c r="AV48" s="1145">
        <f>IF(AV16='Monthly PF Cash Flow'!$C$96,$C$48,0)</f>
        <v>0</v>
      </c>
      <c r="AW48" s="1145">
        <f>IF(AW16='Monthly PF Cash Flow'!$C$96,$C$48,0)</f>
        <v>0</v>
      </c>
      <c r="AX48" s="1145">
        <f>IF(AX16='Monthly PF Cash Flow'!$C$96,$C$48,0)</f>
        <v>0</v>
      </c>
      <c r="AY48" s="1145">
        <f>IF(AY16='Monthly PF Cash Flow'!$C$96,$C$48,0)</f>
        <v>0</v>
      </c>
      <c r="AZ48" s="1145">
        <f>IF(AZ16='Monthly PF Cash Flow'!$C$96,$C$48,0)</f>
        <v>0</v>
      </c>
      <c r="BA48" s="1145">
        <f>IF(BA16='Monthly PF Cash Flow'!$C$96,$C$48,0)</f>
        <v>0</v>
      </c>
      <c r="BB48" s="1145">
        <f>IF(BB16='Monthly PF Cash Flow'!$C$96,$C$48,0)</f>
        <v>0</v>
      </c>
      <c r="BC48" s="1145">
        <f>IF(BC16='Monthly PF Cash Flow'!$C$96,$C$48,0)</f>
        <v>0</v>
      </c>
      <c r="BD48" s="1145">
        <f>IF(BD16='Monthly PF Cash Flow'!$C$96,$C$48,0)</f>
        <v>0</v>
      </c>
      <c r="BE48" s="1145">
        <f>IF(BE16='Monthly PF Cash Flow'!$C$96,$C$48,0)</f>
        <v>0</v>
      </c>
      <c r="BF48" s="1145">
        <f>IF(BF16='Monthly PF Cash Flow'!$C$96,$C$48,0)</f>
        <v>0</v>
      </c>
      <c r="BG48" s="1145">
        <f>IF(BG16='Monthly PF Cash Flow'!$C$96,$C$48,0)</f>
        <v>0</v>
      </c>
      <c r="BH48" s="1145">
        <f>IF(BH16='Monthly PF Cash Flow'!$C$96,$C$48,0)</f>
        <v>0</v>
      </c>
      <c r="BI48" s="1145">
        <f>IF(BI16='Monthly PF Cash Flow'!$C$96,$C$48,0)</f>
        <v>0</v>
      </c>
      <c r="BJ48" s="1145">
        <f>IF(BJ16='Monthly PF Cash Flow'!$C$96,$C$48,0)</f>
        <v>0</v>
      </c>
      <c r="BK48" s="1145">
        <f>IF(BK16='Monthly PF Cash Flow'!$C$96,$C$48,0)</f>
        <v>0</v>
      </c>
      <c r="BL48" s="1145">
        <f>IF(BL16='Monthly PF Cash Flow'!$C$96,$C$48,0)</f>
        <v>0</v>
      </c>
    </row>
    <row r="49" spans="1:64" s="1155" customFormat="1">
      <c r="A49" s="1151" t="s">
        <v>687</v>
      </c>
      <c r="B49" s="1152">
        <f t="shared" ca="1" si="18"/>
        <v>15996381.209165961</v>
      </c>
      <c r="C49" s="1153"/>
      <c r="D49" s="1154">
        <f t="shared" ref="D49:AI49" si="19">D44-D48</f>
        <v>0</v>
      </c>
      <c r="E49" s="1154">
        <f t="shared" ca="1" si="19"/>
        <v>0</v>
      </c>
      <c r="F49" s="1154">
        <f t="shared" ca="1" si="19"/>
        <v>0</v>
      </c>
      <c r="G49" s="1154">
        <f t="shared" ca="1" si="19"/>
        <v>0</v>
      </c>
      <c r="H49" s="1154">
        <f t="shared" ca="1" si="19"/>
        <v>0</v>
      </c>
      <c r="I49" s="1154">
        <f t="shared" ca="1" si="19"/>
        <v>0</v>
      </c>
      <c r="J49" s="1154">
        <f t="shared" ca="1" si="19"/>
        <v>0</v>
      </c>
      <c r="K49" s="1154">
        <f t="shared" ca="1" si="19"/>
        <v>0</v>
      </c>
      <c r="L49" s="1154">
        <f t="shared" ca="1" si="19"/>
        <v>0</v>
      </c>
      <c r="M49" s="1154">
        <f t="shared" ca="1" si="19"/>
        <v>0</v>
      </c>
      <c r="N49" s="1154">
        <f t="shared" ca="1" si="19"/>
        <v>0</v>
      </c>
      <c r="O49" s="1154">
        <f t="shared" ca="1" si="19"/>
        <v>0</v>
      </c>
      <c r="P49" s="1154">
        <f t="shared" ca="1" si="19"/>
        <v>0</v>
      </c>
      <c r="Q49" s="1154">
        <f t="shared" ca="1" si="19"/>
        <v>0</v>
      </c>
      <c r="R49" s="1154">
        <f t="shared" ca="1" si="19"/>
        <v>-7.7208361297380179E-2</v>
      </c>
      <c r="S49" s="1154">
        <f t="shared" ca="1" si="19"/>
        <v>0</v>
      </c>
      <c r="T49" s="1154">
        <f t="shared" ca="1" si="19"/>
        <v>0</v>
      </c>
      <c r="U49" s="1154">
        <f t="shared" ca="1" si="19"/>
        <v>0</v>
      </c>
      <c r="V49" s="1154">
        <f t="shared" ca="1" si="19"/>
        <v>0</v>
      </c>
      <c r="W49" s="1154">
        <f t="shared" ca="1" si="19"/>
        <v>0</v>
      </c>
      <c r="X49" s="1154">
        <f t="shared" ca="1" si="19"/>
        <v>0</v>
      </c>
      <c r="Y49" s="1154">
        <f t="shared" ca="1" si="19"/>
        <v>0</v>
      </c>
      <c r="Z49" s="1154">
        <f t="shared" ca="1" si="19"/>
        <v>0</v>
      </c>
      <c r="AA49" s="1154">
        <f t="shared" ca="1" si="19"/>
        <v>0</v>
      </c>
      <c r="AB49" s="1154">
        <f t="shared" ca="1" si="19"/>
        <v>0</v>
      </c>
      <c r="AC49" s="1154">
        <f t="shared" ca="1" si="19"/>
        <v>-1.0900891016717651E-2</v>
      </c>
      <c r="AD49" s="1154">
        <f t="shared" ca="1" si="19"/>
        <v>-7.720836132648401E-2</v>
      </c>
      <c r="AE49" s="1154">
        <f t="shared" ca="1" si="19"/>
        <v>-3.2168691006518202E-2</v>
      </c>
      <c r="AF49" s="1154">
        <f t="shared" ca="1" si="19"/>
        <v>-4.3720226261939388E-2</v>
      </c>
      <c r="AG49" s="1154">
        <f t="shared" ca="1" si="19"/>
        <v>-5.4800974554382265E-2</v>
      </c>
      <c r="AH49" s="1154">
        <f t="shared" ca="1" si="19"/>
        <v>-7.7208361319208052E-2</v>
      </c>
      <c r="AI49" s="1154">
        <f t="shared" ca="1" si="19"/>
        <v>-7.7208361319208052E-2</v>
      </c>
      <c r="AJ49" s="1154">
        <f t="shared" ref="AJ49:BL49" ca="1" si="20">AJ44-AJ48</f>
        <v>-7.720836132648401E-2</v>
      </c>
      <c r="AK49" s="1154">
        <f t="shared" ca="1" si="20"/>
        <v>-7.6215584464080166E-2</v>
      </c>
      <c r="AL49" s="1154">
        <f t="shared" ca="1" si="20"/>
        <v>-7.7085513228666969E-2</v>
      </c>
      <c r="AM49" s="1154">
        <f t="shared" ca="1" si="20"/>
        <v>-7.6739027434086893E-2</v>
      </c>
      <c r="AN49" s="1154">
        <f t="shared" ca="1" si="20"/>
        <v>-7.7208361319208052E-2</v>
      </c>
      <c r="AO49" s="1154">
        <f t="shared" ca="1" si="20"/>
        <v>-7.7208361319208052E-2</v>
      </c>
      <c r="AP49" s="1154">
        <f t="shared" ca="1" si="20"/>
        <v>-7.7208361319208052E-2</v>
      </c>
      <c r="AQ49" s="1154">
        <f t="shared" ca="1" si="20"/>
        <v>-7.7208361319208052E-2</v>
      </c>
      <c r="AR49" s="1154">
        <f t="shared" ca="1" si="20"/>
        <v>-7.7208361311932094E-2</v>
      </c>
      <c r="AS49" s="1154">
        <f t="shared" ca="1" si="20"/>
        <v>-7.7208361311932094E-2</v>
      </c>
      <c r="AT49" s="1154">
        <f t="shared" ca="1" si="20"/>
        <v>-7.7208361311932094E-2</v>
      </c>
      <c r="AU49" s="1154">
        <f t="shared" ca="1" si="20"/>
        <v>-7.720836132648401E-2</v>
      </c>
      <c r="AV49" s="1154">
        <f t="shared" ca="1" si="20"/>
        <v>-7.720836132648401E-2</v>
      </c>
      <c r="AW49" s="1154">
        <f t="shared" ca="1" si="20"/>
        <v>-7.720836132648401E-2</v>
      </c>
      <c r="AX49" s="1154">
        <f t="shared" ca="1" si="20"/>
        <v>-7.720836132648401E-2</v>
      </c>
      <c r="AY49" s="1154">
        <f t="shared" ca="1" si="20"/>
        <v>-7.720836132648401E-2</v>
      </c>
      <c r="AZ49" s="1154">
        <f t="shared" ca="1" si="20"/>
        <v>15996382.893340707</v>
      </c>
      <c r="BA49" s="1154">
        <f t="shared" ca="1" si="20"/>
        <v>0</v>
      </c>
      <c r="BB49" s="1154">
        <f t="shared" ca="1" si="20"/>
        <v>0</v>
      </c>
      <c r="BC49" s="1154">
        <f t="shared" ca="1" si="20"/>
        <v>0</v>
      </c>
      <c r="BD49" s="1154">
        <f t="shared" ca="1" si="20"/>
        <v>0</v>
      </c>
      <c r="BE49" s="1154">
        <f t="shared" ca="1" si="20"/>
        <v>0</v>
      </c>
      <c r="BF49" s="1154">
        <f t="shared" ca="1" si="20"/>
        <v>0</v>
      </c>
      <c r="BG49" s="1154">
        <f t="shared" ca="1" si="20"/>
        <v>0</v>
      </c>
      <c r="BH49" s="1154">
        <f t="shared" ca="1" si="20"/>
        <v>0</v>
      </c>
      <c r="BI49" s="1154">
        <f t="shared" ca="1" si="20"/>
        <v>0</v>
      </c>
      <c r="BJ49" s="1154">
        <f t="shared" ca="1" si="20"/>
        <v>0</v>
      </c>
      <c r="BK49" s="1154">
        <f t="shared" ca="1" si="20"/>
        <v>0</v>
      </c>
      <c r="BL49" s="1154">
        <f t="shared" ca="1" si="20"/>
        <v>0</v>
      </c>
    </row>
    <row r="50" spans="1:64" s="772" customFormat="1">
      <c r="A50" s="701"/>
      <c r="B50" s="773"/>
      <c r="C50" s="703"/>
      <c r="D50" s="701"/>
      <c r="E50" s="701"/>
      <c r="F50" s="701"/>
      <c r="G50" s="701"/>
      <c r="H50" s="701"/>
      <c r="I50" s="701"/>
      <c r="J50" s="701"/>
      <c r="K50" s="701"/>
      <c r="L50" s="701"/>
      <c r="M50" s="701"/>
      <c r="N50" s="701"/>
      <c r="O50" s="701"/>
      <c r="P50" s="701"/>
      <c r="Q50" s="701"/>
      <c r="R50" s="701"/>
      <c r="S50" s="701"/>
      <c r="T50" s="701"/>
      <c r="U50" s="701"/>
      <c r="V50" s="701"/>
      <c r="W50" s="701"/>
      <c r="X50" s="701"/>
      <c r="Y50" s="701"/>
      <c r="Z50" s="701"/>
      <c r="AA50" s="701"/>
      <c r="AB50" s="701"/>
      <c r="AC50" s="701"/>
      <c r="AD50" s="701"/>
      <c r="AE50" s="701"/>
      <c r="AF50" s="701"/>
      <c r="AG50" s="701"/>
      <c r="AH50" s="701"/>
      <c r="AI50" s="701"/>
      <c r="AJ50" s="701"/>
      <c r="AK50" s="701"/>
      <c r="AL50" s="701"/>
      <c r="AM50" s="701"/>
      <c r="AN50" s="701"/>
      <c r="AO50" s="701"/>
      <c r="AP50" s="701"/>
      <c r="AQ50" s="701"/>
      <c r="AR50" s="701"/>
      <c r="AS50" s="701"/>
      <c r="AT50" s="701"/>
      <c r="AU50" s="701"/>
      <c r="AV50" s="701"/>
      <c r="AW50" s="701"/>
      <c r="AX50" s="701"/>
      <c r="AY50" s="701"/>
      <c r="AZ50" s="701"/>
      <c r="BA50" s="701"/>
      <c r="BB50" s="701"/>
      <c r="BC50" s="701"/>
      <c r="BD50" s="701"/>
      <c r="BE50" s="701"/>
      <c r="BF50" s="701"/>
      <c r="BG50" s="701"/>
      <c r="BH50" s="701"/>
      <c r="BI50" s="701"/>
      <c r="BJ50" s="701"/>
      <c r="BK50" s="701"/>
      <c r="BL50" s="701"/>
    </row>
    <row r="51" spans="1:64">
      <c r="A51" s="700" t="s">
        <v>629</v>
      </c>
      <c r="B51" s="752">
        <f>D9</f>
        <v>0.15</v>
      </c>
      <c r="C51" s="703"/>
      <c r="D51" s="701"/>
      <c r="E51" s="701"/>
      <c r="F51" s="701"/>
      <c r="G51" s="701"/>
      <c r="H51" s="701"/>
      <c r="I51" s="701"/>
    </row>
    <row r="52" spans="1:64">
      <c r="A52" s="774" t="s">
        <v>637</v>
      </c>
      <c r="B52" s="701"/>
      <c r="C52" s="703"/>
      <c r="D52" s="701">
        <f>B61</f>
        <v>0</v>
      </c>
      <c r="E52" s="701">
        <f ca="1">D61</f>
        <v>-6170830.5186084146</v>
      </c>
      <c r="F52" s="701">
        <f t="shared" ref="F52:BL52" ca="1" si="21">E61</f>
        <v>-6999256.4683214566</v>
      </c>
      <c r="G52" s="701">
        <f ca="1">F61</f>
        <v>-7081252.1763485884</v>
      </c>
      <c r="H52" s="701">
        <f t="shared" ca="1" si="21"/>
        <v>-7164208.4572830442</v>
      </c>
      <c r="I52" s="701">
        <f t="shared" ca="1" si="21"/>
        <v>-7248136.5641566264</v>
      </c>
      <c r="J52" s="701">
        <f t="shared" ca="1" si="21"/>
        <v>-7333047.8818294741</v>
      </c>
      <c r="K52" s="701">
        <f t="shared" ca="1" si="21"/>
        <v>-7418953.9285344165</v>
      </c>
      <c r="L52" s="701">
        <f t="shared" ca="1" si="21"/>
        <v>-7505866.3574394202</v>
      </c>
      <c r="M52" s="701">
        <f t="shared" ca="1" si="21"/>
        <v>-7593796.9582283478</v>
      </c>
      <c r="N52" s="701">
        <f t="shared" ca="1" si="21"/>
        <v>-7682757.6587002603</v>
      </c>
      <c r="O52" s="701">
        <f t="shared" ca="1" si="21"/>
        <v>-7772760.5263873404</v>
      </c>
      <c r="P52" s="701">
        <f t="shared" ca="1" si="21"/>
        <v>-7863817.7701919312</v>
      </c>
      <c r="Q52" s="701">
        <f t="shared" ca="1" si="21"/>
        <v>-7955941.7420426523</v>
      </c>
      <c r="R52" s="701">
        <f t="shared" ca="1" si="21"/>
        <v>-8049144.9385699369</v>
      </c>
      <c r="S52" s="701">
        <f t="shared" ca="1" si="21"/>
        <v>-8010821.7544211037</v>
      </c>
      <c r="T52" s="701">
        <f t="shared" ca="1" si="21"/>
        <v>-8104667.8657339606</v>
      </c>
      <c r="U52" s="701">
        <f t="shared" ca="1" si="21"/>
        <v>-8199613.3764441051</v>
      </c>
      <c r="V52" s="701">
        <f t="shared" ca="1" si="21"/>
        <v>-8295671.1659241077</v>
      </c>
      <c r="W52" s="701">
        <f t="shared" ca="1" si="21"/>
        <v>-8392854.2644273452</v>
      </c>
      <c r="X52" s="701">
        <f t="shared" ca="1" si="21"/>
        <v>-8491175.85485553</v>
      </c>
      <c r="Y52" s="701">
        <f t="shared" ca="1" si="21"/>
        <v>-8590649.2745469455</v>
      </c>
      <c r="Z52" s="701">
        <f t="shared" ca="1" si="21"/>
        <v>-8691288.0170856975</v>
      </c>
      <c r="AA52" s="701">
        <f t="shared" ca="1" si="21"/>
        <v>-8793105.7341321297</v>
      </c>
      <c r="AB52" s="701">
        <f t="shared" ca="1" si="21"/>
        <v>-8896116.237274617</v>
      </c>
      <c r="AC52" s="701">
        <f t="shared" ca="1" si="21"/>
        <v>-9000333.4999031797</v>
      </c>
      <c r="AD52" s="701">
        <f t="shared" ca="1" si="21"/>
        <v>-9098565.6594821066</v>
      </c>
      <c r="AE52" s="701">
        <f t="shared" ca="1" si="21"/>
        <v>-9032003.6000154763</v>
      </c>
      <c r="AF52" s="701">
        <f t="shared" ca="1" si="21"/>
        <v>-9116756.8518556021</v>
      </c>
      <c r="AG52" s="701">
        <f t="shared" ca="1" si="21"/>
        <v>-9194834.5500617903</v>
      </c>
      <c r="AH52" s="701">
        <f t="shared" ca="1" si="21"/>
        <v>-9266446.352336308</v>
      </c>
      <c r="AI52" s="701">
        <f t="shared" ca="1" si="21"/>
        <v>-9320942.5581635889</v>
      </c>
      <c r="AJ52" s="701">
        <f t="shared" ca="1" si="21"/>
        <v>-9367193.6303741075</v>
      </c>
      <c r="AK52" s="701">
        <f t="shared" ca="1" si="21"/>
        <v>-9408029.11023614</v>
      </c>
      <c r="AL52" s="701">
        <f t="shared" ca="1" si="21"/>
        <v>-9468146.3938259017</v>
      </c>
      <c r="AM52" s="701">
        <f t="shared" ca="1" si="21"/>
        <v>-9528391.9446959142</v>
      </c>
      <c r="AN52" s="701">
        <f t="shared" ca="1" si="21"/>
        <v>-9589570.5169543847</v>
      </c>
      <c r="AO52" s="701">
        <f t="shared" ca="1" si="21"/>
        <v>-9643651.8878975883</v>
      </c>
      <c r="AP52" s="701">
        <f t="shared" ca="1" si="21"/>
        <v>-9698634.0528503545</v>
      </c>
      <c r="AQ52" s="701">
        <f t="shared" ca="1" si="21"/>
        <v>-9751759.8184882328</v>
      </c>
      <c r="AR52" s="701">
        <f t="shared" ca="1" si="21"/>
        <v>-9802803.613997031</v>
      </c>
      <c r="AS52" s="701">
        <f t="shared" ca="1" si="21"/>
        <v>-9851430.1621564049</v>
      </c>
      <c r="AT52" s="701">
        <f t="shared" ca="1" si="21"/>
        <v>-9896956.8032720592</v>
      </c>
      <c r="AU52" s="701">
        <f t="shared" ca="1" si="21"/>
        <v>-9940687.4684236515</v>
      </c>
      <c r="AV52" s="701">
        <f t="shared" ca="1" si="21"/>
        <v>-9983221.97176468</v>
      </c>
      <c r="AW52" s="701">
        <f t="shared" ca="1" si="21"/>
        <v>-10024693.299826203</v>
      </c>
      <c r="AX52" s="701">
        <f t="shared" ca="1" si="21"/>
        <v>-10067350.251834519</v>
      </c>
      <c r="AY52" s="701">
        <f t="shared" ca="1" si="21"/>
        <v>-10110752.593692154</v>
      </c>
      <c r="AZ52" s="701">
        <f t="shared" ca="1" si="21"/>
        <v>-10155622.016532568</v>
      </c>
      <c r="BA52" s="701">
        <f t="shared" ca="1" si="21"/>
        <v>0</v>
      </c>
      <c r="BB52" s="701">
        <f t="shared" ca="1" si="21"/>
        <v>0</v>
      </c>
      <c r="BC52" s="701">
        <f t="shared" ca="1" si="21"/>
        <v>0</v>
      </c>
      <c r="BD52" s="701">
        <f t="shared" ca="1" si="21"/>
        <v>0</v>
      </c>
      <c r="BE52" s="701">
        <f t="shared" ca="1" si="21"/>
        <v>0</v>
      </c>
      <c r="BF52" s="701">
        <f t="shared" ca="1" si="21"/>
        <v>0</v>
      </c>
      <c r="BG52" s="701">
        <f t="shared" ca="1" si="21"/>
        <v>0</v>
      </c>
      <c r="BH52" s="701">
        <f t="shared" ca="1" si="21"/>
        <v>0</v>
      </c>
      <c r="BI52" s="701">
        <f t="shared" ca="1" si="21"/>
        <v>0</v>
      </c>
      <c r="BJ52" s="701">
        <f t="shared" ca="1" si="21"/>
        <v>0</v>
      </c>
      <c r="BK52" s="701">
        <f t="shared" ca="1" si="21"/>
        <v>0</v>
      </c>
      <c r="BL52" s="701">
        <f t="shared" ca="1" si="21"/>
        <v>0</v>
      </c>
    </row>
    <row r="53" spans="1:64">
      <c r="A53" s="774" t="s">
        <v>645</v>
      </c>
      <c r="B53" s="701"/>
      <c r="C53" s="699"/>
      <c r="D53" s="701">
        <f ca="1">D34</f>
        <v>-6170830.5186084136</v>
      </c>
      <c r="E53" s="701">
        <f t="shared" ref="E53:BL53" ca="1" si="22">E34</f>
        <v>-756135.18286102917</v>
      </c>
      <c r="F53" s="701">
        <f t="shared" ca="1" si="22"/>
        <v>1.862645149230957E-8</v>
      </c>
      <c r="G53" s="701">
        <f t="shared" ca="1" si="22"/>
        <v>1.862645149230957E-8</v>
      </c>
      <c r="H53" s="701">
        <f t="shared" ca="1" si="22"/>
        <v>1.862645149230957E-8</v>
      </c>
      <c r="I53" s="701">
        <f t="shared" ca="1" si="22"/>
        <v>1.862645149230957E-8</v>
      </c>
      <c r="J53" s="701">
        <f t="shared" ca="1" si="22"/>
        <v>1.862645149230957E-8</v>
      </c>
      <c r="K53" s="701">
        <f t="shared" ca="1" si="22"/>
        <v>1.862645149230957E-8</v>
      </c>
      <c r="L53" s="701">
        <f t="shared" ca="1" si="22"/>
        <v>1.862645149230957E-8</v>
      </c>
      <c r="M53" s="701">
        <f t="shared" ca="1" si="22"/>
        <v>0</v>
      </c>
      <c r="N53" s="701">
        <f t="shared" ca="1" si="22"/>
        <v>0</v>
      </c>
      <c r="O53" s="701">
        <f t="shared" ca="1" si="22"/>
        <v>0</v>
      </c>
      <c r="P53" s="701">
        <f t="shared" ca="1" si="22"/>
        <v>0</v>
      </c>
      <c r="Q53" s="701">
        <f t="shared" ca="1" si="22"/>
        <v>0</v>
      </c>
      <c r="R53" s="701">
        <f t="shared" ca="1" si="22"/>
        <v>0</v>
      </c>
      <c r="S53" s="701">
        <f t="shared" ca="1" si="22"/>
        <v>0</v>
      </c>
      <c r="T53" s="701">
        <f t="shared" ca="1" si="22"/>
        <v>0</v>
      </c>
      <c r="U53" s="701">
        <f t="shared" ca="1" si="22"/>
        <v>0</v>
      </c>
      <c r="V53" s="701">
        <f t="shared" ca="1" si="22"/>
        <v>0</v>
      </c>
      <c r="W53" s="701">
        <f t="shared" ca="1" si="22"/>
        <v>0</v>
      </c>
      <c r="X53" s="701">
        <f t="shared" ca="1" si="22"/>
        <v>0</v>
      </c>
      <c r="Y53" s="701">
        <f t="shared" ca="1" si="22"/>
        <v>0</v>
      </c>
      <c r="Z53" s="701">
        <f t="shared" ca="1" si="22"/>
        <v>0</v>
      </c>
      <c r="AA53" s="701">
        <f t="shared" ca="1" si="22"/>
        <v>0</v>
      </c>
      <c r="AB53" s="701">
        <f t="shared" ca="1" si="22"/>
        <v>0</v>
      </c>
      <c r="AC53" s="701">
        <f t="shared" ca="1" si="22"/>
        <v>0</v>
      </c>
      <c r="AD53" s="701">
        <f t="shared" ca="1" si="22"/>
        <v>0</v>
      </c>
      <c r="AE53" s="701">
        <f t="shared" ca="1" si="22"/>
        <v>0</v>
      </c>
      <c r="AF53" s="701">
        <f t="shared" ca="1" si="22"/>
        <v>0</v>
      </c>
      <c r="AG53" s="701">
        <f t="shared" ca="1" si="22"/>
        <v>0</v>
      </c>
      <c r="AH53" s="701">
        <f t="shared" ca="1" si="22"/>
        <v>0</v>
      </c>
      <c r="AI53" s="701">
        <f t="shared" ca="1" si="22"/>
        <v>0</v>
      </c>
      <c r="AJ53" s="701">
        <f t="shared" ca="1" si="22"/>
        <v>0</v>
      </c>
      <c r="AK53" s="701">
        <f t="shared" ca="1" si="22"/>
        <v>0</v>
      </c>
      <c r="AL53" s="701">
        <f t="shared" ca="1" si="22"/>
        <v>0</v>
      </c>
      <c r="AM53" s="701">
        <f t="shared" ca="1" si="22"/>
        <v>0</v>
      </c>
      <c r="AN53" s="701">
        <f t="shared" ca="1" si="22"/>
        <v>0</v>
      </c>
      <c r="AO53" s="701">
        <f t="shared" ca="1" si="22"/>
        <v>0</v>
      </c>
      <c r="AP53" s="701">
        <f t="shared" ca="1" si="22"/>
        <v>0</v>
      </c>
      <c r="AQ53" s="701">
        <f t="shared" ca="1" si="22"/>
        <v>0</v>
      </c>
      <c r="AR53" s="701">
        <f t="shared" ca="1" si="22"/>
        <v>0</v>
      </c>
      <c r="AS53" s="701">
        <f t="shared" ca="1" si="22"/>
        <v>0</v>
      </c>
      <c r="AT53" s="701">
        <f t="shared" ca="1" si="22"/>
        <v>0</v>
      </c>
      <c r="AU53" s="701">
        <f t="shared" ca="1" si="22"/>
        <v>0</v>
      </c>
      <c r="AV53" s="701">
        <f t="shared" ca="1" si="22"/>
        <v>0</v>
      </c>
      <c r="AW53" s="701">
        <f t="shared" ca="1" si="22"/>
        <v>0</v>
      </c>
      <c r="AX53" s="701">
        <f t="shared" ca="1" si="22"/>
        <v>0</v>
      </c>
      <c r="AY53" s="701">
        <f t="shared" ca="1" si="22"/>
        <v>0</v>
      </c>
      <c r="AZ53" s="701">
        <f t="shared" ca="1" si="22"/>
        <v>0</v>
      </c>
      <c r="BA53" s="701">
        <f t="shared" ca="1" si="22"/>
        <v>0</v>
      </c>
      <c r="BB53" s="701">
        <f t="shared" ca="1" si="22"/>
        <v>0</v>
      </c>
      <c r="BC53" s="701">
        <f t="shared" ca="1" si="22"/>
        <v>0</v>
      </c>
      <c r="BD53" s="701">
        <f t="shared" ca="1" si="22"/>
        <v>0</v>
      </c>
      <c r="BE53" s="701">
        <f t="shared" ca="1" si="22"/>
        <v>0</v>
      </c>
      <c r="BF53" s="701">
        <f t="shared" ca="1" si="22"/>
        <v>0</v>
      </c>
      <c r="BG53" s="701">
        <f t="shared" ca="1" si="22"/>
        <v>0</v>
      </c>
      <c r="BH53" s="701">
        <f t="shared" ca="1" si="22"/>
        <v>0</v>
      </c>
      <c r="BI53" s="701">
        <f t="shared" ca="1" si="22"/>
        <v>0</v>
      </c>
      <c r="BJ53" s="701">
        <f t="shared" ca="1" si="22"/>
        <v>0</v>
      </c>
      <c r="BK53" s="701">
        <f t="shared" ca="1" si="22"/>
        <v>0</v>
      </c>
      <c r="BL53" s="701">
        <f t="shared" ca="1" si="22"/>
        <v>0</v>
      </c>
    </row>
    <row r="54" spans="1:64">
      <c r="A54" s="775">
        <f>B51</f>
        <v>0.15</v>
      </c>
      <c r="B54" s="701"/>
      <c r="C54" s="699"/>
      <c r="D54" s="701">
        <f t="shared" ref="D54:BL54" si="23">D52*((1+$B$51)^(1/12)-1)</f>
        <v>0</v>
      </c>
      <c r="E54" s="701">
        <f t="shared" ca="1" si="23"/>
        <v>-72290.766851993321</v>
      </c>
      <c r="F54" s="701">
        <f t="shared" ca="1" si="23"/>
        <v>-81995.708027132248</v>
      </c>
      <c r="G54" s="701">
        <f t="shared" ca="1" si="23"/>
        <v>-82956.280934454655</v>
      </c>
      <c r="H54" s="701">
        <f t="shared" ca="1" si="23"/>
        <v>-83928.106873581812</v>
      </c>
      <c r="I54" s="701">
        <f t="shared" ca="1" si="23"/>
        <v>-84911.317672846402</v>
      </c>
      <c r="J54" s="701">
        <f t="shared" ca="1" si="23"/>
        <v>-85906.046704939101</v>
      </c>
      <c r="K54" s="701">
        <f t="shared" ca="1" si="23"/>
        <v>-86912.428905000532</v>
      </c>
      <c r="L54" s="701">
        <f t="shared" ca="1" si="23"/>
        <v>-87930.600788925323</v>
      </c>
      <c r="M54" s="701">
        <f t="shared" ca="1" si="23"/>
        <v>-88960.700471880395</v>
      </c>
      <c r="N54" s="701">
        <f t="shared" ca="1" si="23"/>
        <v>-90002.867687040824</v>
      </c>
      <c r="O54" s="701">
        <f t="shared" ca="1" si="23"/>
        <v>-91057.243804543512</v>
      </c>
      <c r="P54" s="701">
        <f t="shared" ca="1" si="23"/>
        <v>-92123.971850665126</v>
      </c>
      <c r="Q54" s="701">
        <f t="shared" ca="1" si="23"/>
        <v>-93203.196527223248</v>
      </c>
      <c r="R54" s="701">
        <f t="shared" ca="1" si="23"/>
        <v>-94295.06423120515</v>
      </c>
      <c r="S54" s="701">
        <f t="shared" ca="1" si="23"/>
        <v>-93846.111312797322</v>
      </c>
      <c r="T54" s="701">
        <f t="shared" ca="1" si="23"/>
        <v>-94945.510710078757</v>
      </c>
      <c r="U54" s="701">
        <f t="shared" ca="1" si="23"/>
        <v>-96057.789479961153</v>
      </c>
      <c r="V54" s="701">
        <f t="shared" ca="1" si="23"/>
        <v>-97183.098503224144</v>
      </c>
      <c r="W54" s="701">
        <f t="shared" ca="1" si="23"/>
        <v>-98321.590428203504</v>
      </c>
      <c r="X54" s="701">
        <f t="shared" ca="1" si="23"/>
        <v>-99473.419691497533</v>
      </c>
      <c r="Y54" s="701">
        <f t="shared" ca="1" si="23"/>
        <v>-100638.74253891618</v>
      </c>
      <c r="Z54" s="701">
        <f t="shared" ca="1" si="23"/>
        <v>-101817.71704667617</v>
      </c>
      <c r="AA54" s="701">
        <f t="shared" ca="1" si="23"/>
        <v>-103010.50314284426</v>
      </c>
      <c r="AB54" s="701">
        <f t="shared" ca="1" si="23"/>
        <v>-104217.2626290308</v>
      </c>
      <c r="AC54" s="701">
        <f t="shared" ca="1" si="23"/>
        <v>-105438.15920233895</v>
      </c>
      <c r="AD54" s="701">
        <f t="shared" ca="1" si="23"/>
        <v>-106588.94079066385</v>
      </c>
      <c r="AE54" s="701">
        <f t="shared" ca="1" si="23"/>
        <v>-105809.17179399794</v>
      </c>
      <c r="AF54" s="701">
        <f t="shared" ca="1" si="23"/>
        <v>-106802.04909799242</v>
      </c>
      <c r="AG54" s="701">
        <f t="shared" ca="1" si="23"/>
        <v>-107716.72284577131</v>
      </c>
      <c r="AH54" s="701">
        <f t="shared" ca="1" si="23"/>
        <v>-108555.64915989825</v>
      </c>
      <c r="AI54" s="701">
        <f t="shared" ca="1" si="23"/>
        <v>-109194.06768361207</v>
      </c>
      <c r="AJ54" s="701">
        <f t="shared" ca="1" si="23"/>
        <v>-109735.89515201244</v>
      </c>
      <c r="AK54" s="701">
        <f t="shared" ca="1" si="23"/>
        <v>-110214.27940597849</v>
      </c>
      <c r="AL54" s="701">
        <f t="shared" ca="1" si="23"/>
        <v>-110918.54838867982</v>
      </c>
      <c r="AM54" s="701">
        <f t="shared" ca="1" si="23"/>
        <v>-111624.32001191282</v>
      </c>
      <c r="AN54" s="701">
        <f t="shared" ca="1" si="23"/>
        <v>-112341.02190319604</v>
      </c>
      <c r="AO54" s="701">
        <f t="shared" ca="1" si="23"/>
        <v>-112974.58067070745</v>
      </c>
      <c r="AP54" s="701">
        <f t="shared" ca="1" si="23"/>
        <v>-113618.69216520278</v>
      </c>
      <c r="AQ54" s="701">
        <f t="shared" ca="1" si="23"/>
        <v>-114241.05609595412</v>
      </c>
      <c r="AR54" s="701">
        <f t="shared" ca="1" si="23"/>
        <v>-114839.02991961368</v>
      </c>
      <c r="AS54" s="701">
        <f t="shared" ca="1" si="23"/>
        <v>-115408.68589139999</v>
      </c>
      <c r="AT54" s="701">
        <f t="shared" ca="1" si="23"/>
        <v>-115942.02670970987</v>
      </c>
      <c r="AU54" s="701">
        <f t="shared" ca="1" si="23"/>
        <v>-116454.32781881069</v>
      </c>
      <c r="AV54" s="701">
        <f t="shared" ca="1" si="23"/>
        <v>-116952.61599167807</v>
      </c>
      <c r="AW54" s="701">
        <f t="shared" ca="1" si="23"/>
        <v>-117438.4491544748</v>
      </c>
      <c r="AX54" s="701">
        <f t="shared" ca="1" si="23"/>
        <v>-117938.1718033064</v>
      </c>
      <c r="AY54" s="701">
        <f t="shared" ca="1" si="23"/>
        <v>-118446.62663229565</v>
      </c>
      <c r="AZ54" s="701">
        <f t="shared" ca="1" si="23"/>
        <v>-118972.26819311289</v>
      </c>
      <c r="BA54" s="701">
        <f t="shared" ca="1" si="23"/>
        <v>0</v>
      </c>
      <c r="BB54" s="701">
        <f t="shared" ca="1" si="23"/>
        <v>0</v>
      </c>
      <c r="BC54" s="701">
        <f t="shared" ca="1" si="23"/>
        <v>0</v>
      </c>
      <c r="BD54" s="701">
        <f t="shared" ca="1" si="23"/>
        <v>0</v>
      </c>
      <c r="BE54" s="701">
        <f t="shared" ca="1" si="23"/>
        <v>0</v>
      </c>
      <c r="BF54" s="701">
        <f t="shared" ca="1" si="23"/>
        <v>0</v>
      </c>
      <c r="BG54" s="701">
        <f t="shared" ca="1" si="23"/>
        <v>0</v>
      </c>
      <c r="BH54" s="701">
        <f t="shared" ca="1" si="23"/>
        <v>0</v>
      </c>
      <c r="BI54" s="701">
        <f t="shared" ca="1" si="23"/>
        <v>0</v>
      </c>
      <c r="BJ54" s="701">
        <f t="shared" ca="1" si="23"/>
        <v>0</v>
      </c>
      <c r="BK54" s="701">
        <f t="shared" ca="1" si="23"/>
        <v>0</v>
      </c>
      <c r="BL54" s="701">
        <f t="shared" ca="1" si="23"/>
        <v>0</v>
      </c>
    </row>
    <row r="55" spans="1:64">
      <c r="A55" s="774" t="s">
        <v>639</v>
      </c>
      <c r="B55" s="701"/>
      <c r="C55" s="699"/>
      <c r="D55" s="701">
        <f>D37</f>
        <v>0</v>
      </c>
      <c r="E55" s="701">
        <f t="shared" ref="E55:BL55" ca="1" si="24">E37</f>
        <v>0</v>
      </c>
      <c r="F55" s="701">
        <f t="shared" ca="1" si="24"/>
        <v>0</v>
      </c>
      <c r="G55" s="701">
        <f t="shared" ca="1" si="24"/>
        <v>0</v>
      </c>
      <c r="H55" s="701">
        <f t="shared" ca="1" si="24"/>
        <v>0</v>
      </c>
      <c r="I55" s="701">
        <f t="shared" ca="1" si="24"/>
        <v>0</v>
      </c>
      <c r="J55" s="701">
        <f t="shared" ca="1" si="24"/>
        <v>0</v>
      </c>
      <c r="K55" s="701">
        <f t="shared" ca="1" si="24"/>
        <v>0</v>
      </c>
      <c r="L55" s="701">
        <f t="shared" ca="1" si="24"/>
        <v>0</v>
      </c>
      <c r="M55" s="701">
        <f t="shared" ca="1" si="24"/>
        <v>0</v>
      </c>
      <c r="N55" s="701">
        <f t="shared" ca="1" si="24"/>
        <v>0</v>
      </c>
      <c r="O55" s="701">
        <f t="shared" ca="1" si="24"/>
        <v>0</v>
      </c>
      <c r="P55" s="701">
        <f t="shared" ca="1" si="24"/>
        <v>0</v>
      </c>
      <c r="Q55" s="701">
        <f t="shared" ca="1" si="24"/>
        <v>0</v>
      </c>
      <c r="R55" s="701">
        <f t="shared" ca="1" si="24"/>
        <v>48409.658836677576</v>
      </c>
      <c r="S55" s="701">
        <f t="shared" ca="1" si="24"/>
        <v>0</v>
      </c>
      <c r="T55" s="701">
        <f t="shared" ca="1" si="24"/>
        <v>0</v>
      </c>
      <c r="U55" s="701">
        <f t="shared" ca="1" si="24"/>
        <v>0</v>
      </c>
      <c r="V55" s="701">
        <f t="shared" ca="1" si="24"/>
        <v>0</v>
      </c>
      <c r="W55" s="701">
        <f t="shared" ca="1" si="24"/>
        <v>0</v>
      </c>
      <c r="X55" s="701">
        <f t="shared" ca="1" si="24"/>
        <v>0</v>
      </c>
      <c r="Y55" s="701">
        <f t="shared" ca="1" si="24"/>
        <v>0</v>
      </c>
      <c r="Z55" s="701">
        <f t="shared" ca="1" si="24"/>
        <v>0</v>
      </c>
      <c r="AA55" s="701">
        <f t="shared" ca="1" si="24"/>
        <v>0</v>
      </c>
      <c r="AB55" s="701">
        <f t="shared" ca="1" si="24"/>
        <v>0</v>
      </c>
      <c r="AC55" s="701">
        <f t="shared" ca="1" si="24"/>
        <v>7206.0087427061371</v>
      </c>
      <c r="AD55" s="701">
        <f t="shared" ca="1" si="24"/>
        <v>51320.427289105945</v>
      </c>
      <c r="AE55" s="701">
        <f t="shared" ca="1" si="24"/>
        <v>21055.946865947888</v>
      </c>
      <c r="AF55" s="701">
        <f t="shared" ca="1" si="24"/>
        <v>28724.387467987923</v>
      </c>
      <c r="AG55" s="701">
        <f t="shared" ca="1" si="24"/>
        <v>36104.966417679243</v>
      </c>
      <c r="AH55" s="701">
        <f t="shared" ca="1" si="24"/>
        <v>50962.789644443896</v>
      </c>
      <c r="AI55" s="701">
        <f t="shared" ca="1" si="24"/>
        <v>50942.865265775727</v>
      </c>
      <c r="AJ55" s="701">
        <f t="shared" ca="1" si="24"/>
        <v>50865.655651099645</v>
      </c>
      <c r="AK55" s="701">
        <f t="shared" ca="1" si="24"/>
        <v>50097.05957852221</v>
      </c>
      <c r="AL55" s="701">
        <f t="shared" ca="1" si="24"/>
        <v>50673.06200911761</v>
      </c>
      <c r="AM55" s="701">
        <f t="shared" ca="1" si="24"/>
        <v>50445.81195463457</v>
      </c>
      <c r="AN55" s="701">
        <f t="shared" ca="1" si="24"/>
        <v>50756.32228121267</v>
      </c>
      <c r="AO55" s="701">
        <f t="shared" ca="1" si="24"/>
        <v>50708.045222966597</v>
      </c>
      <c r="AP55" s="701">
        <f t="shared" ca="1" si="24"/>
        <v>50661.176948266133</v>
      </c>
      <c r="AQ55" s="701">
        <f t="shared" ca="1" si="24"/>
        <v>50597.918759834909</v>
      </c>
      <c r="AR55" s="701">
        <f t="shared" ca="1" si="24"/>
        <v>50516.853799543453</v>
      </c>
      <c r="AS55" s="701">
        <f t="shared" ca="1" si="24"/>
        <v>50415.867241037617</v>
      </c>
      <c r="AT55" s="701">
        <f t="shared" ca="1" si="24"/>
        <v>50290.620853038032</v>
      </c>
      <c r="AU55" s="701">
        <f t="shared" ca="1" si="24"/>
        <v>50149.581731690116</v>
      </c>
      <c r="AV55" s="701">
        <f t="shared" ca="1" si="24"/>
        <v>49996.642858518811</v>
      </c>
      <c r="AW55" s="701">
        <f t="shared" ca="1" si="24"/>
        <v>49832.673469162044</v>
      </c>
      <c r="AX55" s="701">
        <f t="shared" ca="1" si="24"/>
        <v>49672.151570790345</v>
      </c>
      <c r="AY55" s="701">
        <f t="shared" ca="1" si="24"/>
        <v>49512.17749985589</v>
      </c>
      <c r="AZ55" s="701">
        <f t="shared" ca="1" si="24"/>
        <v>49357.341980470504</v>
      </c>
      <c r="BA55" s="701">
        <f t="shared" ca="1" si="24"/>
        <v>0</v>
      </c>
      <c r="BB55" s="701">
        <f t="shared" ca="1" si="24"/>
        <v>0</v>
      </c>
      <c r="BC55" s="701">
        <f t="shared" ca="1" si="24"/>
        <v>0</v>
      </c>
      <c r="BD55" s="701">
        <f t="shared" ca="1" si="24"/>
        <v>0</v>
      </c>
      <c r="BE55" s="701">
        <f t="shared" ca="1" si="24"/>
        <v>0</v>
      </c>
      <c r="BF55" s="701">
        <f t="shared" ca="1" si="24"/>
        <v>0</v>
      </c>
      <c r="BG55" s="701">
        <f t="shared" ca="1" si="24"/>
        <v>0</v>
      </c>
      <c r="BH55" s="701">
        <f t="shared" ca="1" si="24"/>
        <v>0</v>
      </c>
      <c r="BI55" s="701">
        <f t="shared" ca="1" si="24"/>
        <v>0</v>
      </c>
      <c r="BJ55" s="701">
        <f t="shared" ca="1" si="24"/>
        <v>0</v>
      </c>
      <c r="BK55" s="701">
        <f t="shared" ca="1" si="24"/>
        <v>0</v>
      </c>
      <c r="BL55" s="701">
        <f t="shared" ca="1" si="24"/>
        <v>0</v>
      </c>
    </row>
    <row r="56" spans="1:64">
      <c r="A56" s="774" t="s">
        <v>640</v>
      </c>
      <c r="B56" s="701"/>
      <c r="C56" s="699"/>
      <c r="D56" s="701">
        <f t="shared" ref="D56:AI56" si="25">D39</f>
        <v>0</v>
      </c>
      <c r="E56" s="701">
        <f t="shared" ca="1" si="25"/>
        <v>0</v>
      </c>
      <c r="F56" s="701">
        <f t="shared" ca="1" si="25"/>
        <v>0</v>
      </c>
      <c r="G56" s="701">
        <f t="shared" ca="1" si="25"/>
        <v>0</v>
      </c>
      <c r="H56" s="701">
        <f t="shared" ca="1" si="25"/>
        <v>0</v>
      </c>
      <c r="I56" s="701">
        <f t="shared" ca="1" si="25"/>
        <v>0</v>
      </c>
      <c r="J56" s="701">
        <f t="shared" ca="1" si="25"/>
        <v>0</v>
      </c>
      <c r="K56" s="701">
        <f t="shared" ca="1" si="25"/>
        <v>0</v>
      </c>
      <c r="L56" s="701">
        <f t="shared" ca="1" si="25"/>
        <v>0</v>
      </c>
      <c r="M56" s="701">
        <f t="shared" ca="1" si="25"/>
        <v>0</v>
      </c>
      <c r="N56" s="701">
        <f t="shared" ca="1" si="25"/>
        <v>0</v>
      </c>
      <c r="O56" s="701">
        <f t="shared" ca="1" si="25"/>
        <v>0</v>
      </c>
      <c r="P56" s="701">
        <f t="shared" ca="1" si="25"/>
        <v>0</v>
      </c>
      <c r="Q56" s="701">
        <f t="shared" ca="1" si="25"/>
        <v>0</v>
      </c>
      <c r="R56" s="701">
        <f t="shared" ca="1" si="25"/>
        <v>84208.65413733173</v>
      </c>
      <c r="S56" s="701">
        <f t="shared" ca="1" si="25"/>
        <v>0</v>
      </c>
      <c r="T56" s="701">
        <f t="shared" ca="1" si="25"/>
        <v>0</v>
      </c>
      <c r="U56" s="701">
        <f t="shared" ca="1" si="25"/>
        <v>0</v>
      </c>
      <c r="V56" s="701">
        <f t="shared" ca="1" si="25"/>
        <v>0</v>
      </c>
      <c r="W56" s="701">
        <f t="shared" ca="1" si="25"/>
        <v>0</v>
      </c>
      <c r="X56" s="701">
        <f t="shared" ca="1" si="25"/>
        <v>0</v>
      </c>
      <c r="Y56" s="701">
        <f t="shared" ca="1" si="25"/>
        <v>0</v>
      </c>
      <c r="Z56" s="701">
        <f t="shared" ca="1" si="25"/>
        <v>0</v>
      </c>
      <c r="AA56" s="701">
        <f t="shared" ca="1" si="25"/>
        <v>0</v>
      </c>
      <c r="AB56" s="701">
        <f t="shared" ca="1" si="25"/>
        <v>0</v>
      </c>
      <c r="AC56" s="701">
        <f t="shared" ca="1" si="25"/>
        <v>0</v>
      </c>
      <c r="AD56" s="701">
        <f t="shared" ca="1" si="25"/>
        <v>121830.63756138863</v>
      </c>
      <c r="AE56" s="701">
        <f t="shared" ca="1" si="25"/>
        <v>0</v>
      </c>
      <c r="AF56" s="701">
        <f t="shared" ca="1" si="25"/>
        <v>0</v>
      </c>
      <c r="AG56" s="701">
        <f t="shared" ca="1" si="25"/>
        <v>0</v>
      </c>
      <c r="AH56" s="701">
        <f t="shared" ca="1" si="25"/>
        <v>3096.7182809322694</v>
      </c>
      <c r="AI56" s="701">
        <f t="shared" ca="1" si="25"/>
        <v>12000.194800012359</v>
      </c>
      <c r="AJ56" s="701">
        <f t="shared" ref="AJ56:BL56" ca="1" si="26">AJ39</f>
        <v>18034.824231602965</v>
      </c>
      <c r="AK56" s="701">
        <f t="shared" ca="1" si="26"/>
        <v>0</v>
      </c>
      <c r="AL56" s="701">
        <f t="shared" ca="1" si="26"/>
        <v>0</v>
      </c>
      <c r="AM56" s="701">
        <f t="shared" ca="1" si="26"/>
        <v>0</v>
      </c>
      <c r="AN56" s="701">
        <f t="shared" ca="1" si="26"/>
        <v>7503.3932735505005</v>
      </c>
      <c r="AO56" s="701">
        <f t="shared" ca="1" si="26"/>
        <v>7284.4350910807407</v>
      </c>
      <c r="AP56" s="701">
        <f t="shared" ca="1" si="26"/>
        <v>9831.8141769010836</v>
      </c>
      <c r="AQ56" s="701">
        <f t="shared" ca="1" si="26"/>
        <v>12599.406427289345</v>
      </c>
      <c r="AR56" s="701">
        <f t="shared" ca="1" si="26"/>
        <v>15695.692563069249</v>
      </c>
      <c r="AS56" s="701">
        <f t="shared" ca="1" si="26"/>
        <v>19466.242139592854</v>
      </c>
      <c r="AT56" s="701">
        <f t="shared" ca="1" si="26"/>
        <v>21920.805312353878</v>
      </c>
      <c r="AU56" s="701">
        <f t="shared" ca="1" si="26"/>
        <v>23770.307355419827</v>
      </c>
      <c r="AV56" s="701">
        <f t="shared" ca="1" si="26"/>
        <v>25484.709682479559</v>
      </c>
      <c r="AW56" s="701">
        <f t="shared" ca="1" si="26"/>
        <v>24948.888288878115</v>
      </c>
      <c r="AX56" s="701">
        <f t="shared" ca="1" si="26"/>
        <v>24863.742987301448</v>
      </c>
      <c r="AY56" s="701">
        <f t="shared" ca="1" si="26"/>
        <v>24065.090904736287</v>
      </c>
      <c r="AZ56" s="701">
        <f t="shared" ca="1" si="26"/>
        <v>7671294.8395642787</v>
      </c>
      <c r="BA56" s="701">
        <f t="shared" ca="1" si="26"/>
        <v>0</v>
      </c>
      <c r="BB56" s="701">
        <f t="shared" ca="1" si="26"/>
        <v>0</v>
      </c>
      <c r="BC56" s="701">
        <f t="shared" ca="1" si="26"/>
        <v>0</v>
      </c>
      <c r="BD56" s="701">
        <f t="shared" ca="1" si="26"/>
        <v>0</v>
      </c>
      <c r="BE56" s="701">
        <f t="shared" ca="1" si="26"/>
        <v>0</v>
      </c>
      <c r="BF56" s="701">
        <f t="shared" ca="1" si="26"/>
        <v>0</v>
      </c>
      <c r="BG56" s="701">
        <f t="shared" ca="1" si="26"/>
        <v>0</v>
      </c>
      <c r="BH56" s="701">
        <f t="shared" ca="1" si="26"/>
        <v>0</v>
      </c>
      <c r="BI56" s="701">
        <f t="shared" ca="1" si="26"/>
        <v>0</v>
      </c>
      <c r="BJ56" s="701">
        <f t="shared" ca="1" si="26"/>
        <v>0</v>
      </c>
      <c r="BK56" s="701">
        <f t="shared" ca="1" si="26"/>
        <v>0</v>
      </c>
      <c r="BL56" s="701">
        <f t="shared" ca="1" si="26"/>
        <v>0</v>
      </c>
    </row>
    <row r="57" spans="1:64">
      <c r="A57" s="774" t="s">
        <v>541</v>
      </c>
      <c r="B57" s="701"/>
      <c r="C57" s="703"/>
      <c r="D57" s="754">
        <f t="shared" ref="D57:AI57" ca="1" si="27">SUM(D52:D56)</f>
        <v>-6170830.5186084136</v>
      </c>
      <c r="E57" s="754">
        <f t="shared" ca="1" si="27"/>
        <v>-6999256.468321437</v>
      </c>
      <c r="F57" s="754">
        <f t="shared" ca="1" si="27"/>
        <v>-7081252.1763485698</v>
      </c>
      <c r="G57" s="754">
        <f t="shared" ca="1" si="27"/>
        <v>-7164208.4572830247</v>
      </c>
      <c r="H57" s="754">
        <f t="shared" ca="1" si="27"/>
        <v>-7248136.5641566077</v>
      </c>
      <c r="I57" s="754">
        <f t="shared" ca="1" si="27"/>
        <v>-7333047.8818294546</v>
      </c>
      <c r="J57" s="754">
        <f t="shared" ca="1" si="27"/>
        <v>-7418953.9285343941</v>
      </c>
      <c r="K57" s="754">
        <f t="shared" ca="1" si="27"/>
        <v>-7505866.3574393988</v>
      </c>
      <c r="L57" s="754">
        <f t="shared" ca="1" si="27"/>
        <v>-7593796.9582283273</v>
      </c>
      <c r="M57" s="754">
        <f t="shared" ca="1" si="27"/>
        <v>-7682757.6587002287</v>
      </c>
      <c r="N57" s="754">
        <f t="shared" ca="1" si="27"/>
        <v>-7772760.5263873013</v>
      </c>
      <c r="O57" s="754">
        <f t="shared" ca="1" si="27"/>
        <v>-7863817.7701918837</v>
      </c>
      <c r="P57" s="754">
        <f t="shared" ca="1" si="27"/>
        <v>-7955941.7420425965</v>
      </c>
      <c r="Q57" s="754">
        <f t="shared" ca="1" si="27"/>
        <v>-8049144.9385698754</v>
      </c>
      <c r="R57" s="754">
        <f t="shared" ca="1" si="27"/>
        <v>-8010821.689827132</v>
      </c>
      <c r="S57" s="754">
        <f t="shared" ca="1" si="27"/>
        <v>-8104667.865733901</v>
      </c>
      <c r="T57" s="754">
        <f t="shared" ca="1" si="27"/>
        <v>-8199613.3764440399</v>
      </c>
      <c r="U57" s="754">
        <f t="shared" ca="1" si="27"/>
        <v>-8295671.1659240667</v>
      </c>
      <c r="V57" s="754">
        <f t="shared" ca="1" si="27"/>
        <v>-8392854.2644273322</v>
      </c>
      <c r="W57" s="754">
        <f t="shared" ca="1" si="27"/>
        <v>-8491175.8548555486</v>
      </c>
      <c r="X57" s="754">
        <f t="shared" ca="1" si="27"/>
        <v>-8590649.2745470274</v>
      </c>
      <c r="Y57" s="754">
        <f t="shared" ca="1" si="27"/>
        <v>-8691288.0170858614</v>
      </c>
      <c r="Z57" s="754">
        <f t="shared" ca="1" si="27"/>
        <v>-8793105.7341323737</v>
      </c>
      <c r="AA57" s="754">
        <f t="shared" ca="1" si="27"/>
        <v>-8896116.2372749746</v>
      </c>
      <c r="AB57" s="754">
        <f t="shared" ca="1" si="27"/>
        <v>-9000333.4999036472</v>
      </c>
      <c r="AC57" s="754">
        <f t="shared" ca="1" si="27"/>
        <v>-9098565.650362812</v>
      </c>
      <c r="AD57" s="754">
        <f t="shared" ca="1" si="27"/>
        <v>-9032003.5354222767</v>
      </c>
      <c r="AE57" s="754">
        <f t="shared" ca="1" si="27"/>
        <v>-9116756.8249435257</v>
      </c>
      <c r="AF57" s="754">
        <f t="shared" ca="1" si="27"/>
        <v>-9194834.5134856068</v>
      </c>
      <c r="AG57" s="754">
        <f t="shared" ca="1" si="27"/>
        <v>-9266446.3064898811</v>
      </c>
      <c r="AH57" s="754">
        <f t="shared" ca="1" si="27"/>
        <v>-9320942.4935708307</v>
      </c>
      <c r="AI57" s="754">
        <f t="shared" ca="1" si="27"/>
        <v>-9367193.5657814145</v>
      </c>
      <c r="AJ57" s="754">
        <f t="shared" ref="AJ57:BL57" ca="1" si="28">SUM(AJ52:AJ56)</f>
        <v>-9408029.0456434172</v>
      </c>
      <c r="AK57" s="754">
        <f t="shared" ca="1" si="28"/>
        <v>-9468146.3300635945</v>
      </c>
      <c r="AL57" s="754">
        <f t="shared" ca="1" si="28"/>
        <v>-9528391.8802054636</v>
      </c>
      <c r="AM57" s="754">
        <f t="shared" ca="1" si="28"/>
        <v>-9589570.4527531918</v>
      </c>
      <c r="AN57" s="754">
        <f t="shared" ca="1" si="28"/>
        <v>-9643651.8233028166</v>
      </c>
      <c r="AO57" s="754">
        <f t="shared" ca="1" si="28"/>
        <v>-9698633.9882542491</v>
      </c>
      <c r="AP57" s="754">
        <f t="shared" ca="1" si="28"/>
        <v>-9751759.7538903914</v>
      </c>
      <c r="AQ57" s="754">
        <f t="shared" ca="1" si="28"/>
        <v>-9802803.5493970644</v>
      </c>
      <c r="AR57" s="754">
        <f t="shared" ca="1" si="28"/>
        <v>-9851430.0975540299</v>
      </c>
      <c r="AS57" s="754">
        <f t="shared" ca="1" si="28"/>
        <v>-9896956.7386671733</v>
      </c>
      <c r="AT57" s="754">
        <f t="shared" ca="1" si="28"/>
        <v>-9940687.4038163759</v>
      </c>
      <c r="AU57" s="754">
        <f t="shared" ca="1" si="28"/>
        <v>-9983221.9071553517</v>
      </c>
      <c r="AV57" s="754">
        <f t="shared" ca="1" si="28"/>
        <v>-10024693.23521536</v>
      </c>
      <c r="AW57" s="754">
        <f t="shared" ca="1" si="28"/>
        <v>-10067350.187222639</v>
      </c>
      <c r="AX57" s="754">
        <f t="shared" ca="1" si="28"/>
        <v>-10110752.529079735</v>
      </c>
      <c r="AY57" s="754">
        <f t="shared" ca="1" si="28"/>
        <v>-10155621.951919856</v>
      </c>
      <c r="AZ57" s="754">
        <f t="shared" ca="1" si="28"/>
        <v>-2553942.1031809319</v>
      </c>
      <c r="BA57" s="754">
        <f t="shared" ca="1" si="28"/>
        <v>0</v>
      </c>
      <c r="BB57" s="754">
        <f t="shared" ca="1" si="28"/>
        <v>0</v>
      </c>
      <c r="BC57" s="754">
        <f t="shared" ca="1" si="28"/>
        <v>0</v>
      </c>
      <c r="BD57" s="754">
        <f t="shared" ca="1" si="28"/>
        <v>0</v>
      </c>
      <c r="BE57" s="754">
        <f t="shared" ca="1" si="28"/>
        <v>0</v>
      </c>
      <c r="BF57" s="754">
        <f t="shared" ca="1" si="28"/>
        <v>0</v>
      </c>
      <c r="BG57" s="754">
        <f t="shared" ca="1" si="28"/>
        <v>0</v>
      </c>
      <c r="BH57" s="754">
        <f t="shared" ca="1" si="28"/>
        <v>0</v>
      </c>
      <c r="BI57" s="754">
        <f t="shared" ca="1" si="28"/>
        <v>0</v>
      </c>
      <c r="BJ57" s="754">
        <f t="shared" ca="1" si="28"/>
        <v>0</v>
      </c>
      <c r="BK57" s="754">
        <f t="shared" ca="1" si="28"/>
        <v>0</v>
      </c>
      <c r="BL57" s="754">
        <f t="shared" ca="1" si="28"/>
        <v>0</v>
      </c>
    </row>
    <row r="58" spans="1:64">
      <c r="A58" s="778">
        <f ca="1">1-G9</f>
        <v>0.83661801225213517</v>
      </c>
      <c r="B58" s="701"/>
      <c r="C58" s="699"/>
      <c r="D58" s="701">
        <f t="shared" ref="D58:BL58" ca="1" si="29">MIN(-D57,D49*$A58)</f>
        <v>0</v>
      </c>
      <c r="E58" s="701">
        <f t="shared" ca="1" si="29"/>
        <v>0</v>
      </c>
      <c r="F58" s="701">
        <f t="shared" ca="1" si="29"/>
        <v>0</v>
      </c>
      <c r="G58" s="701">
        <f t="shared" ca="1" si="29"/>
        <v>0</v>
      </c>
      <c r="H58" s="701">
        <f t="shared" ca="1" si="29"/>
        <v>0</v>
      </c>
      <c r="I58" s="701">
        <f t="shared" ca="1" si="29"/>
        <v>0</v>
      </c>
      <c r="J58" s="701">
        <f t="shared" ca="1" si="29"/>
        <v>0</v>
      </c>
      <c r="K58" s="701">
        <f t="shared" ca="1" si="29"/>
        <v>0</v>
      </c>
      <c r="L58" s="701">
        <f t="shared" ca="1" si="29"/>
        <v>0</v>
      </c>
      <c r="M58" s="701">
        <f t="shared" ca="1" si="29"/>
        <v>0</v>
      </c>
      <c r="N58" s="701">
        <f t="shared" ca="1" si="29"/>
        <v>0</v>
      </c>
      <c r="O58" s="701">
        <f t="shared" ca="1" si="29"/>
        <v>0</v>
      </c>
      <c r="P58" s="701">
        <f t="shared" ca="1" si="29"/>
        <v>0</v>
      </c>
      <c r="Q58" s="701">
        <f t="shared" ca="1" si="29"/>
        <v>0</v>
      </c>
      <c r="R58" s="701">
        <f t="shared" ca="1" si="29"/>
        <v>-6.4593905757858894E-2</v>
      </c>
      <c r="S58" s="701">
        <f t="shared" ca="1" si="29"/>
        <v>0</v>
      </c>
      <c r="T58" s="701">
        <f t="shared" ca="1" si="29"/>
        <v>0</v>
      </c>
      <c r="U58" s="701">
        <f t="shared" ca="1" si="29"/>
        <v>0</v>
      </c>
      <c r="V58" s="701">
        <f t="shared" ca="1" si="29"/>
        <v>0</v>
      </c>
      <c r="W58" s="701">
        <f t="shared" ca="1" si="29"/>
        <v>0</v>
      </c>
      <c r="X58" s="701">
        <f t="shared" ca="1" si="29"/>
        <v>0</v>
      </c>
      <c r="Y58" s="701">
        <f t="shared" ca="1" si="29"/>
        <v>0</v>
      </c>
      <c r="Z58" s="701">
        <f t="shared" ca="1" si="29"/>
        <v>0</v>
      </c>
      <c r="AA58" s="701">
        <f t="shared" ca="1" si="29"/>
        <v>0</v>
      </c>
      <c r="AB58" s="701">
        <f t="shared" ca="1" si="29"/>
        <v>0</v>
      </c>
      <c r="AC58" s="701">
        <f t="shared" ca="1" si="29"/>
        <v>-9.1198817741834776E-3</v>
      </c>
      <c r="AD58" s="701">
        <f t="shared" ca="1" si="29"/>
        <v>-6.4593905782207681E-2</v>
      </c>
      <c r="AE58" s="701">
        <f t="shared" ca="1" si="29"/>
        <v>-2.6912906326626396E-2</v>
      </c>
      <c r="AF58" s="701">
        <f t="shared" ca="1" si="29"/>
        <v>-3.657712879047733E-2</v>
      </c>
      <c r="AG58" s="701">
        <f t="shared" ca="1" si="29"/>
        <v>-4.5847482401167129E-2</v>
      </c>
      <c r="AH58" s="701">
        <f t="shared" ca="1" si="29"/>
        <v>-6.459390577612048E-2</v>
      </c>
      <c r="AI58" s="701">
        <f t="shared" ca="1" si="29"/>
        <v>-6.459390577612048E-2</v>
      </c>
      <c r="AJ58" s="701">
        <f t="shared" ca="1" si="29"/>
        <v>-6.4593905782207681E-2</v>
      </c>
      <c r="AK58" s="701">
        <f t="shared" ca="1" si="29"/>
        <v>-6.3763330776973465E-2</v>
      </c>
      <c r="AL58" s="701">
        <f t="shared" ca="1" si="29"/>
        <v>-6.4491128850803034E-2</v>
      </c>
      <c r="AM58" s="701">
        <f t="shared" ca="1" si="29"/>
        <v>-6.4201252594067851E-2</v>
      </c>
      <c r="AN58" s="701">
        <f t="shared" ca="1" si="29"/>
        <v>-6.459390577612048E-2</v>
      </c>
      <c r="AO58" s="701">
        <f t="shared" ca="1" si="29"/>
        <v>-6.459390577612048E-2</v>
      </c>
      <c r="AP58" s="701">
        <f t="shared" ca="1" si="29"/>
        <v>-6.459390577612048E-2</v>
      </c>
      <c r="AQ58" s="701">
        <f t="shared" ca="1" si="29"/>
        <v>-6.459390577612048E-2</v>
      </c>
      <c r="AR58" s="701">
        <f t="shared" ca="1" si="29"/>
        <v>-6.459390577003328E-2</v>
      </c>
      <c r="AS58" s="701">
        <f t="shared" ca="1" si="29"/>
        <v>-6.459390577003328E-2</v>
      </c>
      <c r="AT58" s="701">
        <f t="shared" ca="1" si="29"/>
        <v>-6.459390577003328E-2</v>
      </c>
      <c r="AU58" s="701">
        <f t="shared" ca="1" si="29"/>
        <v>-6.4593905782207681E-2</v>
      </c>
      <c r="AV58" s="701">
        <f t="shared" ca="1" si="29"/>
        <v>-6.4593905782207681E-2</v>
      </c>
      <c r="AW58" s="701">
        <f t="shared" ca="1" si="29"/>
        <v>-6.4593905782207681E-2</v>
      </c>
      <c r="AX58" s="701">
        <f t="shared" ca="1" si="29"/>
        <v>-6.4593905782207681E-2</v>
      </c>
      <c r="AY58" s="701">
        <f t="shared" ca="1" si="29"/>
        <v>-6.4593905782207681E-2</v>
      </c>
      <c r="AZ58" s="701">
        <f t="shared" ca="1" si="29"/>
        <v>2553942.1031809319</v>
      </c>
      <c r="BA58" s="701">
        <f t="shared" ca="1" si="29"/>
        <v>0</v>
      </c>
      <c r="BB58" s="701">
        <f t="shared" ca="1" si="29"/>
        <v>0</v>
      </c>
      <c r="BC58" s="701">
        <f t="shared" ca="1" si="29"/>
        <v>0</v>
      </c>
      <c r="BD58" s="701">
        <f t="shared" ca="1" si="29"/>
        <v>0</v>
      </c>
      <c r="BE58" s="701">
        <f t="shared" ca="1" si="29"/>
        <v>0</v>
      </c>
      <c r="BF58" s="701">
        <f t="shared" ca="1" si="29"/>
        <v>0</v>
      </c>
      <c r="BG58" s="701">
        <f t="shared" ca="1" si="29"/>
        <v>0</v>
      </c>
      <c r="BH58" s="701">
        <f t="shared" ca="1" si="29"/>
        <v>0</v>
      </c>
      <c r="BI58" s="701">
        <f t="shared" ca="1" si="29"/>
        <v>0</v>
      </c>
      <c r="BJ58" s="701">
        <f t="shared" ca="1" si="29"/>
        <v>0</v>
      </c>
      <c r="BK58" s="701">
        <f t="shared" ca="1" si="29"/>
        <v>0</v>
      </c>
      <c r="BL58" s="701">
        <f t="shared" ca="1" si="29"/>
        <v>0</v>
      </c>
    </row>
    <row r="59" spans="1:64">
      <c r="A59" s="774" t="s">
        <v>675</v>
      </c>
      <c r="B59" s="702">
        <f ca="1">E9</f>
        <v>0.91338198774786505</v>
      </c>
      <c r="C59" s="699"/>
      <c r="D59" s="701">
        <v>0</v>
      </c>
      <c r="E59" s="701">
        <f t="shared" ref="E59:T60" ca="1" si="30">E$58*$B59</f>
        <v>0</v>
      </c>
      <c r="F59" s="701">
        <f t="shared" ca="1" si="30"/>
        <v>0</v>
      </c>
      <c r="G59" s="701">
        <f t="shared" ca="1" si="30"/>
        <v>0</v>
      </c>
      <c r="H59" s="701">
        <f t="shared" ca="1" si="30"/>
        <v>0</v>
      </c>
      <c r="I59" s="701">
        <f t="shared" ca="1" si="30"/>
        <v>0</v>
      </c>
      <c r="J59" s="701">
        <f t="shared" ca="1" si="30"/>
        <v>0</v>
      </c>
      <c r="K59" s="701">
        <f t="shared" ca="1" si="30"/>
        <v>0</v>
      </c>
      <c r="L59" s="701">
        <f t="shared" ca="1" si="30"/>
        <v>0</v>
      </c>
      <c r="M59" s="701">
        <f t="shared" ca="1" si="30"/>
        <v>0</v>
      </c>
      <c r="N59" s="701">
        <f t="shared" ca="1" si="30"/>
        <v>0</v>
      </c>
      <c r="O59" s="701">
        <f t="shared" ca="1" si="30"/>
        <v>0</v>
      </c>
      <c r="P59" s="701">
        <f t="shared" ca="1" si="30"/>
        <v>0</v>
      </c>
      <c r="Q59" s="701">
        <f t="shared" ca="1" si="30"/>
        <v>0</v>
      </c>
      <c r="R59" s="701">
        <f t="shared" ca="1" si="30"/>
        <v>-5.8998910037511419E-2</v>
      </c>
      <c r="S59" s="701">
        <f t="shared" ca="1" si="30"/>
        <v>0</v>
      </c>
      <c r="T59" s="701">
        <f t="shared" ca="1" si="30"/>
        <v>0</v>
      </c>
      <c r="U59" s="701">
        <f t="shared" ref="U59:AJ60" ca="1" si="31">U$58*$B59</f>
        <v>0</v>
      </c>
      <c r="V59" s="701">
        <f t="shared" ca="1" si="31"/>
        <v>0</v>
      </c>
      <c r="W59" s="701">
        <f t="shared" ca="1" si="31"/>
        <v>0</v>
      </c>
      <c r="X59" s="701">
        <f t="shared" ca="1" si="31"/>
        <v>0</v>
      </c>
      <c r="Y59" s="701">
        <f t="shared" ca="1" si="31"/>
        <v>0</v>
      </c>
      <c r="Z59" s="701">
        <f t="shared" ca="1" si="31"/>
        <v>0</v>
      </c>
      <c r="AA59" s="701">
        <f t="shared" ca="1" si="31"/>
        <v>0</v>
      </c>
      <c r="AB59" s="701">
        <f t="shared" ca="1" si="31"/>
        <v>0</v>
      </c>
      <c r="AC59" s="701">
        <f t="shared" ca="1" si="31"/>
        <v>-8.3299357429292304E-3</v>
      </c>
      <c r="AD59" s="701">
        <f t="shared" ca="1" si="31"/>
        <v>-5.8998910059751164E-2</v>
      </c>
      <c r="AE59" s="701">
        <f t="shared" ca="1" si="31"/>
        <v>-2.4581763876686112E-2</v>
      </c>
      <c r="AF59" s="701">
        <f t="shared" ca="1" si="31"/>
        <v>-3.3408890600755844E-2</v>
      </c>
      <c r="AG59" s="701">
        <f t="shared" ca="1" si="31"/>
        <v>-4.1876264608813295E-2</v>
      </c>
      <c r="AH59" s="701">
        <f t="shared" ca="1" si="31"/>
        <v>-5.899891005419123E-2</v>
      </c>
      <c r="AI59" s="701">
        <f t="shared" ca="1" si="31"/>
        <v>-5.899891005419123E-2</v>
      </c>
      <c r="AJ59" s="701">
        <f t="shared" ca="1" si="31"/>
        <v>-5.8998910059751164E-2</v>
      </c>
      <c r="AK59" s="701">
        <f t="shared" ref="AK59:AZ60" ca="1" si="32">AK$58*$B59</f>
        <v>-5.8240277810496642E-2</v>
      </c>
      <c r="AL59" s="701">
        <f t="shared" ca="1" si="32"/>
        <v>-5.8905035461850164E-2</v>
      </c>
      <c r="AM59" s="701">
        <f t="shared" ca="1" si="32"/>
        <v>-5.8640267710272469E-2</v>
      </c>
      <c r="AN59" s="701">
        <f t="shared" ca="1" si="32"/>
        <v>-5.899891005419123E-2</v>
      </c>
      <c r="AO59" s="701">
        <f t="shared" ca="1" si="32"/>
        <v>-5.899891005419123E-2</v>
      </c>
      <c r="AP59" s="701">
        <f t="shared" ca="1" si="32"/>
        <v>-5.899891005419123E-2</v>
      </c>
      <c r="AQ59" s="701">
        <f t="shared" ca="1" si="32"/>
        <v>-5.899891005419123E-2</v>
      </c>
      <c r="AR59" s="701">
        <f t="shared" ca="1" si="32"/>
        <v>-5.8998910048631288E-2</v>
      </c>
      <c r="AS59" s="701">
        <f t="shared" ca="1" si="32"/>
        <v>-5.8998910048631288E-2</v>
      </c>
      <c r="AT59" s="701">
        <f t="shared" ca="1" si="32"/>
        <v>-5.8998910048631288E-2</v>
      </c>
      <c r="AU59" s="701">
        <f t="shared" ca="1" si="32"/>
        <v>-5.8998910059751164E-2</v>
      </c>
      <c r="AV59" s="701">
        <f t="shared" ca="1" si="32"/>
        <v>-5.8998910059751164E-2</v>
      </c>
      <c r="AW59" s="701">
        <f t="shared" ca="1" si="32"/>
        <v>-5.8998910059751164E-2</v>
      </c>
      <c r="AX59" s="701">
        <f t="shared" ca="1" si="32"/>
        <v>-5.8998910059751164E-2</v>
      </c>
      <c r="AY59" s="701">
        <f t="shared" ca="1" si="32"/>
        <v>-5.8998910059751164E-2</v>
      </c>
      <c r="AZ59" s="701">
        <f t="shared" ca="1" si="32"/>
        <v>2332724.7147963624</v>
      </c>
      <c r="BA59" s="701">
        <f t="shared" ref="BA59:BL60" ca="1" si="33">BA$58*$B59</f>
        <v>0</v>
      </c>
      <c r="BB59" s="701">
        <f t="shared" ca="1" si="33"/>
        <v>0</v>
      </c>
      <c r="BC59" s="701">
        <f t="shared" ca="1" si="33"/>
        <v>0</v>
      </c>
      <c r="BD59" s="701">
        <f t="shared" ca="1" si="33"/>
        <v>0</v>
      </c>
      <c r="BE59" s="701">
        <f t="shared" ca="1" si="33"/>
        <v>0</v>
      </c>
      <c r="BF59" s="701">
        <f t="shared" ca="1" si="33"/>
        <v>0</v>
      </c>
      <c r="BG59" s="701">
        <f t="shared" ca="1" si="33"/>
        <v>0</v>
      </c>
      <c r="BH59" s="701">
        <f t="shared" ca="1" si="33"/>
        <v>0</v>
      </c>
      <c r="BI59" s="701">
        <f t="shared" ca="1" si="33"/>
        <v>0</v>
      </c>
      <c r="BJ59" s="701">
        <f t="shared" ca="1" si="33"/>
        <v>0</v>
      </c>
      <c r="BK59" s="701">
        <f t="shared" ca="1" si="33"/>
        <v>0</v>
      </c>
      <c r="BL59" s="701">
        <f t="shared" ca="1" si="33"/>
        <v>0</v>
      </c>
    </row>
    <row r="60" spans="1:64">
      <c r="A60" s="774" t="s">
        <v>676</v>
      </c>
      <c r="B60" s="702">
        <f ca="1">1-B59</f>
        <v>8.6618012252134946E-2</v>
      </c>
      <c r="C60" s="699"/>
      <c r="D60" s="701">
        <v>0</v>
      </c>
      <c r="E60" s="701">
        <f t="shared" ca="1" si="30"/>
        <v>0</v>
      </c>
      <c r="F60" s="701">
        <f t="shared" ca="1" si="30"/>
        <v>0</v>
      </c>
      <c r="G60" s="701">
        <f t="shared" ca="1" si="30"/>
        <v>0</v>
      </c>
      <c r="H60" s="701">
        <f t="shared" ca="1" si="30"/>
        <v>0</v>
      </c>
      <c r="I60" s="701">
        <f t="shared" ca="1" si="30"/>
        <v>0</v>
      </c>
      <c r="J60" s="701">
        <f t="shared" ca="1" si="30"/>
        <v>0</v>
      </c>
      <c r="K60" s="701">
        <f t="shared" ca="1" si="30"/>
        <v>0</v>
      </c>
      <c r="L60" s="701">
        <f t="shared" ca="1" si="30"/>
        <v>0</v>
      </c>
      <c r="M60" s="701">
        <f t="shared" ca="1" si="30"/>
        <v>0</v>
      </c>
      <c r="N60" s="701">
        <f t="shared" ca="1" si="30"/>
        <v>0</v>
      </c>
      <c r="O60" s="701">
        <f t="shared" ca="1" si="30"/>
        <v>0</v>
      </c>
      <c r="P60" s="701">
        <f t="shared" ca="1" si="30"/>
        <v>0</v>
      </c>
      <c r="Q60" s="701">
        <f t="shared" ca="1" si="30"/>
        <v>0</v>
      </c>
      <c r="R60" s="701">
        <f t="shared" ca="1" si="30"/>
        <v>-5.594995720347472E-3</v>
      </c>
      <c r="S60" s="701">
        <f t="shared" ca="1" si="30"/>
        <v>0</v>
      </c>
      <c r="T60" s="701">
        <f t="shared" ca="1" si="30"/>
        <v>0</v>
      </c>
      <c r="U60" s="701">
        <f t="shared" ca="1" si="31"/>
        <v>0</v>
      </c>
      <c r="V60" s="701">
        <f t="shared" ca="1" si="31"/>
        <v>0</v>
      </c>
      <c r="W60" s="701">
        <f t="shared" ca="1" si="31"/>
        <v>0</v>
      </c>
      <c r="X60" s="701">
        <f t="shared" ca="1" si="31"/>
        <v>0</v>
      </c>
      <c r="Y60" s="701">
        <f t="shared" ca="1" si="31"/>
        <v>0</v>
      </c>
      <c r="Z60" s="701">
        <f t="shared" ca="1" si="31"/>
        <v>0</v>
      </c>
      <c r="AA60" s="701">
        <f t="shared" ca="1" si="31"/>
        <v>0</v>
      </c>
      <c r="AB60" s="701">
        <f t="shared" ca="1" si="31"/>
        <v>0</v>
      </c>
      <c r="AC60" s="701">
        <f t="shared" ca="1" si="31"/>
        <v>-7.8994603125424662E-4</v>
      </c>
      <c r="AD60" s="701">
        <f t="shared" ca="1" si="31"/>
        <v>-5.5949957224565149E-3</v>
      </c>
      <c r="AE60" s="701">
        <f t="shared" ca="1" si="31"/>
        <v>-2.3311424499402851E-3</v>
      </c>
      <c r="AF60" s="701">
        <f t="shared" ca="1" si="31"/>
        <v>-3.1682381897214832E-3</v>
      </c>
      <c r="AG60" s="701">
        <f t="shared" ca="1" si="31"/>
        <v>-3.9712177923538353E-3</v>
      </c>
      <c r="AH60" s="701">
        <f t="shared" ca="1" si="31"/>
        <v>-5.5949957219292544E-3</v>
      </c>
      <c r="AI60" s="701">
        <f t="shared" ca="1" si="31"/>
        <v>-5.5949957219292544E-3</v>
      </c>
      <c r="AJ60" s="701">
        <f t="shared" ca="1" si="31"/>
        <v>-5.5949957224565149E-3</v>
      </c>
      <c r="AK60" s="701">
        <f t="shared" ca="1" si="32"/>
        <v>-5.523052966476821E-3</v>
      </c>
      <c r="AL60" s="701">
        <f t="shared" ca="1" si="32"/>
        <v>-5.5860933889528711E-3</v>
      </c>
      <c r="AM60" s="701">
        <f t="shared" ca="1" si="32"/>
        <v>-5.5609848837953795E-3</v>
      </c>
      <c r="AN60" s="701">
        <f t="shared" ca="1" si="32"/>
        <v>-5.5949957219292544E-3</v>
      </c>
      <c r="AO60" s="701">
        <f t="shared" ca="1" si="32"/>
        <v>-5.5949957219292544E-3</v>
      </c>
      <c r="AP60" s="701">
        <f t="shared" ca="1" si="32"/>
        <v>-5.5949957219292544E-3</v>
      </c>
      <c r="AQ60" s="701">
        <f t="shared" ca="1" si="32"/>
        <v>-5.5949957219292544E-3</v>
      </c>
      <c r="AR60" s="701">
        <f t="shared" ca="1" si="32"/>
        <v>-5.594995721401993E-3</v>
      </c>
      <c r="AS60" s="701">
        <f t="shared" ca="1" si="32"/>
        <v>-5.594995721401993E-3</v>
      </c>
      <c r="AT60" s="701">
        <f t="shared" ca="1" si="32"/>
        <v>-5.594995721401993E-3</v>
      </c>
      <c r="AU60" s="701">
        <f t="shared" ca="1" si="32"/>
        <v>-5.5949957224565149E-3</v>
      </c>
      <c r="AV60" s="701">
        <f t="shared" ca="1" si="32"/>
        <v>-5.5949957224565149E-3</v>
      </c>
      <c r="AW60" s="701">
        <f t="shared" ca="1" si="32"/>
        <v>-5.5949957224565149E-3</v>
      </c>
      <c r="AX60" s="701">
        <f t="shared" ca="1" si="32"/>
        <v>-5.5949957224565149E-3</v>
      </c>
      <c r="AY60" s="701">
        <f t="shared" ca="1" si="32"/>
        <v>-5.5949957224565149E-3</v>
      </c>
      <c r="AZ60" s="701">
        <f t="shared" ca="1" si="32"/>
        <v>221217.38838456926</v>
      </c>
      <c r="BA60" s="701">
        <f t="shared" ca="1" si="33"/>
        <v>0</v>
      </c>
      <c r="BB60" s="701">
        <f t="shared" ca="1" si="33"/>
        <v>0</v>
      </c>
      <c r="BC60" s="701">
        <f t="shared" ca="1" si="33"/>
        <v>0</v>
      </c>
      <c r="BD60" s="701">
        <f t="shared" ca="1" si="33"/>
        <v>0</v>
      </c>
      <c r="BE60" s="701">
        <f t="shared" ca="1" si="33"/>
        <v>0</v>
      </c>
      <c r="BF60" s="701">
        <f t="shared" ca="1" si="33"/>
        <v>0</v>
      </c>
      <c r="BG60" s="701">
        <f t="shared" ca="1" si="33"/>
        <v>0</v>
      </c>
      <c r="BH60" s="701">
        <f t="shared" ca="1" si="33"/>
        <v>0</v>
      </c>
      <c r="BI60" s="701">
        <f t="shared" ca="1" si="33"/>
        <v>0</v>
      </c>
      <c r="BJ60" s="701">
        <f t="shared" ca="1" si="33"/>
        <v>0</v>
      </c>
      <c r="BK60" s="701">
        <f t="shared" ca="1" si="33"/>
        <v>0</v>
      </c>
      <c r="BL60" s="701">
        <f t="shared" ca="1" si="33"/>
        <v>0</v>
      </c>
    </row>
    <row r="61" spans="1:64">
      <c r="A61" s="774" t="s">
        <v>646</v>
      </c>
      <c r="B61" s="701"/>
      <c r="C61" s="703"/>
      <c r="D61" s="754">
        <f t="shared" ref="D61:BL61" ca="1" si="34">SUM(D57:D58)</f>
        <v>-6170830.5186084136</v>
      </c>
      <c r="E61" s="754">
        <f t="shared" ca="1" si="34"/>
        <v>-6999256.468321437</v>
      </c>
      <c r="F61" s="754">
        <f t="shared" ca="1" si="34"/>
        <v>-7081252.1763485698</v>
      </c>
      <c r="G61" s="754">
        <f t="shared" ca="1" si="34"/>
        <v>-7164208.4572830247</v>
      </c>
      <c r="H61" s="754">
        <f t="shared" ca="1" si="34"/>
        <v>-7248136.5641566077</v>
      </c>
      <c r="I61" s="754">
        <f t="shared" ca="1" si="34"/>
        <v>-7333047.8818294546</v>
      </c>
      <c r="J61" s="754">
        <f t="shared" ca="1" si="34"/>
        <v>-7418953.9285343941</v>
      </c>
      <c r="K61" s="754">
        <f t="shared" ca="1" si="34"/>
        <v>-7505866.3574393988</v>
      </c>
      <c r="L61" s="754">
        <f t="shared" ca="1" si="34"/>
        <v>-7593796.9582283273</v>
      </c>
      <c r="M61" s="754">
        <f t="shared" ca="1" si="34"/>
        <v>-7682757.6587002287</v>
      </c>
      <c r="N61" s="754">
        <f t="shared" ca="1" si="34"/>
        <v>-7772760.5263873013</v>
      </c>
      <c r="O61" s="754">
        <f t="shared" ca="1" si="34"/>
        <v>-7863817.7701918837</v>
      </c>
      <c r="P61" s="754">
        <f t="shared" ca="1" si="34"/>
        <v>-7955941.7420425965</v>
      </c>
      <c r="Q61" s="754">
        <f t="shared" ca="1" si="34"/>
        <v>-8049144.9385698754</v>
      </c>
      <c r="R61" s="754">
        <f t="shared" ca="1" si="34"/>
        <v>-8010821.7544210376</v>
      </c>
      <c r="S61" s="754">
        <f t="shared" ca="1" si="34"/>
        <v>-8104667.865733901</v>
      </c>
      <c r="T61" s="754">
        <f t="shared" ca="1" si="34"/>
        <v>-8199613.3764440399</v>
      </c>
      <c r="U61" s="754">
        <f t="shared" ca="1" si="34"/>
        <v>-8295671.1659240667</v>
      </c>
      <c r="V61" s="754">
        <f t="shared" ca="1" si="34"/>
        <v>-8392854.2644273322</v>
      </c>
      <c r="W61" s="754">
        <f t="shared" ca="1" si="34"/>
        <v>-8491175.8548555486</v>
      </c>
      <c r="X61" s="754">
        <f t="shared" ca="1" si="34"/>
        <v>-8590649.2745470274</v>
      </c>
      <c r="Y61" s="754">
        <f t="shared" ca="1" si="34"/>
        <v>-8691288.0170858614</v>
      </c>
      <c r="Z61" s="754">
        <f t="shared" ca="1" si="34"/>
        <v>-8793105.7341323737</v>
      </c>
      <c r="AA61" s="754">
        <f t="shared" ca="1" si="34"/>
        <v>-8896116.2372749746</v>
      </c>
      <c r="AB61" s="754">
        <f t="shared" ca="1" si="34"/>
        <v>-9000333.4999036472</v>
      </c>
      <c r="AC61" s="754">
        <f t="shared" ca="1" si="34"/>
        <v>-9098565.6594826933</v>
      </c>
      <c r="AD61" s="754">
        <f t="shared" ca="1" si="34"/>
        <v>-9032003.6000161823</v>
      </c>
      <c r="AE61" s="754">
        <f t="shared" ca="1" si="34"/>
        <v>-9116756.8518564329</v>
      </c>
      <c r="AF61" s="754">
        <f t="shared" ca="1" si="34"/>
        <v>-9194834.5500627346</v>
      </c>
      <c r="AG61" s="754">
        <f t="shared" ca="1" si="34"/>
        <v>-9266446.3523373641</v>
      </c>
      <c r="AH61" s="754">
        <f t="shared" ca="1" si="34"/>
        <v>-9320942.5581647363</v>
      </c>
      <c r="AI61" s="754">
        <f t="shared" ca="1" si="34"/>
        <v>-9367193.6303753201</v>
      </c>
      <c r="AJ61" s="754">
        <f t="shared" ca="1" si="34"/>
        <v>-9408029.1102373227</v>
      </c>
      <c r="AK61" s="754">
        <f t="shared" ca="1" si="34"/>
        <v>-9468146.3938269261</v>
      </c>
      <c r="AL61" s="754">
        <f t="shared" ca="1" si="34"/>
        <v>-9528391.9446965922</v>
      </c>
      <c r="AM61" s="754">
        <f t="shared" ca="1" si="34"/>
        <v>-9589570.5169544443</v>
      </c>
      <c r="AN61" s="754">
        <f t="shared" ca="1" si="34"/>
        <v>-9643651.8878967222</v>
      </c>
      <c r="AO61" s="754">
        <f t="shared" ca="1" si="34"/>
        <v>-9698634.0528481547</v>
      </c>
      <c r="AP61" s="754">
        <f t="shared" ca="1" si="34"/>
        <v>-9751759.818484297</v>
      </c>
      <c r="AQ61" s="754">
        <f t="shared" ca="1" si="34"/>
        <v>-9802803.61399097</v>
      </c>
      <c r="AR61" s="754">
        <f t="shared" ca="1" si="34"/>
        <v>-9851430.1621479355</v>
      </c>
      <c r="AS61" s="754">
        <f t="shared" ca="1" si="34"/>
        <v>-9896956.8032610789</v>
      </c>
      <c r="AT61" s="754">
        <f t="shared" ca="1" si="34"/>
        <v>-9940687.4684102815</v>
      </c>
      <c r="AU61" s="754">
        <f t="shared" ca="1" si="34"/>
        <v>-9983221.9717492573</v>
      </c>
      <c r="AV61" s="754">
        <f t="shared" ca="1" si="34"/>
        <v>-10024693.299809266</v>
      </c>
      <c r="AW61" s="754">
        <f t="shared" ca="1" si="34"/>
        <v>-10067350.251816545</v>
      </c>
      <c r="AX61" s="754">
        <f t="shared" ca="1" si="34"/>
        <v>-10110752.593673641</v>
      </c>
      <c r="AY61" s="754">
        <f t="shared" ca="1" si="34"/>
        <v>-10155622.016513761</v>
      </c>
      <c r="AZ61" s="754">
        <f t="shared" ca="1" si="34"/>
        <v>0</v>
      </c>
      <c r="BA61" s="754">
        <f t="shared" ca="1" si="34"/>
        <v>0</v>
      </c>
      <c r="BB61" s="754">
        <f t="shared" ca="1" si="34"/>
        <v>0</v>
      </c>
      <c r="BC61" s="754">
        <f t="shared" ca="1" si="34"/>
        <v>0</v>
      </c>
      <c r="BD61" s="754">
        <f t="shared" ca="1" si="34"/>
        <v>0</v>
      </c>
      <c r="BE61" s="754">
        <f t="shared" ca="1" si="34"/>
        <v>0</v>
      </c>
      <c r="BF61" s="754">
        <f t="shared" ca="1" si="34"/>
        <v>0</v>
      </c>
      <c r="BG61" s="754">
        <f t="shared" ca="1" si="34"/>
        <v>0</v>
      </c>
      <c r="BH61" s="754">
        <f t="shared" ca="1" si="34"/>
        <v>0</v>
      </c>
      <c r="BI61" s="754">
        <f t="shared" ca="1" si="34"/>
        <v>0</v>
      </c>
      <c r="BJ61" s="754">
        <f t="shared" ca="1" si="34"/>
        <v>0</v>
      </c>
      <c r="BK61" s="754">
        <f t="shared" ca="1" si="34"/>
        <v>0</v>
      </c>
      <c r="BL61" s="754">
        <f t="shared" ca="1" si="34"/>
        <v>0</v>
      </c>
    </row>
    <row r="62" spans="1:64">
      <c r="A62" s="779">
        <f ca="1">1-A58</f>
        <v>0.16338198774786483</v>
      </c>
      <c r="B62" s="701"/>
      <c r="C62" s="699"/>
      <c r="D62" s="701">
        <f t="shared" ref="D62:BL62" ca="1" si="35">D58/$A58*$A62</f>
        <v>0</v>
      </c>
      <c r="E62" s="701">
        <f t="shared" ca="1" si="35"/>
        <v>0</v>
      </c>
      <c r="F62" s="701">
        <f t="shared" ca="1" si="35"/>
        <v>0</v>
      </c>
      <c r="G62" s="701">
        <f t="shared" ca="1" si="35"/>
        <v>0</v>
      </c>
      <c r="H62" s="701">
        <f t="shared" ca="1" si="35"/>
        <v>0</v>
      </c>
      <c r="I62" s="701">
        <f t="shared" ca="1" si="35"/>
        <v>0</v>
      </c>
      <c r="J62" s="701">
        <f t="shared" ca="1" si="35"/>
        <v>0</v>
      </c>
      <c r="K62" s="701">
        <f t="shared" ca="1" si="35"/>
        <v>0</v>
      </c>
      <c r="L62" s="701">
        <f t="shared" ca="1" si="35"/>
        <v>0</v>
      </c>
      <c r="M62" s="701">
        <f t="shared" ca="1" si="35"/>
        <v>0</v>
      </c>
      <c r="N62" s="701">
        <f t="shared" ca="1" si="35"/>
        <v>0</v>
      </c>
      <c r="O62" s="701">
        <f t="shared" ca="1" si="35"/>
        <v>0</v>
      </c>
      <c r="P62" s="701">
        <f t="shared" ca="1" si="35"/>
        <v>0</v>
      </c>
      <c r="Q62" s="701">
        <f t="shared" ca="1" si="35"/>
        <v>0</v>
      </c>
      <c r="R62" s="701">
        <f t="shared" ca="1" si="35"/>
        <v>-1.2614455539521289E-2</v>
      </c>
      <c r="S62" s="701">
        <f t="shared" ca="1" si="35"/>
        <v>0</v>
      </c>
      <c r="T62" s="701">
        <f t="shared" ca="1" si="35"/>
        <v>0</v>
      </c>
      <c r="U62" s="701">
        <f t="shared" ca="1" si="35"/>
        <v>0</v>
      </c>
      <c r="V62" s="701">
        <f t="shared" ca="1" si="35"/>
        <v>0</v>
      </c>
      <c r="W62" s="701">
        <f t="shared" ca="1" si="35"/>
        <v>0</v>
      </c>
      <c r="X62" s="701">
        <f t="shared" ca="1" si="35"/>
        <v>0</v>
      </c>
      <c r="Y62" s="701">
        <f t="shared" ca="1" si="35"/>
        <v>0</v>
      </c>
      <c r="Z62" s="701">
        <f t="shared" ca="1" si="35"/>
        <v>0</v>
      </c>
      <c r="AA62" s="701">
        <f t="shared" ca="1" si="35"/>
        <v>0</v>
      </c>
      <c r="AB62" s="701">
        <f t="shared" ca="1" si="35"/>
        <v>0</v>
      </c>
      <c r="AC62" s="701">
        <f t="shared" ca="1" si="35"/>
        <v>-1.7810092425341731E-3</v>
      </c>
      <c r="AD62" s="701">
        <f t="shared" ca="1" si="35"/>
        <v>-1.2614455544276331E-2</v>
      </c>
      <c r="AE62" s="701">
        <f t="shared" ca="1" si="35"/>
        <v>-5.2557846798918064E-3</v>
      </c>
      <c r="AF62" s="701">
        <f t="shared" ca="1" si="35"/>
        <v>-7.1430974714620597E-3</v>
      </c>
      <c r="AG62" s="701">
        <f t="shared" ca="1" si="35"/>
        <v>-8.9534921532151354E-3</v>
      </c>
      <c r="AH62" s="701">
        <f t="shared" ca="1" si="35"/>
        <v>-1.2614455543087572E-2</v>
      </c>
      <c r="AI62" s="701">
        <f t="shared" ca="1" si="35"/>
        <v>-1.2614455543087572E-2</v>
      </c>
      <c r="AJ62" s="701">
        <f t="shared" ca="1" si="35"/>
        <v>-1.2614455544276331E-2</v>
      </c>
      <c r="AK62" s="701">
        <f t="shared" ca="1" si="35"/>
        <v>-1.2452253687106703E-2</v>
      </c>
      <c r="AL62" s="701">
        <f t="shared" ca="1" si="35"/>
        <v>-1.259438437786394E-2</v>
      </c>
      <c r="AM62" s="701">
        <f t="shared" ca="1" si="35"/>
        <v>-1.2537774840019051E-2</v>
      </c>
      <c r="AN62" s="701">
        <f t="shared" ca="1" si="35"/>
        <v>-1.2614455543087572E-2</v>
      </c>
      <c r="AO62" s="701">
        <f t="shared" ca="1" si="35"/>
        <v>-1.2614455543087572E-2</v>
      </c>
      <c r="AP62" s="701">
        <f t="shared" ca="1" si="35"/>
        <v>-1.2614455543087572E-2</v>
      </c>
      <c r="AQ62" s="701">
        <f t="shared" ca="1" si="35"/>
        <v>-1.2614455543087572E-2</v>
      </c>
      <c r="AR62" s="701">
        <f t="shared" ca="1" si="35"/>
        <v>-1.2614455541898811E-2</v>
      </c>
      <c r="AS62" s="701">
        <f t="shared" ca="1" si="35"/>
        <v>-1.2614455541898811E-2</v>
      </c>
      <c r="AT62" s="701">
        <f t="shared" ca="1" si="35"/>
        <v>-1.2614455541898811E-2</v>
      </c>
      <c r="AU62" s="701">
        <f t="shared" ca="1" si="35"/>
        <v>-1.2614455544276331E-2</v>
      </c>
      <c r="AV62" s="701">
        <f t="shared" ca="1" si="35"/>
        <v>-1.2614455544276331E-2</v>
      </c>
      <c r="AW62" s="701">
        <f t="shared" ca="1" si="35"/>
        <v>-1.2614455544276331E-2</v>
      </c>
      <c r="AX62" s="701">
        <f t="shared" ca="1" si="35"/>
        <v>-1.2614455544276331E-2</v>
      </c>
      <c r="AY62" s="701">
        <f t="shared" ca="1" si="35"/>
        <v>-1.2614455544276331E-2</v>
      </c>
      <c r="AZ62" s="701">
        <f t="shared" ca="1" si="35"/>
        <v>498755.86145629064</v>
      </c>
      <c r="BA62" s="701">
        <f t="shared" ca="1" si="35"/>
        <v>0</v>
      </c>
      <c r="BB62" s="701">
        <f t="shared" ca="1" si="35"/>
        <v>0</v>
      </c>
      <c r="BC62" s="701">
        <f t="shared" ca="1" si="35"/>
        <v>0</v>
      </c>
      <c r="BD62" s="701">
        <f t="shared" ca="1" si="35"/>
        <v>0</v>
      </c>
      <c r="BE62" s="701">
        <f t="shared" ca="1" si="35"/>
        <v>0</v>
      </c>
      <c r="BF62" s="701">
        <f t="shared" ca="1" si="35"/>
        <v>0</v>
      </c>
      <c r="BG62" s="701">
        <f t="shared" ca="1" si="35"/>
        <v>0</v>
      </c>
      <c r="BH62" s="701">
        <f t="shared" ca="1" si="35"/>
        <v>0</v>
      </c>
      <c r="BI62" s="701">
        <f t="shared" ca="1" si="35"/>
        <v>0</v>
      </c>
      <c r="BJ62" s="701">
        <f t="shared" ca="1" si="35"/>
        <v>0</v>
      </c>
      <c r="BK62" s="701">
        <f t="shared" ca="1" si="35"/>
        <v>0</v>
      </c>
      <c r="BL62" s="701">
        <f t="shared" ca="1" si="35"/>
        <v>0</v>
      </c>
    </row>
    <row r="63" spans="1:64">
      <c r="A63" s="776" t="s">
        <v>643</v>
      </c>
      <c r="B63" s="755"/>
      <c r="C63" s="703"/>
      <c r="D63" s="756">
        <f ca="1">D49-SUM(D59:D60)-D62</f>
        <v>0</v>
      </c>
      <c r="E63" s="756">
        <f t="shared" ref="E63:BL63" ca="1" si="36">E49-SUM(E59:E60)-E62</f>
        <v>0</v>
      </c>
      <c r="F63" s="756">
        <f t="shared" ca="1" si="36"/>
        <v>0</v>
      </c>
      <c r="G63" s="756">
        <f t="shared" ca="1" si="36"/>
        <v>0</v>
      </c>
      <c r="H63" s="756">
        <f t="shared" ca="1" si="36"/>
        <v>0</v>
      </c>
      <c r="I63" s="756">
        <f t="shared" ca="1" si="36"/>
        <v>0</v>
      </c>
      <c r="J63" s="756">
        <f t="shared" ca="1" si="36"/>
        <v>0</v>
      </c>
      <c r="K63" s="756">
        <f t="shared" ca="1" si="36"/>
        <v>0</v>
      </c>
      <c r="L63" s="756">
        <f t="shared" ca="1" si="36"/>
        <v>0</v>
      </c>
      <c r="M63" s="756">
        <f t="shared" ca="1" si="36"/>
        <v>0</v>
      </c>
      <c r="N63" s="756">
        <f t="shared" ca="1" si="36"/>
        <v>0</v>
      </c>
      <c r="O63" s="756">
        <f t="shared" ca="1" si="36"/>
        <v>0</v>
      </c>
      <c r="P63" s="756">
        <f t="shared" ca="1" si="36"/>
        <v>0</v>
      </c>
      <c r="Q63" s="756">
        <f t="shared" ca="1" si="36"/>
        <v>0</v>
      </c>
      <c r="R63" s="756">
        <f t="shared" ca="1" si="36"/>
        <v>0</v>
      </c>
      <c r="S63" s="756">
        <f t="shared" ca="1" si="36"/>
        <v>0</v>
      </c>
      <c r="T63" s="756">
        <f t="shared" ca="1" si="36"/>
        <v>0</v>
      </c>
      <c r="U63" s="756">
        <f t="shared" ca="1" si="36"/>
        <v>0</v>
      </c>
      <c r="V63" s="756">
        <f t="shared" ca="1" si="36"/>
        <v>0</v>
      </c>
      <c r="W63" s="756">
        <f t="shared" ca="1" si="36"/>
        <v>0</v>
      </c>
      <c r="X63" s="756">
        <f t="shared" ca="1" si="36"/>
        <v>0</v>
      </c>
      <c r="Y63" s="756">
        <f t="shared" ca="1" si="36"/>
        <v>0</v>
      </c>
      <c r="Z63" s="756">
        <f t="shared" ca="1" si="36"/>
        <v>0</v>
      </c>
      <c r="AA63" s="756">
        <f t="shared" ca="1" si="36"/>
        <v>0</v>
      </c>
      <c r="AB63" s="756">
        <f t="shared" ca="1" si="36"/>
        <v>0</v>
      </c>
      <c r="AC63" s="756">
        <f t="shared" ca="1" si="36"/>
        <v>0</v>
      </c>
      <c r="AD63" s="756">
        <f t="shared" ca="1" si="36"/>
        <v>0</v>
      </c>
      <c r="AE63" s="756">
        <f t="shared" ca="1" si="36"/>
        <v>0</v>
      </c>
      <c r="AF63" s="756">
        <f t="shared" ca="1" si="36"/>
        <v>0</v>
      </c>
      <c r="AG63" s="756">
        <f t="shared" ca="1" si="36"/>
        <v>0</v>
      </c>
      <c r="AH63" s="756">
        <f t="shared" ca="1" si="36"/>
        <v>0</v>
      </c>
      <c r="AI63" s="756">
        <f t="shared" ca="1" si="36"/>
        <v>0</v>
      </c>
      <c r="AJ63" s="756">
        <f t="shared" ca="1" si="36"/>
        <v>0</v>
      </c>
      <c r="AK63" s="756">
        <f t="shared" ca="1" si="36"/>
        <v>0</v>
      </c>
      <c r="AL63" s="756">
        <f t="shared" ca="1" si="36"/>
        <v>0</v>
      </c>
      <c r="AM63" s="756">
        <f t="shared" ca="1" si="36"/>
        <v>0</v>
      </c>
      <c r="AN63" s="756">
        <f t="shared" ca="1" si="36"/>
        <v>0</v>
      </c>
      <c r="AO63" s="756">
        <f t="shared" ca="1" si="36"/>
        <v>0</v>
      </c>
      <c r="AP63" s="756">
        <f t="shared" ca="1" si="36"/>
        <v>0</v>
      </c>
      <c r="AQ63" s="756">
        <f t="shared" ca="1" si="36"/>
        <v>0</v>
      </c>
      <c r="AR63" s="756">
        <f t="shared" ca="1" si="36"/>
        <v>0</v>
      </c>
      <c r="AS63" s="756">
        <f t="shared" ca="1" si="36"/>
        <v>0</v>
      </c>
      <c r="AT63" s="756">
        <f t="shared" ca="1" si="36"/>
        <v>0</v>
      </c>
      <c r="AU63" s="756">
        <f t="shared" ca="1" si="36"/>
        <v>0</v>
      </c>
      <c r="AV63" s="756">
        <f t="shared" ca="1" si="36"/>
        <v>0</v>
      </c>
      <c r="AW63" s="756">
        <f t="shared" ca="1" si="36"/>
        <v>0</v>
      </c>
      <c r="AX63" s="756">
        <f t="shared" ca="1" si="36"/>
        <v>0</v>
      </c>
      <c r="AY63" s="756">
        <f t="shared" ca="1" si="36"/>
        <v>0</v>
      </c>
      <c r="AZ63" s="756">
        <f t="shared" ca="1" si="36"/>
        <v>12943684.928703485</v>
      </c>
      <c r="BA63" s="756">
        <f t="shared" ca="1" si="36"/>
        <v>0</v>
      </c>
      <c r="BB63" s="756">
        <f t="shared" ca="1" si="36"/>
        <v>0</v>
      </c>
      <c r="BC63" s="756">
        <f t="shared" ca="1" si="36"/>
        <v>0</v>
      </c>
      <c r="BD63" s="756">
        <f t="shared" ca="1" si="36"/>
        <v>0</v>
      </c>
      <c r="BE63" s="756">
        <f t="shared" ca="1" si="36"/>
        <v>0</v>
      </c>
      <c r="BF63" s="756">
        <f t="shared" ca="1" si="36"/>
        <v>0</v>
      </c>
      <c r="BG63" s="756">
        <f t="shared" ca="1" si="36"/>
        <v>0</v>
      </c>
      <c r="BH63" s="756">
        <f t="shared" ca="1" si="36"/>
        <v>0</v>
      </c>
      <c r="BI63" s="756">
        <f t="shared" ca="1" si="36"/>
        <v>0</v>
      </c>
      <c r="BJ63" s="756">
        <f t="shared" ca="1" si="36"/>
        <v>0</v>
      </c>
      <c r="BK63" s="756">
        <f t="shared" ca="1" si="36"/>
        <v>0</v>
      </c>
      <c r="BL63" s="756">
        <f t="shared" ca="1" si="36"/>
        <v>0</v>
      </c>
    </row>
    <row r="64" spans="1:64">
      <c r="A64" s="777" t="s">
        <v>644</v>
      </c>
      <c r="B64" s="758">
        <f ca="1">(1+IRR(D64:BL64,0.01))^12-1</f>
        <v>0.15000000000368363</v>
      </c>
      <c r="C64" s="703"/>
      <c r="D64" s="757">
        <f t="shared" ref="D64:BL64" ca="1" si="37">+D53+D55+D56+D58</f>
        <v>-6170830.5186084136</v>
      </c>
      <c r="E64" s="757">
        <f t="shared" ca="1" si="37"/>
        <v>-756135.18286102917</v>
      </c>
      <c r="F64" s="757">
        <f t="shared" ca="1" si="37"/>
        <v>1.862645149230957E-8</v>
      </c>
      <c r="G64" s="757">
        <f t="shared" ca="1" si="37"/>
        <v>1.862645149230957E-8</v>
      </c>
      <c r="H64" s="757">
        <f t="shared" ca="1" si="37"/>
        <v>1.862645149230957E-8</v>
      </c>
      <c r="I64" s="757">
        <f t="shared" ca="1" si="37"/>
        <v>1.862645149230957E-8</v>
      </c>
      <c r="J64" s="757">
        <f t="shared" ca="1" si="37"/>
        <v>1.862645149230957E-8</v>
      </c>
      <c r="K64" s="757">
        <f t="shared" ca="1" si="37"/>
        <v>1.862645149230957E-8</v>
      </c>
      <c r="L64" s="757">
        <f t="shared" ca="1" si="37"/>
        <v>1.862645149230957E-8</v>
      </c>
      <c r="M64" s="757">
        <f t="shared" ca="1" si="37"/>
        <v>0</v>
      </c>
      <c r="N64" s="757">
        <f t="shared" ca="1" si="37"/>
        <v>0</v>
      </c>
      <c r="O64" s="757">
        <f t="shared" ca="1" si="37"/>
        <v>0</v>
      </c>
      <c r="P64" s="757">
        <f t="shared" ca="1" si="37"/>
        <v>0</v>
      </c>
      <c r="Q64" s="757">
        <f t="shared" ca="1" si="37"/>
        <v>0</v>
      </c>
      <c r="R64" s="757">
        <f t="shared" ca="1" si="37"/>
        <v>132618.24838010356</v>
      </c>
      <c r="S64" s="757">
        <f t="shared" ca="1" si="37"/>
        <v>0</v>
      </c>
      <c r="T64" s="757">
        <f t="shared" ca="1" si="37"/>
        <v>0</v>
      </c>
      <c r="U64" s="757">
        <f t="shared" ca="1" si="37"/>
        <v>0</v>
      </c>
      <c r="V64" s="757">
        <f t="shared" ca="1" si="37"/>
        <v>0</v>
      </c>
      <c r="W64" s="757">
        <f t="shared" ca="1" si="37"/>
        <v>0</v>
      </c>
      <c r="X64" s="757">
        <f t="shared" ca="1" si="37"/>
        <v>0</v>
      </c>
      <c r="Y64" s="757">
        <f t="shared" ca="1" si="37"/>
        <v>0</v>
      </c>
      <c r="Z64" s="757">
        <f t="shared" ca="1" si="37"/>
        <v>0</v>
      </c>
      <c r="AA64" s="757">
        <f t="shared" ca="1" si="37"/>
        <v>0</v>
      </c>
      <c r="AB64" s="757">
        <f t="shared" ca="1" si="37"/>
        <v>0</v>
      </c>
      <c r="AC64" s="757">
        <f t="shared" ca="1" si="37"/>
        <v>7205.9996228243626</v>
      </c>
      <c r="AD64" s="757">
        <f t="shared" ca="1" si="37"/>
        <v>173151.0002565888</v>
      </c>
      <c r="AE64" s="757">
        <f t="shared" ca="1" si="37"/>
        <v>21055.919953041561</v>
      </c>
      <c r="AF64" s="757">
        <f t="shared" ca="1" si="37"/>
        <v>28724.350890859132</v>
      </c>
      <c r="AG64" s="757">
        <f t="shared" ca="1" si="37"/>
        <v>36104.920570196839</v>
      </c>
      <c r="AH64" s="757">
        <f t="shared" ca="1" si="37"/>
        <v>54059.443331470386</v>
      </c>
      <c r="AI64" s="757">
        <f t="shared" ca="1" si="37"/>
        <v>62942.995471882306</v>
      </c>
      <c r="AJ64" s="757">
        <f t="shared" ca="1" si="37"/>
        <v>68900.415288796823</v>
      </c>
      <c r="AK64" s="757">
        <f t="shared" ca="1" si="37"/>
        <v>50096.995815191432</v>
      </c>
      <c r="AL64" s="757">
        <f t="shared" ca="1" si="37"/>
        <v>50672.997517988762</v>
      </c>
      <c r="AM64" s="757">
        <f t="shared" ca="1" si="37"/>
        <v>50445.747753381977</v>
      </c>
      <c r="AN64" s="757">
        <f t="shared" ca="1" si="37"/>
        <v>58259.650960857391</v>
      </c>
      <c r="AO64" s="757">
        <f t="shared" ca="1" si="37"/>
        <v>57992.415720141558</v>
      </c>
      <c r="AP64" s="757">
        <f t="shared" ca="1" si="37"/>
        <v>60492.926531261437</v>
      </c>
      <c r="AQ64" s="757">
        <f t="shared" ca="1" si="37"/>
        <v>63197.260593218474</v>
      </c>
      <c r="AR64" s="757">
        <f t="shared" ca="1" si="37"/>
        <v>66212.48176870693</v>
      </c>
      <c r="AS64" s="757">
        <f t="shared" ca="1" si="37"/>
        <v>69882.044786724698</v>
      </c>
      <c r="AT64" s="757">
        <f t="shared" ca="1" si="37"/>
        <v>72211.361571486137</v>
      </c>
      <c r="AU64" s="757">
        <f t="shared" ca="1" si="37"/>
        <v>73919.824493204156</v>
      </c>
      <c r="AV64" s="757">
        <f t="shared" ca="1" si="37"/>
        <v>75481.287947092584</v>
      </c>
      <c r="AW64" s="757">
        <f t="shared" ca="1" si="37"/>
        <v>74781.497164134373</v>
      </c>
      <c r="AX64" s="757">
        <f t="shared" ca="1" si="37"/>
        <v>74535.829964186007</v>
      </c>
      <c r="AY64" s="757">
        <f t="shared" ca="1" si="37"/>
        <v>73577.203810686391</v>
      </c>
      <c r="AZ64" s="757">
        <f t="shared" ca="1" si="37"/>
        <v>10274594.284725681</v>
      </c>
      <c r="BA64" s="757">
        <f t="shared" ca="1" si="37"/>
        <v>0</v>
      </c>
      <c r="BB64" s="757">
        <f t="shared" ca="1" si="37"/>
        <v>0</v>
      </c>
      <c r="BC64" s="757">
        <f t="shared" ca="1" si="37"/>
        <v>0</v>
      </c>
      <c r="BD64" s="757">
        <f t="shared" ca="1" si="37"/>
        <v>0</v>
      </c>
      <c r="BE64" s="757">
        <f t="shared" ca="1" si="37"/>
        <v>0</v>
      </c>
      <c r="BF64" s="757">
        <f t="shared" ca="1" si="37"/>
        <v>0</v>
      </c>
      <c r="BG64" s="757">
        <f t="shared" ca="1" si="37"/>
        <v>0</v>
      </c>
      <c r="BH64" s="757">
        <f t="shared" ca="1" si="37"/>
        <v>0</v>
      </c>
      <c r="BI64" s="757">
        <f t="shared" ca="1" si="37"/>
        <v>0</v>
      </c>
      <c r="BJ64" s="757">
        <f t="shared" ca="1" si="37"/>
        <v>0</v>
      </c>
      <c r="BK64" s="757">
        <f t="shared" ca="1" si="37"/>
        <v>0</v>
      </c>
      <c r="BL64" s="757">
        <f t="shared" ca="1" si="37"/>
        <v>0</v>
      </c>
    </row>
    <row r="65" spans="1:64">
      <c r="A65" s="701"/>
      <c r="B65" s="701"/>
      <c r="C65" s="703"/>
      <c r="D65" s="701"/>
      <c r="E65" s="701"/>
      <c r="F65" s="701"/>
      <c r="G65" s="701"/>
      <c r="H65" s="701"/>
      <c r="I65" s="701"/>
    </row>
    <row r="66" spans="1:64" s="1148" customFormat="1">
      <c r="A66" s="1144" t="s">
        <v>685</v>
      </c>
      <c r="B66" s="1145"/>
      <c r="C66" s="1146"/>
      <c r="D66" s="1147"/>
      <c r="E66" s="1147"/>
      <c r="F66" s="1147"/>
      <c r="G66" s="1147"/>
      <c r="H66" s="1147"/>
      <c r="I66" s="1147"/>
      <c r="J66" s="1147"/>
      <c r="K66" s="1147"/>
      <c r="L66" s="1147"/>
      <c r="M66" s="1147"/>
      <c r="N66" s="1147"/>
      <c r="O66" s="1147"/>
      <c r="P66" s="1147"/>
      <c r="Q66" s="1147"/>
      <c r="R66" s="1147"/>
      <c r="S66" s="1147"/>
      <c r="T66" s="1147"/>
      <c r="U66" s="1147"/>
      <c r="V66" s="1147"/>
      <c r="W66" s="1147"/>
      <c r="X66" s="1147"/>
      <c r="Y66" s="1147"/>
      <c r="Z66" s="1147"/>
      <c r="AA66" s="1147"/>
      <c r="AB66" s="1147"/>
      <c r="AC66" s="1147"/>
      <c r="AD66" s="1147"/>
      <c r="AE66" s="1147"/>
      <c r="AF66" s="1147"/>
      <c r="AG66" s="1147"/>
      <c r="AH66" s="1147"/>
      <c r="AI66" s="1147"/>
      <c r="AJ66" s="1147"/>
      <c r="AK66" s="1147"/>
      <c r="AL66" s="1147"/>
      <c r="AM66" s="1147"/>
      <c r="AN66" s="1147"/>
      <c r="AO66" s="1147"/>
      <c r="AP66" s="1147"/>
      <c r="AQ66" s="1147"/>
      <c r="AR66" s="1147"/>
      <c r="AS66" s="1147"/>
      <c r="AT66" s="1147"/>
      <c r="AU66" s="1147"/>
      <c r="AV66" s="1147"/>
      <c r="AW66" s="1147"/>
      <c r="AX66" s="1147"/>
      <c r="AY66" s="1147"/>
      <c r="AZ66" s="1147"/>
      <c r="BA66" s="1147"/>
      <c r="BB66" s="1147"/>
      <c r="BC66" s="1147"/>
      <c r="BD66" s="1147"/>
      <c r="BE66" s="1147"/>
      <c r="BF66" s="1147"/>
      <c r="BG66" s="1147"/>
      <c r="BH66" s="1147"/>
      <c r="BI66" s="1147"/>
      <c r="BJ66" s="1147"/>
      <c r="BK66" s="1147"/>
      <c r="BL66" s="1147"/>
    </row>
    <row r="67" spans="1:64" s="1148" customFormat="1">
      <c r="A67" s="1149" t="s">
        <v>686</v>
      </c>
      <c r="B67" s="1145">
        <f t="shared" ref="B67:B68" si="38">SUM(D67:BL67)</f>
        <v>2400000</v>
      </c>
      <c r="C67" s="1150">
        <f>IF(C48=0,C3,0)</f>
        <v>2400000</v>
      </c>
      <c r="D67" s="1145">
        <f>IF(D$16='Monthly PF Cash Flow'!$C$96,$C$67,0)</f>
        <v>0</v>
      </c>
      <c r="E67" s="1145">
        <f>IF(E$16='Monthly PF Cash Flow'!$C$96,$C$67,0)</f>
        <v>0</v>
      </c>
      <c r="F67" s="1145">
        <f>IF(F$16='Monthly PF Cash Flow'!$C$96,$C$67,0)</f>
        <v>0</v>
      </c>
      <c r="G67" s="1145">
        <f>IF(G$16='Monthly PF Cash Flow'!$C$96,$C$67,0)</f>
        <v>0</v>
      </c>
      <c r="H67" s="1145">
        <f>IF(H$16='Monthly PF Cash Flow'!$C$96,$C$67,0)</f>
        <v>0</v>
      </c>
      <c r="I67" s="1145">
        <f>IF(I$16='Monthly PF Cash Flow'!$C$96,$C$67,0)</f>
        <v>0</v>
      </c>
      <c r="J67" s="1145">
        <f>IF(J$16='Monthly PF Cash Flow'!$C$96,$C$67,0)</f>
        <v>0</v>
      </c>
      <c r="K67" s="1145">
        <f>IF(K$16='Monthly PF Cash Flow'!$C$96,$C$67,0)</f>
        <v>0</v>
      </c>
      <c r="L67" s="1145">
        <f>IF(L$16='Monthly PF Cash Flow'!$C$96,$C$67,0)</f>
        <v>0</v>
      </c>
      <c r="M67" s="1145">
        <f>IF(M$16='Monthly PF Cash Flow'!$C$96,$C$67,0)</f>
        <v>0</v>
      </c>
      <c r="N67" s="1145">
        <f>IF(N$16='Monthly PF Cash Flow'!$C$96,$C$67,0)</f>
        <v>0</v>
      </c>
      <c r="O67" s="1145">
        <f>IF(O$16='Monthly PF Cash Flow'!$C$96,$C$67,0)</f>
        <v>0</v>
      </c>
      <c r="P67" s="1145">
        <f>IF(P$16='Monthly PF Cash Flow'!$C$96,$C$67,0)</f>
        <v>0</v>
      </c>
      <c r="Q67" s="1145">
        <f>IF(Q$16='Monthly PF Cash Flow'!$C$96,$C$67,0)</f>
        <v>0</v>
      </c>
      <c r="R67" s="1145">
        <f>IF(R$16='Monthly PF Cash Flow'!$C$96,$C$67,0)</f>
        <v>0</v>
      </c>
      <c r="S67" s="1145">
        <f>IF(S$16='Monthly PF Cash Flow'!$C$96,$C$67,0)</f>
        <v>0</v>
      </c>
      <c r="T67" s="1145">
        <f>IF(T$16='Monthly PF Cash Flow'!$C$96,$C$67,0)</f>
        <v>0</v>
      </c>
      <c r="U67" s="1145">
        <f>IF(U$16='Monthly PF Cash Flow'!$C$96,$C$67,0)</f>
        <v>0</v>
      </c>
      <c r="V67" s="1145">
        <f>IF(V$16='Monthly PF Cash Flow'!$C$96,$C$67,0)</f>
        <v>0</v>
      </c>
      <c r="W67" s="1145">
        <f>IF(W$16='Monthly PF Cash Flow'!$C$96,$C$67,0)</f>
        <v>0</v>
      </c>
      <c r="X67" s="1145">
        <f>IF(X$16='Monthly PF Cash Flow'!$C$96,$C$67,0)</f>
        <v>0</v>
      </c>
      <c r="Y67" s="1145">
        <f>IF(Y$16='Monthly PF Cash Flow'!$C$96,$C$67,0)</f>
        <v>0</v>
      </c>
      <c r="Z67" s="1145">
        <f>IF(Z$16='Monthly PF Cash Flow'!$C$96,$C$67,0)</f>
        <v>0</v>
      </c>
      <c r="AA67" s="1145">
        <f>IF(AA$16='Monthly PF Cash Flow'!$C$96,$C$67,0)</f>
        <v>0</v>
      </c>
      <c r="AB67" s="1145">
        <f>IF(AB$16='Monthly PF Cash Flow'!$C$96,$C$67,0)</f>
        <v>0</v>
      </c>
      <c r="AC67" s="1145">
        <f>IF(AC$16='Monthly PF Cash Flow'!$C$96,$C$67,0)</f>
        <v>0</v>
      </c>
      <c r="AD67" s="1145">
        <f>IF(AD$16='Monthly PF Cash Flow'!$C$96,$C$67,0)</f>
        <v>0</v>
      </c>
      <c r="AE67" s="1145">
        <f>IF(AE$16='Monthly PF Cash Flow'!$C$96,$C$67,0)</f>
        <v>0</v>
      </c>
      <c r="AF67" s="1145">
        <f>IF(AF$16='Monthly PF Cash Flow'!$C$96,$C$67,0)</f>
        <v>0</v>
      </c>
      <c r="AG67" s="1145">
        <f>IF(AG$16='Monthly PF Cash Flow'!$C$96,$C$67,0)</f>
        <v>0</v>
      </c>
      <c r="AH67" s="1145">
        <f>IF(AH$16='Monthly PF Cash Flow'!$C$96,$C$67,0)</f>
        <v>0</v>
      </c>
      <c r="AI67" s="1145">
        <f>IF(AI$16='Monthly PF Cash Flow'!$C$96,$C$67,0)</f>
        <v>0</v>
      </c>
      <c r="AJ67" s="1145">
        <f>IF(AJ$16='Monthly PF Cash Flow'!$C$96,$C$67,0)</f>
        <v>0</v>
      </c>
      <c r="AK67" s="1145">
        <f>IF(AK$16='Monthly PF Cash Flow'!$C$96,$C$67,0)</f>
        <v>0</v>
      </c>
      <c r="AL67" s="1145">
        <f>IF(AL$16='Monthly PF Cash Flow'!$C$96,$C$67,0)</f>
        <v>0</v>
      </c>
      <c r="AM67" s="1145">
        <f>IF(AM$16='Monthly PF Cash Flow'!$C$96,$C$67,0)</f>
        <v>0</v>
      </c>
      <c r="AN67" s="1145">
        <f>IF(AN$16='Monthly PF Cash Flow'!$C$96,$C$67,0)</f>
        <v>0</v>
      </c>
      <c r="AO67" s="1145">
        <f>IF(AO$16='Monthly PF Cash Flow'!$C$96,$C$67,0)</f>
        <v>0</v>
      </c>
      <c r="AP67" s="1145">
        <f>IF(AP$16='Monthly PF Cash Flow'!$C$96,$C$67,0)</f>
        <v>0</v>
      </c>
      <c r="AQ67" s="1145">
        <f>IF(AQ$16='Monthly PF Cash Flow'!$C$96,$C$67,0)</f>
        <v>0</v>
      </c>
      <c r="AR67" s="1145">
        <f>IF(AR$16='Monthly PF Cash Flow'!$C$96,$C$67,0)</f>
        <v>0</v>
      </c>
      <c r="AS67" s="1145">
        <f>IF(AS$16='Monthly PF Cash Flow'!$C$96,$C$67,0)</f>
        <v>0</v>
      </c>
      <c r="AT67" s="1145">
        <f>IF(AT$16='Monthly PF Cash Flow'!$C$96,$C$67,0)</f>
        <v>0</v>
      </c>
      <c r="AU67" s="1145">
        <f>IF(AU$16='Monthly PF Cash Flow'!$C$96,$C$67,0)</f>
        <v>0</v>
      </c>
      <c r="AV67" s="1145">
        <f>IF(AV$16='Monthly PF Cash Flow'!$C$96,$C$67,0)</f>
        <v>0</v>
      </c>
      <c r="AW67" s="1145">
        <f>IF(AW$16='Monthly PF Cash Flow'!$C$96,$C$67,0)</f>
        <v>0</v>
      </c>
      <c r="AX67" s="1145">
        <f>IF(AX$16='Monthly PF Cash Flow'!$C$96,$C$67,0)</f>
        <v>0</v>
      </c>
      <c r="AY67" s="1145">
        <f>IF(AY$16='Monthly PF Cash Flow'!$C$96,$C$67,0)</f>
        <v>0</v>
      </c>
      <c r="AZ67" s="1145">
        <f>IF(AZ$16='Monthly PF Cash Flow'!$C$96,$C$67,0)</f>
        <v>2400000</v>
      </c>
      <c r="BA67" s="1145">
        <f>IF(BA$16='Monthly PF Cash Flow'!$C$96,$C$67,0)</f>
        <v>0</v>
      </c>
      <c r="BB67" s="1145">
        <f>IF(BB$16='Monthly PF Cash Flow'!$C$96,$C$67,0)</f>
        <v>0</v>
      </c>
      <c r="BC67" s="1145">
        <f>IF(BC$16='Monthly PF Cash Flow'!$C$96,$C$67,0)</f>
        <v>0</v>
      </c>
      <c r="BD67" s="1145">
        <f>IF(BD$16='Monthly PF Cash Flow'!$C$96,$C$67,0)</f>
        <v>0</v>
      </c>
      <c r="BE67" s="1145">
        <f>IF(BE$16='Monthly PF Cash Flow'!$C$96,$C$67,0)</f>
        <v>0</v>
      </c>
      <c r="BF67" s="1145">
        <f>IF(BF$16='Monthly PF Cash Flow'!$C$96,$C$67,0)</f>
        <v>0</v>
      </c>
      <c r="BG67" s="1145">
        <f>IF(BG$16='Monthly PF Cash Flow'!$C$96,$C$67,0)</f>
        <v>0</v>
      </c>
      <c r="BH67" s="1145">
        <f>IF(BH$16='Monthly PF Cash Flow'!$C$96,$C$67,0)</f>
        <v>0</v>
      </c>
      <c r="BI67" s="1145">
        <f>IF(BI$16='Monthly PF Cash Flow'!$C$96,$C$67,0)</f>
        <v>0</v>
      </c>
      <c r="BJ67" s="1145">
        <f>IF(BJ$16='Monthly PF Cash Flow'!$C$96,$C$67,0)</f>
        <v>0</v>
      </c>
      <c r="BK67" s="1145">
        <f>IF(BK$16='Monthly PF Cash Flow'!$C$96,$C$67,0)</f>
        <v>0</v>
      </c>
      <c r="BL67" s="1145">
        <f>IF(BL$16='Monthly PF Cash Flow'!$C$96,$C$67,0)</f>
        <v>0</v>
      </c>
    </row>
    <row r="68" spans="1:64" s="1155" customFormat="1">
      <c r="A68" s="1151" t="s">
        <v>999</v>
      </c>
      <c r="B68" s="1152">
        <f t="shared" ca="1" si="38"/>
        <v>10543684.9286975</v>
      </c>
      <c r="C68" s="1153"/>
      <c r="D68" s="1154">
        <f ca="1">D63-D67</f>
        <v>0</v>
      </c>
      <c r="E68" s="1154">
        <f t="shared" ref="E68:BL68" ca="1" si="39">E63-E67</f>
        <v>0</v>
      </c>
      <c r="F68" s="1154">
        <f t="shared" ca="1" si="39"/>
        <v>0</v>
      </c>
      <c r="G68" s="1154">
        <f t="shared" ca="1" si="39"/>
        <v>0</v>
      </c>
      <c r="H68" s="1154">
        <f t="shared" ca="1" si="39"/>
        <v>0</v>
      </c>
      <c r="I68" s="1154">
        <f t="shared" ca="1" si="39"/>
        <v>0</v>
      </c>
      <c r="J68" s="1154">
        <f t="shared" ca="1" si="39"/>
        <v>0</v>
      </c>
      <c r="K68" s="1154">
        <f t="shared" ca="1" si="39"/>
        <v>0</v>
      </c>
      <c r="L68" s="1154">
        <f t="shared" ca="1" si="39"/>
        <v>0</v>
      </c>
      <c r="M68" s="1154">
        <f t="shared" ca="1" si="39"/>
        <v>0</v>
      </c>
      <c r="N68" s="1154">
        <f t="shared" ca="1" si="39"/>
        <v>0</v>
      </c>
      <c r="O68" s="1154">
        <f t="shared" ca="1" si="39"/>
        <v>0</v>
      </c>
      <c r="P68" s="1154">
        <f t="shared" ca="1" si="39"/>
        <v>0</v>
      </c>
      <c r="Q68" s="1154">
        <f t="shared" ca="1" si="39"/>
        <v>0</v>
      </c>
      <c r="R68" s="1154">
        <f t="shared" ca="1" si="39"/>
        <v>0</v>
      </c>
      <c r="S68" s="1154">
        <f t="shared" ca="1" si="39"/>
        <v>0</v>
      </c>
      <c r="T68" s="1154">
        <f t="shared" ca="1" si="39"/>
        <v>0</v>
      </c>
      <c r="U68" s="1154">
        <f t="shared" ca="1" si="39"/>
        <v>0</v>
      </c>
      <c r="V68" s="1154">
        <f t="shared" ca="1" si="39"/>
        <v>0</v>
      </c>
      <c r="W68" s="1154">
        <f t="shared" ca="1" si="39"/>
        <v>0</v>
      </c>
      <c r="X68" s="1154">
        <f t="shared" ca="1" si="39"/>
        <v>0</v>
      </c>
      <c r="Y68" s="1154">
        <f t="shared" ca="1" si="39"/>
        <v>0</v>
      </c>
      <c r="Z68" s="1154">
        <f t="shared" ca="1" si="39"/>
        <v>0</v>
      </c>
      <c r="AA68" s="1154">
        <f t="shared" ca="1" si="39"/>
        <v>0</v>
      </c>
      <c r="AB68" s="1154">
        <f t="shared" ca="1" si="39"/>
        <v>0</v>
      </c>
      <c r="AC68" s="1154">
        <f t="shared" ca="1" si="39"/>
        <v>0</v>
      </c>
      <c r="AD68" s="1154">
        <f t="shared" ca="1" si="39"/>
        <v>0</v>
      </c>
      <c r="AE68" s="1154">
        <f t="shared" ca="1" si="39"/>
        <v>0</v>
      </c>
      <c r="AF68" s="1154">
        <f t="shared" ca="1" si="39"/>
        <v>0</v>
      </c>
      <c r="AG68" s="1154">
        <f t="shared" ca="1" si="39"/>
        <v>0</v>
      </c>
      <c r="AH68" s="1154">
        <f t="shared" ca="1" si="39"/>
        <v>0</v>
      </c>
      <c r="AI68" s="1154">
        <f t="shared" ca="1" si="39"/>
        <v>0</v>
      </c>
      <c r="AJ68" s="1154">
        <f t="shared" ca="1" si="39"/>
        <v>0</v>
      </c>
      <c r="AK68" s="1154">
        <f t="shared" ca="1" si="39"/>
        <v>0</v>
      </c>
      <c r="AL68" s="1154">
        <f t="shared" ca="1" si="39"/>
        <v>0</v>
      </c>
      <c r="AM68" s="1154">
        <f t="shared" ca="1" si="39"/>
        <v>0</v>
      </c>
      <c r="AN68" s="1154">
        <f t="shared" ca="1" si="39"/>
        <v>0</v>
      </c>
      <c r="AO68" s="1154">
        <f t="shared" ca="1" si="39"/>
        <v>0</v>
      </c>
      <c r="AP68" s="1154">
        <f t="shared" ca="1" si="39"/>
        <v>0</v>
      </c>
      <c r="AQ68" s="1154">
        <f t="shared" ca="1" si="39"/>
        <v>0</v>
      </c>
      <c r="AR68" s="1154">
        <f t="shared" ca="1" si="39"/>
        <v>0</v>
      </c>
      <c r="AS68" s="1154">
        <f t="shared" ca="1" si="39"/>
        <v>0</v>
      </c>
      <c r="AT68" s="1154">
        <f t="shared" ca="1" si="39"/>
        <v>0</v>
      </c>
      <c r="AU68" s="1154">
        <f t="shared" ca="1" si="39"/>
        <v>0</v>
      </c>
      <c r="AV68" s="1154">
        <f t="shared" ca="1" si="39"/>
        <v>0</v>
      </c>
      <c r="AW68" s="1154">
        <f t="shared" ca="1" si="39"/>
        <v>0</v>
      </c>
      <c r="AX68" s="1154">
        <f t="shared" ca="1" si="39"/>
        <v>0</v>
      </c>
      <c r="AY68" s="1154">
        <f t="shared" ca="1" si="39"/>
        <v>0</v>
      </c>
      <c r="AZ68" s="1154">
        <f t="shared" ca="1" si="39"/>
        <v>10543684.928703485</v>
      </c>
      <c r="BA68" s="1154">
        <f t="shared" ca="1" si="39"/>
        <v>0</v>
      </c>
      <c r="BB68" s="1154">
        <f t="shared" ca="1" si="39"/>
        <v>0</v>
      </c>
      <c r="BC68" s="1154">
        <f t="shared" ca="1" si="39"/>
        <v>0</v>
      </c>
      <c r="BD68" s="1154">
        <f t="shared" ca="1" si="39"/>
        <v>0</v>
      </c>
      <c r="BE68" s="1154">
        <f t="shared" ca="1" si="39"/>
        <v>0</v>
      </c>
      <c r="BF68" s="1154">
        <f t="shared" ca="1" si="39"/>
        <v>0</v>
      </c>
      <c r="BG68" s="1154">
        <f t="shared" ca="1" si="39"/>
        <v>0</v>
      </c>
      <c r="BH68" s="1154">
        <f t="shared" ca="1" si="39"/>
        <v>0</v>
      </c>
      <c r="BI68" s="1154">
        <f t="shared" ca="1" si="39"/>
        <v>0</v>
      </c>
      <c r="BJ68" s="1154">
        <f t="shared" ca="1" si="39"/>
        <v>0</v>
      </c>
      <c r="BK68" s="1154">
        <f t="shared" ca="1" si="39"/>
        <v>0</v>
      </c>
      <c r="BL68" s="1154">
        <f t="shared" ca="1" si="39"/>
        <v>0</v>
      </c>
    </row>
    <row r="69" spans="1:64">
      <c r="A69" s="701"/>
      <c r="B69" s="701"/>
      <c r="C69" s="703"/>
      <c r="D69" s="701"/>
      <c r="E69" s="701"/>
      <c r="F69" s="701"/>
      <c r="G69" s="701"/>
      <c r="H69" s="701"/>
      <c r="I69" s="701"/>
    </row>
    <row r="70" spans="1:64">
      <c r="A70" s="700" t="s">
        <v>631</v>
      </c>
      <c r="B70" s="752">
        <f>D10</f>
        <v>0.2</v>
      </c>
      <c r="C70" s="703"/>
      <c r="D70" s="701"/>
      <c r="E70" s="701"/>
      <c r="F70" s="701"/>
      <c r="G70" s="701"/>
      <c r="H70" s="701"/>
      <c r="I70" s="701"/>
    </row>
    <row r="71" spans="1:64">
      <c r="A71" s="774" t="s">
        <v>637</v>
      </c>
      <c r="B71" s="701"/>
      <c r="C71" s="703"/>
      <c r="D71" s="701">
        <f>B81</f>
        <v>0</v>
      </c>
      <c r="E71" s="701">
        <f ca="1">D81</f>
        <v>-6170830.5186084146</v>
      </c>
      <c r="F71" s="701">
        <f t="shared" ref="F71:BL71" ca="1" si="40">E81</f>
        <v>-7021437.8492529402</v>
      </c>
      <c r="G71" s="701">
        <f ca="1">F81</f>
        <v>-7128932.3448717734</v>
      </c>
      <c r="H71" s="701">
        <f t="shared" ca="1" si="40"/>
        <v>-7238072.5243001692</v>
      </c>
      <c r="I71" s="701">
        <f t="shared" ca="1" si="40"/>
        <v>-7348883.5820858572</v>
      </c>
      <c r="J71" s="701">
        <f t="shared" ca="1" si="40"/>
        <v>-7461391.0984917628</v>
      </c>
      <c r="K71" s="701">
        <f t="shared" ca="1" si="40"/>
        <v>-7575621.0454010824</v>
      </c>
      <c r="L71" s="701">
        <f t="shared" ca="1" si="40"/>
        <v>-7691599.7923127972</v>
      </c>
      <c r="M71" s="701">
        <f t="shared" ca="1" si="40"/>
        <v>-7809354.1124289548</v>
      </c>
      <c r="N71" s="701">
        <f t="shared" ca="1" si="40"/>
        <v>-7928911.1888351711</v>
      </c>
      <c r="O71" s="701">
        <f t="shared" ca="1" si="40"/>
        <v>-8050298.6207756726</v>
      </c>
      <c r="P71" s="701">
        <f t="shared" ca="1" si="40"/>
        <v>-8173544.430024513</v>
      </c>
      <c r="Q71" s="701">
        <f t="shared" ca="1" si="40"/>
        <v>-8298677.0673542731</v>
      </c>
      <c r="R71" s="701">
        <f t="shared" ca="1" si="40"/>
        <v>-8425725.4191037938</v>
      </c>
      <c r="S71" s="701">
        <f t="shared" ca="1" si="40"/>
        <v>-8422100.5654663611</v>
      </c>
      <c r="T71" s="701">
        <f t="shared" ca="1" si="40"/>
        <v>-8551038.465619199</v>
      </c>
      <c r="U71" s="701">
        <f t="shared" ca="1" si="40"/>
        <v>-8681950.3367507271</v>
      </c>
      <c r="V71" s="701">
        <f t="shared" ca="1" si="40"/>
        <v>-8814866.3993113823</v>
      </c>
      <c r="W71" s="701">
        <f t="shared" ca="1" si="40"/>
        <v>-8949817.3364107255</v>
      </c>
      <c r="X71" s="701">
        <f t="shared" ca="1" si="40"/>
        <v>-9086834.3009004537</v>
      </c>
      <c r="Y71" s="701">
        <f t="shared" ca="1" si="40"/>
        <v>-9225948.9225659389</v>
      </c>
      <c r="Z71" s="701">
        <f t="shared" ca="1" si="40"/>
        <v>-9367193.3154278062</v>
      </c>
      <c r="AA71" s="701">
        <f t="shared" ca="1" si="40"/>
        <v>-9510600.0851553492</v>
      </c>
      <c r="AB71" s="701">
        <f t="shared" ca="1" si="40"/>
        <v>-9656202.3365933783</v>
      </c>
      <c r="AC71" s="701">
        <f t="shared" ca="1" si="40"/>
        <v>-9804033.681404369</v>
      </c>
      <c r="AD71" s="701">
        <f t="shared" ca="1" si="40"/>
        <v>-9946922.2462047245</v>
      </c>
      <c r="AE71" s="701">
        <f t="shared" ca="1" si="40"/>
        <v>-9926053.3586387429</v>
      </c>
      <c r="AF71" s="701">
        <f t="shared" ca="1" si="40"/>
        <v>-10056960.05975762</v>
      </c>
      <c r="AG71" s="701">
        <f t="shared" ca="1" si="40"/>
        <v>-10182202.442217551</v>
      </c>
      <c r="AH71" s="701">
        <f t="shared" ca="1" si="40"/>
        <v>-10301981.649557605</v>
      </c>
      <c r="AI71" s="701">
        <f t="shared" ca="1" si="40"/>
        <v>-10405640.090377551</v>
      </c>
      <c r="AJ71" s="701">
        <f t="shared" ca="1" si="40"/>
        <v>-10502001.934898818</v>
      </c>
      <c r="AK71" s="701">
        <f t="shared" ca="1" si="40"/>
        <v>-10593881.608419212</v>
      </c>
      <c r="AL71" s="701">
        <f t="shared" ca="1" si="40"/>
        <v>-10705971.330564706</v>
      </c>
      <c r="AM71" s="701">
        <f t="shared" ca="1" si="40"/>
        <v>-10819201.085302338</v>
      </c>
      <c r="AN71" s="701">
        <f t="shared" ca="1" si="40"/>
        <v>-10934391.577395154</v>
      </c>
      <c r="AO71" s="701">
        <f t="shared" ca="1" si="40"/>
        <v>-11043531.671722129</v>
      </c>
      <c r="AP71" s="701">
        <f t="shared" ca="1" si="40"/>
        <v>-11154609.878345814</v>
      </c>
      <c r="AQ71" s="701">
        <f t="shared" ca="1" si="40"/>
        <v>-11264888.122687865</v>
      </c>
      <c r="AR71" s="701">
        <f t="shared" ca="1" si="40"/>
        <v>-11374150.334498933</v>
      </c>
      <c r="AS71" s="701">
        <f t="shared" ca="1" si="40"/>
        <v>-11482070.071745776</v>
      </c>
      <c r="AT71" s="701">
        <f t="shared" ca="1" si="40"/>
        <v>-11587972.440011231</v>
      </c>
      <c r="AU71" s="701">
        <f t="shared" ca="1" si="40"/>
        <v>-11693166.800677553</v>
      </c>
      <c r="AV71" s="701">
        <f t="shared" ca="1" si="40"/>
        <v>-11798263.168385953</v>
      </c>
      <c r="AW71" s="701">
        <f t="shared" ca="1" si="40"/>
        <v>-11903407.042383334</v>
      </c>
      <c r="AX71" s="701">
        <f t="shared" ca="1" si="40"/>
        <v>-12010860.404202104</v>
      </c>
      <c r="AY71" s="701">
        <f t="shared" ca="1" si="40"/>
        <v>-12120204.487294275</v>
      </c>
      <c r="AZ71" s="701">
        <f t="shared" ca="1" si="40"/>
        <v>-12232181.196554502</v>
      </c>
      <c r="BA71" s="701">
        <f t="shared" ca="1" si="40"/>
        <v>0</v>
      </c>
      <c r="BB71" s="701">
        <f t="shared" ca="1" si="40"/>
        <v>0</v>
      </c>
      <c r="BC71" s="701">
        <f t="shared" ca="1" si="40"/>
        <v>0</v>
      </c>
      <c r="BD71" s="701">
        <f t="shared" ca="1" si="40"/>
        <v>0</v>
      </c>
      <c r="BE71" s="701">
        <f t="shared" ca="1" si="40"/>
        <v>0</v>
      </c>
      <c r="BF71" s="701">
        <f t="shared" ca="1" si="40"/>
        <v>0</v>
      </c>
      <c r="BG71" s="701">
        <f t="shared" ca="1" si="40"/>
        <v>0</v>
      </c>
      <c r="BH71" s="701">
        <f t="shared" ca="1" si="40"/>
        <v>0</v>
      </c>
      <c r="BI71" s="701">
        <f t="shared" ca="1" si="40"/>
        <v>0</v>
      </c>
      <c r="BJ71" s="701">
        <f t="shared" ca="1" si="40"/>
        <v>0</v>
      </c>
      <c r="BK71" s="701">
        <f t="shared" ca="1" si="40"/>
        <v>0</v>
      </c>
      <c r="BL71" s="701">
        <f t="shared" ca="1" si="40"/>
        <v>0</v>
      </c>
    </row>
    <row r="72" spans="1:64">
      <c r="A72" s="774" t="s">
        <v>645</v>
      </c>
      <c r="B72" s="701"/>
      <c r="C72" s="699"/>
      <c r="D72" s="701">
        <f t="shared" ref="D72:AI72" ca="1" si="41">D53</f>
        <v>-6170830.5186084136</v>
      </c>
      <c r="E72" s="701">
        <f t="shared" ca="1" si="41"/>
        <v>-756135.18286102917</v>
      </c>
      <c r="F72" s="701">
        <f t="shared" ca="1" si="41"/>
        <v>1.862645149230957E-8</v>
      </c>
      <c r="G72" s="701">
        <f t="shared" ca="1" si="41"/>
        <v>1.862645149230957E-8</v>
      </c>
      <c r="H72" s="701">
        <f t="shared" ca="1" si="41"/>
        <v>1.862645149230957E-8</v>
      </c>
      <c r="I72" s="701">
        <f t="shared" ca="1" si="41"/>
        <v>1.862645149230957E-8</v>
      </c>
      <c r="J72" s="701">
        <f t="shared" ca="1" si="41"/>
        <v>1.862645149230957E-8</v>
      </c>
      <c r="K72" s="701">
        <f t="shared" ca="1" si="41"/>
        <v>1.862645149230957E-8</v>
      </c>
      <c r="L72" s="701">
        <f t="shared" ca="1" si="41"/>
        <v>1.862645149230957E-8</v>
      </c>
      <c r="M72" s="701">
        <f t="shared" ca="1" si="41"/>
        <v>0</v>
      </c>
      <c r="N72" s="701">
        <f t="shared" ca="1" si="41"/>
        <v>0</v>
      </c>
      <c r="O72" s="701">
        <f t="shared" ca="1" si="41"/>
        <v>0</v>
      </c>
      <c r="P72" s="701">
        <f t="shared" ca="1" si="41"/>
        <v>0</v>
      </c>
      <c r="Q72" s="701">
        <f t="shared" ca="1" si="41"/>
        <v>0</v>
      </c>
      <c r="R72" s="701">
        <f t="shared" ca="1" si="41"/>
        <v>0</v>
      </c>
      <c r="S72" s="701">
        <f t="shared" ca="1" si="41"/>
        <v>0</v>
      </c>
      <c r="T72" s="701">
        <f t="shared" ca="1" si="41"/>
        <v>0</v>
      </c>
      <c r="U72" s="701">
        <f t="shared" ca="1" si="41"/>
        <v>0</v>
      </c>
      <c r="V72" s="701">
        <f t="shared" ca="1" si="41"/>
        <v>0</v>
      </c>
      <c r="W72" s="701">
        <f t="shared" ca="1" si="41"/>
        <v>0</v>
      </c>
      <c r="X72" s="701">
        <f t="shared" ca="1" si="41"/>
        <v>0</v>
      </c>
      <c r="Y72" s="701">
        <f t="shared" ca="1" si="41"/>
        <v>0</v>
      </c>
      <c r="Z72" s="701">
        <f t="shared" ca="1" si="41"/>
        <v>0</v>
      </c>
      <c r="AA72" s="701">
        <f t="shared" ca="1" si="41"/>
        <v>0</v>
      </c>
      <c r="AB72" s="701">
        <f t="shared" ca="1" si="41"/>
        <v>0</v>
      </c>
      <c r="AC72" s="701">
        <f t="shared" ca="1" si="41"/>
        <v>0</v>
      </c>
      <c r="AD72" s="701">
        <f t="shared" ca="1" si="41"/>
        <v>0</v>
      </c>
      <c r="AE72" s="701">
        <f t="shared" ca="1" si="41"/>
        <v>0</v>
      </c>
      <c r="AF72" s="701">
        <f t="shared" ca="1" si="41"/>
        <v>0</v>
      </c>
      <c r="AG72" s="701">
        <f t="shared" ca="1" si="41"/>
        <v>0</v>
      </c>
      <c r="AH72" s="701">
        <f t="shared" ca="1" si="41"/>
        <v>0</v>
      </c>
      <c r="AI72" s="701">
        <f t="shared" ca="1" si="41"/>
        <v>0</v>
      </c>
      <c r="AJ72" s="701">
        <f t="shared" ref="AJ72:BL72" ca="1" si="42">AJ53</f>
        <v>0</v>
      </c>
      <c r="AK72" s="701">
        <f t="shared" ca="1" si="42"/>
        <v>0</v>
      </c>
      <c r="AL72" s="701">
        <f t="shared" ca="1" si="42"/>
        <v>0</v>
      </c>
      <c r="AM72" s="701">
        <f t="shared" ca="1" si="42"/>
        <v>0</v>
      </c>
      <c r="AN72" s="701">
        <f t="shared" ca="1" si="42"/>
        <v>0</v>
      </c>
      <c r="AO72" s="701">
        <f t="shared" ca="1" si="42"/>
        <v>0</v>
      </c>
      <c r="AP72" s="701">
        <f t="shared" ca="1" si="42"/>
        <v>0</v>
      </c>
      <c r="AQ72" s="701">
        <f t="shared" ca="1" si="42"/>
        <v>0</v>
      </c>
      <c r="AR72" s="701">
        <f t="shared" ca="1" si="42"/>
        <v>0</v>
      </c>
      <c r="AS72" s="701">
        <f t="shared" ca="1" si="42"/>
        <v>0</v>
      </c>
      <c r="AT72" s="701">
        <f t="shared" ca="1" si="42"/>
        <v>0</v>
      </c>
      <c r="AU72" s="701">
        <f t="shared" ca="1" si="42"/>
        <v>0</v>
      </c>
      <c r="AV72" s="701">
        <f t="shared" ca="1" si="42"/>
        <v>0</v>
      </c>
      <c r="AW72" s="701">
        <f t="shared" ca="1" si="42"/>
        <v>0</v>
      </c>
      <c r="AX72" s="701">
        <f t="shared" ca="1" si="42"/>
        <v>0</v>
      </c>
      <c r="AY72" s="701">
        <f t="shared" ca="1" si="42"/>
        <v>0</v>
      </c>
      <c r="AZ72" s="701">
        <f t="shared" ca="1" si="42"/>
        <v>0</v>
      </c>
      <c r="BA72" s="701">
        <f t="shared" ca="1" si="42"/>
        <v>0</v>
      </c>
      <c r="BB72" s="701">
        <f t="shared" ca="1" si="42"/>
        <v>0</v>
      </c>
      <c r="BC72" s="701">
        <f t="shared" ca="1" si="42"/>
        <v>0</v>
      </c>
      <c r="BD72" s="701">
        <f t="shared" ca="1" si="42"/>
        <v>0</v>
      </c>
      <c r="BE72" s="701">
        <f t="shared" ca="1" si="42"/>
        <v>0</v>
      </c>
      <c r="BF72" s="701">
        <f t="shared" ca="1" si="42"/>
        <v>0</v>
      </c>
      <c r="BG72" s="701">
        <f t="shared" ca="1" si="42"/>
        <v>0</v>
      </c>
      <c r="BH72" s="701">
        <f t="shared" ca="1" si="42"/>
        <v>0</v>
      </c>
      <c r="BI72" s="701">
        <f t="shared" ca="1" si="42"/>
        <v>0</v>
      </c>
      <c r="BJ72" s="701">
        <f t="shared" ca="1" si="42"/>
        <v>0</v>
      </c>
      <c r="BK72" s="701">
        <f t="shared" ca="1" si="42"/>
        <v>0</v>
      </c>
      <c r="BL72" s="701">
        <f t="shared" ca="1" si="42"/>
        <v>0</v>
      </c>
    </row>
    <row r="73" spans="1:64">
      <c r="A73" s="775">
        <f>B70</f>
        <v>0.2</v>
      </c>
      <c r="B73" s="701"/>
      <c r="C73" s="699"/>
      <c r="D73" s="701">
        <f t="shared" ref="D73:BL73" si="43">D71*((1+$B$70)^(1/12)-1)</f>
        <v>0</v>
      </c>
      <c r="E73" s="701">
        <f t="shared" ca="1" si="43"/>
        <v>-94472.147783476452</v>
      </c>
      <c r="F73" s="701">
        <f t="shared" ca="1" si="43"/>
        <v>-107494.49561883391</v>
      </c>
      <c r="G73" s="701">
        <f t="shared" ca="1" si="43"/>
        <v>-109140.17942839394</v>
      </c>
      <c r="H73" s="701">
        <f t="shared" ca="1" si="43"/>
        <v>-110811.05778568833</v>
      </c>
      <c r="I73" s="701">
        <f t="shared" ca="1" si="43"/>
        <v>-112507.51640590232</v>
      </c>
      <c r="J73" s="701">
        <f t="shared" ca="1" si="43"/>
        <v>-114229.94690931655</v>
      </c>
      <c r="K73" s="701">
        <f t="shared" ca="1" si="43"/>
        <v>-115978.74691171065</v>
      </c>
      <c r="L73" s="701">
        <f t="shared" ca="1" si="43"/>
        <v>-117754.32011615134</v>
      </c>
      <c r="M73" s="701">
        <f t="shared" ca="1" si="43"/>
        <v>-119557.07640618556</v>
      </c>
      <c r="N73" s="701">
        <f t="shared" ca="1" si="43"/>
        <v>-121387.43194046064</v>
      </c>
      <c r="O73" s="701">
        <f t="shared" ca="1" si="43"/>
        <v>-123245.80924879186</v>
      </c>
      <c r="P73" s="701">
        <f t="shared" ca="1" si="43"/>
        <v>-125132.63732970248</v>
      </c>
      <c r="Q73" s="701">
        <f t="shared" ca="1" si="43"/>
        <v>-127048.35174945601</v>
      </c>
      <c r="R73" s="701">
        <f t="shared" ca="1" si="43"/>
        <v>-128993.39474260477</v>
      </c>
      <c r="S73" s="701">
        <f t="shared" ca="1" si="43"/>
        <v>-128937.90015277665</v>
      </c>
      <c r="T73" s="701">
        <f t="shared" ca="1" si="43"/>
        <v>-130911.87113146381</v>
      </c>
      <c r="U73" s="701">
        <f t="shared" ca="1" si="43"/>
        <v>-132916.06256061656</v>
      </c>
      <c r="V73" s="701">
        <f t="shared" ca="1" si="43"/>
        <v>-134950.93709932931</v>
      </c>
      <c r="W73" s="701">
        <f t="shared" ca="1" si="43"/>
        <v>-137016.96448976279</v>
      </c>
      <c r="X73" s="701">
        <f t="shared" ca="1" si="43"/>
        <v>-139114.62166558101</v>
      </c>
      <c r="Y73" s="701">
        <f t="shared" ca="1" si="43"/>
        <v>-141244.39286205001</v>
      </c>
      <c r="Z73" s="701">
        <f t="shared" ca="1" si="43"/>
        <v>-143406.76972782123</v>
      </c>
      <c r="AA73" s="701">
        <f t="shared" ca="1" si="43"/>
        <v>-145602.25143842679</v>
      </c>
      <c r="AB73" s="701">
        <f t="shared" ca="1" si="43"/>
        <v>-147831.34481151175</v>
      </c>
      <c r="AC73" s="701">
        <f t="shared" ca="1" si="43"/>
        <v>-150094.56442383118</v>
      </c>
      <c r="AD73" s="701">
        <f t="shared" ca="1" si="43"/>
        <v>-152282.11269139117</v>
      </c>
      <c r="AE73" s="701">
        <f t="shared" ca="1" si="43"/>
        <v>-151962.62107283756</v>
      </c>
      <c r="AF73" s="701">
        <f t="shared" ca="1" si="43"/>
        <v>-153966.73335183415</v>
      </c>
      <c r="AG73" s="701">
        <f t="shared" ca="1" si="43"/>
        <v>-155884.12791142051</v>
      </c>
      <c r="AH73" s="701">
        <f t="shared" ca="1" si="43"/>
        <v>-157717.88415267426</v>
      </c>
      <c r="AI73" s="701">
        <f t="shared" ca="1" si="43"/>
        <v>-159304.83999445534</v>
      </c>
      <c r="AJ73" s="701">
        <f t="shared" ca="1" si="43"/>
        <v>-160780.08881045337</v>
      </c>
      <c r="AK73" s="701">
        <f t="shared" ca="1" si="43"/>
        <v>-162186.71796173876</v>
      </c>
      <c r="AL73" s="701">
        <f t="shared" ca="1" si="43"/>
        <v>-163902.75225624826</v>
      </c>
      <c r="AM73" s="701">
        <f t="shared" ca="1" si="43"/>
        <v>-165636.23984609585</v>
      </c>
      <c r="AN73" s="701">
        <f t="shared" ca="1" si="43"/>
        <v>-167399.74528664033</v>
      </c>
      <c r="AO73" s="701">
        <f t="shared" ca="1" si="43"/>
        <v>-169070.62234107705</v>
      </c>
      <c r="AP73" s="701">
        <f t="shared" ca="1" si="43"/>
        <v>-170771.17086854539</v>
      </c>
      <c r="AQ73" s="701">
        <f t="shared" ca="1" si="43"/>
        <v>-172459.47239706217</v>
      </c>
      <c r="AR73" s="701">
        <f t="shared" ca="1" si="43"/>
        <v>-174132.21900551909</v>
      </c>
      <c r="AS73" s="701">
        <f t="shared" ca="1" si="43"/>
        <v>-175784.41303923837</v>
      </c>
      <c r="AT73" s="701">
        <f t="shared" ca="1" si="43"/>
        <v>-177405.72222205004</v>
      </c>
      <c r="AU73" s="701">
        <f t="shared" ca="1" si="43"/>
        <v>-179016.19218340918</v>
      </c>
      <c r="AV73" s="701">
        <f t="shared" ca="1" si="43"/>
        <v>-180625.16192446981</v>
      </c>
      <c r="AW73" s="701">
        <f t="shared" ca="1" si="43"/>
        <v>-182234.85896166018</v>
      </c>
      <c r="AX73" s="701">
        <f t="shared" ca="1" si="43"/>
        <v>-183879.91303452157</v>
      </c>
      <c r="AY73" s="701">
        <f t="shared" ca="1" si="43"/>
        <v>-185553.91304894132</v>
      </c>
      <c r="AZ73" s="701">
        <f t="shared" ca="1" si="43"/>
        <v>-187268.21717601776</v>
      </c>
      <c r="BA73" s="701">
        <f t="shared" ca="1" si="43"/>
        <v>0</v>
      </c>
      <c r="BB73" s="701">
        <f t="shared" ca="1" si="43"/>
        <v>0</v>
      </c>
      <c r="BC73" s="701">
        <f t="shared" ca="1" si="43"/>
        <v>0</v>
      </c>
      <c r="BD73" s="701">
        <f t="shared" ca="1" si="43"/>
        <v>0</v>
      </c>
      <c r="BE73" s="701">
        <f t="shared" ca="1" si="43"/>
        <v>0</v>
      </c>
      <c r="BF73" s="701">
        <f t="shared" ca="1" si="43"/>
        <v>0</v>
      </c>
      <c r="BG73" s="701">
        <f t="shared" ca="1" si="43"/>
        <v>0</v>
      </c>
      <c r="BH73" s="701">
        <f t="shared" ca="1" si="43"/>
        <v>0</v>
      </c>
      <c r="BI73" s="701">
        <f t="shared" ca="1" si="43"/>
        <v>0</v>
      </c>
      <c r="BJ73" s="701">
        <f t="shared" ca="1" si="43"/>
        <v>0</v>
      </c>
      <c r="BK73" s="701">
        <f t="shared" ca="1" si="43"/>
        <v>0</v>
      </c>
      <c r="BL73" s="701">
        <f t="shared" ca="1" si="43"/>
        <v>0</v>
      </c>
    </row>
    <row r="74" spans="1:64">
      <c r="A74" s="774" t="s">
        <v>639</v>
      </c>
      <c r="B74" s="701"/>
      <c r="C74" s="699"/>
      <c r="D74" s="701">
        <f>D55</f>
        <v>0</v>
      </c>
      <c r="E74" s="701">
        <f t="shared" ref="E74:BL74" ca="1" si="44">E55</f>
        <v>0</v>
      </c>
      <c r="F74" s="701">
        <f t="shared" ca="1" si="44"/>
        <v>0</v>
      </c>
      <c r="G74" s="701">
        <f t="shared" ca="1" si="44"/>
        <v>0</v>
      </c>
      <c r="H74" s="701">
        <f t="shared" ca="1" si="44"/>
        <v>0</v>
      </c>
      <c r="I74" s="701">
        <f t="shared" ca="1" si="44"/>
        <v>0</v>
      </c>
      <c r="J74" s="701">
        <f t="shared" ca="1" si="44"/>
        <v>0</v>
      </c>
      <c r="K74" s="701">
        <f t="shared" ca="1" si="44"/>
        <v>0</v>
      </c>
      <c r="L74" s="701">
        <f t="shared" ca="1" si="44"/>
        <v>0</v>
      </c>
      <c r="M74" s="701">
        <f t="shared" ca="1" si="44"/>
        <v>0</v>
      </c>
      <c r="N74" s="701">
        <f t="shared" ca="1" si="44"/>
        <v>0</v>
      </c>
      <c r="O74" s="701">
        <f t="shared" ca="1" si="44"/>
        <v>0</v>
      </c>
      <c r="P74" s="701">
        <f t="shared" ca="1" si="44"/>
        <v>0</v>
      </c>
      <c r="Q74" s="701">
        <f t="shared" ca="1" si="44"/>
        <v>0</v>
      </c>
      <c r="R74" s="701">
        <f t="shared" ca="1" si="44"/>
        <v>48409.658836677576</v>
      </c>
      <c r="S74" s="701">
        <f t="shared" ca="1" si="44"/>
        <v>0</v>
      </c>
      <c r="T74" s="701">
        <f t="shared" ca="1" si="44"/>
        <v>0</v>
      </c>
      <c r="U74" s="701">
        <f t="shared" ca="1" si="44"/>
        <v>0</v>
      </c>
      <c r="V74" s="701">
        <f t="shared" ca="1" si="44"/>
        <v>0</v>
      </c>
      <c r="W74" s="701">
        <f t="shared" ca="1" si="44"/>
        <v>0</v>
      </c>
      <c r="X74" s="701">
        <f t="shared" ca="1" si="44"/>
        <v>0</v>
      </c>
      <c r="Y74" s="701">
        <f t="shared" ca="1" si="44"/>
        <v>0</v>
      </c>
      <c r="Z74" s="701">
        <f t="shared" ca="1" si="44"/>
        <v>0</v>
      </c>
      <c r="AA74" s="701">
        <f t="shared" ca="1" si="44"/>
        <v>0</v>
      </c>
      <c r="AB74" s="701">
        <f t="shared" ca="1" si="44"/>
        <v>0</v>
      </c>
      <c r="AC74" s="701">
        <f t="shared" ca="1" si="44"/>
        <v>7206.0087427061371</v>
      </c>
      <c r="AD74" s="701">
        <f t="shared" ca="1" si="44"/>
        <v>51320.427289105945</v>
      </c>
      <c r="AE74" s="701">
        <f t="shared" ca="1" si="44"/>
        <v>21055.946865947888</v>
      </c>
      <c r="AF74" s="701">
        <f t="shared" ca="1" si="44"/>
        <v>28724.387467987923</v>
      </c>
      <c r="AG74" s="701">
        <f t="shared" ca="1" si="44"/>
        <v>36104.966417679243</v>
      </c>
      <c r="AH74" s="701">
        <f t="shared" ca="1" si="44"/>
        <v>50962.789644443896</v>
      </c>
      <c r="AI74" s="701">
        <f t="shared" ca="1" si="44"/>
        <v>50942.865265775727</v>
      </c>
      <c r="AJ74" s="701">
        <f t="shared" ca="1" si="44"/>
        <v>50865.655651099645</v>
      </c>
      <c r="AK74" s="701">
        <f t="shared" ca="1" si="44"/>
        <v>50097.05957852221</v>
      </c>
      <c r="AL74" s="701">
        <f t="shared" ca="1" si="44"/>
        <v>50673.06200911761</v>
      </c>
      <c r="AM74" s="701">
        <f t="shared" ca="1" si="44"/>
        <v>50445.81195463457</v>
      </c>
      <c r="AN74" s="701">
        <f t="shared" ca="1" si="44"/>
        <v>50756.32228121267</v>
      </c>
      <c r="AO74" s="701">
        <f t="shared" ca="1" si="44"/>
        <v>50708.045222966597</v>
      </c>
      <c r="AP74" s="701">
        <f t="shared" ca="1" si="44"/>
        <v>50661.176948266133</v>
      </c>
      <c r="AQ74" s="701">
        <f t="shared" ca="1" si="44"/>
        <v>50597.918759834909</v>
      </c>
      <c r="AR74" s="701">
        <f t="shared" ca="1" si="44"/>
        <v>50516.853799543453</v>
      </c>
      <c r="AS74" s="701">
        <f t="shared" ca="1" si="44"/>
        <v>50415.867241037617</v>
      </c>
      <c r="AT74" s="701">
        <f t="shared" ca="1" si="44"/>
        <v>50290.620853038032</v>
      </c>
      <c r="AU74" s="701">
        <f t="shared" ca="1" si="44"/>
        <v>50149.581731690116</v>
      </c>
      <c r="AV74" s="701">
        <f t="shared" ca="1" si="44"/>
        <v>49996.642858518811</v>
      </c>
      <c r="AW74" s="701">
        <f t="shared" ca="1" si="44"/>
        <v>49832.673469162044</v>
      </c>
      <c r="AX74" s="701">
        <f t="shared" ca="1" si="44"/>
        <v>49672.151570790345</v>
      </c>
      <c r="AY74" s="701">
        <f t="shared" ca="1" si="44"/>
        <v>49512.17749985589</v>
      </c>
      <c r="AZ74" s="701">
        <f t="shared" ca="1" si="44"/>
        <v>49357.341980470504</v>
      </c>
      <c r="BA74" s="701">
        <f t="shared" ca="1" si="44"/>
        <v>0</v>
      </c>
      <c r="BB74" s="701">
        <f t="shared" ca="1" si="44"/>
        <v>0</v>
      </c>
      <c r="BC74" s="701">
        <f t="shared" ca="1" si="44"/>
        <v>0</v>
      </c>
      <c r="BD74" s="701">
        <f t="shared" ca="1" si="44"/>
        <v>0</v>
      </c>
      <c r="BE74" s="701">
        <f t="shared" ca="1" si="44"/>
        <v>0</v>
      </c>
      <c r="BF74" s="701">
        <f t="shared" ca="1" si="44"/>
        <v>0</v>
      </c>
      <c r="BG74" s="701">
        <f t="shared" ca="1" si="44"/>
        <v>0</v>
      </c>
      <c r="BH74" s="701">
        <f t="shared" ca="1" si="44"/>
        <v>0</v>
      </c>
      <c r="BI74" s="701">
        <f t="shared" ca="1" si="44"/>
        <v>0</v>
      </c>
      <c r="BJ74" s="701">
        <f t="shared" ca="1" si="44"/>
        <v>0</v>
      </c>
      <c r="BK74" s="701">
        <f t="shared" ca="1" si="44"/>
        <v>0</v>
      </c>
      <c r="BL74" s="701">
        <f t="shared" ca="1" si="44"/>
        <v>0</v>
      </c>
    </row>
    <row r="75" spans="1:64">
      <c r="A75" s="774" t="s">
        <v>640</v>
      </c>
      <c r="B75" s="701"/>
      <c r="C75" s="699"/>
      <c r="D75" s="701">
        <f>D56</f>
        <v>0</v>
      </c>
      <c r="E75" s="701">
        <f t="shared" ref="E75:AJ75" ca="1" si="45">E56</f>
        <v>0</v>
      </c>
      <c r="F75" s="701">
        <f t="shared" ca="1" si="45"/>
        <v>0</v>
      </c>
      <c r="G75" s="701">
        <f t="shared" ca="1" si="45"/>
        <v>0</v>
      </c>
      <c r="H75" s="701">
        <f t="shared" ca="1" si="45"/>
        <v>0</v>
      </c>
      <c r="I75" s="701">
        <f t="shared" ca="1" si="45"/>
        <v>0</v>
      </c>
      <c r="J75" s="701">
        <f t="shared" ca="1" si="45"/>
        <v>0</v>
      </c>
      <c r="K75" s="701">
        <f t="shared" ca="1" si="45"/>
        <v>0</v>
      </c>
      <c r="L75" s="701">
        <f t="shared" ca="1" si="45"/>
        <v>0</v>
      </c>
      <c r="M75" s="701">
        <f t="shared" ca="1" si="45"/>
        <v>0</v>
      </c>
      <c r="N75" s="701">
        <f t="shared" ca="1" si="45"/>
        <v>0</v>
      </c>
      <c r="O75" s="701">
        <f t="shared" ca="1" si="45"/>
        <v>0</v>
      </c>
      <c r="P75" s="701">
        <f t="shared" ca="1" si="45"/>
        <v>0</v>
      </c>
      <c r="Q75" s="701">
        <f t="shared" ca="1" si="45"/>
        <v>0</v>
      </c>
      <c r="R75" s="701">
        <f t="shared" ca="1" si="45"/>
        <v>84208.65413733173</v>
      </c>
      <c r="S75" s="701">
        <f t="shared" ca="1" si="45"/>
        <v>0</v>
      </c>
      <c r="T75" s="701">
        <f t="shared" ca="1" si="45"/>
        <v>0</v>
      </c>
      <c r="U75" s="701">
        <f t="shared" ca="1" si="45"/>
        <v>0</v>
      </c>
      <c r="V75" s="701">
        <f t="shared" ca="1" si="45"/>
        <v>0</v>
      </c>
      <c r="W75" s="701">
        <f t="shared" ca="1" si="45"/>
        <v>0</v>
      </c>
      <c r="X75" s="701">
        <f t="shared" ca="1" si="45"/>
        <v>0</v>
      </c>
      <c r="Y75" s="701">
        <f t="shared" ca="1" si="45"/>
        <v>0</v>
      </c>
      <c r="Z75" s="701">
        <f t="shared" ca="1" si="45"/>
        <v>0</v>
      </c>
      <c r="AA75" s="701">
        <f t="shared" ca="1" si="45"/>
        <v>0</v>
      </c>
      <c r="AB75" s="701">
        <f t="shared" ca="1" si="45"/>
        <v>0</v>
      </c>
      <c r="AC75" s="701">
        <f t="shared" ca="1" si="45"/>
        <v>0</v>
      </c>
      <c r="AD75" s="701">
        <f t="shared" ca="1" si="45"/>
        <v>121830.63756138863</v>
      </c>
      <c r="AE75" s="701">
        <f t="shared" ca="1" si="45"/>
        <v>0</v>
      </c>
      <c r="AF75" s="701">
        <f t="shared" ca="1" si="45"/>
        <v>0</v>
      </c>
      <c r="AG75" s="701">
        <f t="shared" ca="1" si="45"/>
        <v>0</v>
      </c>
      <c r="AH75" s="701">
        <f t="shared" ca="1" si="45"/>
        <v>3096.7182809322694</v>
      </c>
      <c r="AI75" s="701">
        <f t="shared" ca="1" si="45"/>
        <v>12000.194800012359</v>
      </c>
      <c r="AJ75" s="701">
        <f t="shared" ca="1" si="45"/>
        <v>18034.824231602965</v>
      </c>
      <c r="AK75" s="701">
        <f t="shared" ref="AK75:BL75" ca="1" si="46">AK56</f>
        <v>0</v>
      </c>
      <c r="AL75" s="701">
        <f t="shared" ca="1" si="46"/>
        <v>0</v>
      </c>
      <c r="AM75" s="701">
        <f t="shared" ca="1" si="46"/>
        <v>0</v>
      </c>
      <c r="AN75" s="701">
        <f t="shared" ca="1" si="46"/>
        <v>7503.3932735505005</v>
      </c>
      <c r="AO75" s="701">
        <f t="shared" ca="1" si="46"/>
        <v>7284.4350910807407</v>
      </c>
      <c r="AP75" s="701">
        <f t="shared" ca="1" si="46"/>
        <v>9831.8141769010836</v>
      </c>
      <c r="AQ75" s="701">
        <f t="shared" ca="1" si="46"/>
        <v>12599.406427289345</v>
      </c>
      <c r="AR75" s="701">
        <f t="shared" ca="1" si="46"/>
        <v>15695.692563069249</v>
      </c>
      <c r="AS75" s="701">
        <f t="shared" ca="1" si="46"/>
        <v>19466.242139592854</v>
      </c>
      <c r="AT75" s="701">
        <f t="shared" ca="1" si="46"/>
        <v>21920.805312353878</v>
      </c>
      <c r="AU75" s="701">
        <f t="shared" ca="1" si="46"/>
        <v>23770.307355419827</v>
      </c>
      <c r="AV75" s="701">
        <f t="shared" ca="1" si="46"/>
        <v>25484.709682479559</v>
      </c>
      <c r="AW75" s="701">
        <f t="shared" ca="1" si="46"/>
        <v>24948.888288878115</v>
      </c>
      <c r="AX75" s="701">
        <f t="shared" ca="1" si="46"/>
        <v>24863.742987301448</v>
      </c>
      <c r="AY75" s="701">
        <f t="shared" ca="1" si="46"/>
        <v>24065.090904736287</v>
      </c>
      <c r="AZ75" s="701">
        <f t="shared" ca="1" si="46"/>
        <v>7671294.8395642787</v>
      </c>
      <c r="BA75" s="701">
        <f t="shared" ca="1" si="46"/>
        <v>0</v>
      </c>
      <c r="BB75" s="701">
        <f t="shared" ca="1" si="46"/>
        <v>0</v>
      </c>
      <c r="BC75" s="701">
        <f t="shared" ca="1" si="46"/>
        <v>0</v>
      </c>
      <c r="BD75" s="701">
        <f t="shared" ca="1" si="46"/>
        <v>0</v>
      </c>
      <c r="BE75" s="701">
        <f t="shared" ca="1" si="46"/>
        <v>0</v>
      </c>
      <c r="BF75" s="701">
        <f t="shared" ca="1" si="46"/>
        <v>0</v>
      </c>
      <c r="BG75" s="701">
        <f t="shared" ca="1" si="46"/>
        <v>0</v>
      </c>
      <c r="BH75" s="701">
        <f t="shared" ca="1" si="46"/>
        <v>0</v>
      </c>
      <c r="BI75" s="701">
        <f t="shared" ca="1" si="46"/>
        <v>0</v>
      </c>
      <c r="BJ75" s="701">
        <f t="shared" ca="1" si="46"/>
        <v>0</v>
      </c>
      <c r="BK75" s="701">
        <f t="shared" ca="1" si="46"/>
        <v>0</v>
      </c>
      <c r="BL75" s="701">
        <f t="shared" ca="1" si="46"/>
        <v>0</v>
      </c>
    </row>
    <row r="76" spans="1:64">
      <c r="A76" s="774" t="s">
        <v>648</v>
      </c>
      <c r="B76" s="701"/>
      <c r="C76" s="699"/>
      <c r="D76" s="701">
        <f t="shared" ref="D76:AI76" ca="1" si="47">D58</f>
        <v>0</v>
      </c>
      <c r="E76" s="701">
        <f t="shared" ca="1" si="47"/>
        <v>0</v>
      </c>
      <c r="F76" s="701">
        <f t="shared" ca="1" si="47"/>
        <v>0</v>
      </c>
      <c r="G76" s="701">
        <f t="shared" ca="1" si="47"/>
        <v>0</v>
      </c>
      <c r="H76" s="701">
        <f t="shared" ca="1" si="47"/>
        <v>0</v>
      </c>
      <c r="I76" s="701">
        <f t="shared" ca="1" si="47"/>
        <v>0</v>
      </c>
      <c r="J76" s="701">
        <f t="shared" ca="1" si="47"/>
        <v>0</v>
      </c>
      <c r="K76" s="701">
        <f t="shared" ca="1" si="47"/>
        <v>0</v>
      </c>
      <c r="L76" s="701">
        <f t="shared" ca="1" si="47"/>
        <v>0</v>
      </c>
      <c r="M76" s="701">
        <f t="shared" ca="1" si="47"/>
        <v>0</v>
      </c>
      <c r="N76" s="701">
        <f t="shared" ca="1" si="47"/>
        <v>0</v>
      </c>
      <c r="O76" s="701">
        <f t="shared" ca="1" si="47"/>
        <v>0</v>
      </c>
      <c r="P76" s="701">
        <f t="shared" ca="1" si="47"/>
        <v>0</v>
      </c>
      <c r="Q76" s="701">
        <f t="shared" ca="1" si="47"/>
        <v>0</v>
      </c>
      <c r="R76" s="701">
        <f t="shared" ca="1" si="47"/>
        <v>-6.4593905757858894E-2</v>
      </c>
      <c r="S76" s="701">
        <f t="shared" ca="1" si="47"/>
        <v>0</v>
      </c>
      <c r="T76" s="701">
        <f t="shared" ca="1" si="47"/>
        <v>0</v>
      </c>
      <c r="U76" s="701">
        <f t="shared" ca="1" si="47"/>
        <v>0</v>
      </c>
      <c r="V76" s="701">
        <f t="shared" ca="1" si="47"/>
        <v>0</v>
      </c>
      <c r="W76" s="701">
        <f t="shared" ca="1" si="47"/>
        <v>0</v>
      </c>
      <c r="X76" s="701">
        <f t="shared" ca="1" si="47"/>
        <v>0</v>
      </c>
      <c r="Y76" s="701">
        <f t="shared" ca="1" si="47"/>
        <v>0</v>
      </c>
      <c r="Z76" s="701">
        <f t="shared" ca="1" si="47"/>
        <v>0</v>
      </c>
      <c r="AA76" s="701">
        <f t="shared" ca="1" si="47"/>
        <v>0</v>
      </c>
      <c r="AB76" s="701">
        <f t="shared" ca="1" si="47"/>
        <v>0</v>
      </c>
      <c r="AC76" s="701">
        <f t="shared" ca="1" si="47"/>
        <v>-9.1198817741834776E-3</v>
      </c>
      <c r="AD76" s="701">
        <f t="shared" ca="1" si="47"/>
        <v>-6.4593905782207681E-2</v>
      </c>
      <c r="AE76" s="701">
        <f t="shared" ca="1" si="47"/>
        <v>-2.6912906326626396E-2</v>
      </c>
      <c r="AF76" s="701">
        <f t="shared" ca="1" si="47"/>
        <v>-3.657712879047733E-2</v>
      </c>
      <c r="AG76" s="701">
        <f t="shared" ca="1" si="47"/>
        <v>-4.5847482401167129E-2</v>
      </c>
      <c r="AH76" s="701">
        <f t="shared" ca="1" si="47"/>
        <v>-6.459390577612048E-2</v>
      </c>
      <c r="AI76" s="701">
        <f t="shared" ca="1" si="47"/>
        <v>-6.459390577612048E-2</v>
      </c>
      <c r="AJ76" s="701">
        <f t="shared" ref="AJ76:BL76" ca="1" si="48">AJ58</f>
        <v>-6.4593905782207681E-2</v>
      </c>
      <c r="AK76" s="701">
        <f t="shared" ca="1" si="48"/>
        <v>-6.3763330776973465E-2</v>
      </c>
      <c r="AL76" s="701">
        <f t="shared" ca="1" si="48"/>
        <v>-6.4491128850803034E-2</v>
      </c>
      <c r="AM76" s="701">
        <f t="shared" ca="1" si="48"/>
        <v>-6.4201252594067851E-2</v>
      </c>
      <c r="AN76" s="701">
        <f t="shared" ca="1" si="48"/>
        <v>-6.459390577612048E-2</v>
      </c>
      <c r="AO76" s="701">
        <f t="shared" ca="1" si="48"/>
        <v>-6.459390577612048E-2</v>
      </c>
      <c r="AP76" s="701">
        <f t="shared" ca="1" si="48"/>
        <v>-6.459390577612048E-2</v>
      </c>
      <c r="AQ76" s="701">
        <f t="shared" ca="1" si="48"/>
        <v>-6.459390577612048E-2</v>
      </c>
      <c r="AR76" s="701">
        <f t="shared" ca="1" si="48"/>
        <v>-6.459390577003328E-2</v>
      </c>
      <c r="AS76" s="701">
        <f t="shared" ca="1" si="48"/>
        <v>-6.459390577003328E-2</v>
      </c>
      <c r="AT76" s="701">
        <f t="shared" ca="1" si="48"/>
        <v>-6.459390577003328E-2</v>
      </c>
      <c r="AU76" s="701">
        <f t="shared" ca="1" si="48"/>
        <v>-6.4593905782207681E-2</v>
      </c>
      <c r="AV76" s="701">
        <f t="shared" ca="1" si="48"/>
        <v>-6.4593905782207681E-2</v>
      </c>
      <c r="AW76" s="701">
        <f t="shared" ca="1" si="48"/>
        <v>-6.4593905782207681E-2</v>
      </c>
      <c r="AX76" s="701">
        <f t="shared" ca="1" si="48"/>
        <v>-6.4593905782207681E-2</v>
      </c>
      <c r="AY76" s="701">
        <f t="shared" ca="1" si="48"/>
        <v>-6.4593905782207681E-2</v>
      </c>
      <c r="AZ76" s="701">
        <f t="shared" ca="1" si="48"/>
        <v>2553942.1031809319</v>
      </c>
      <c r="BA76" s="701">
        <f t="shared" ca="1" si="48"/>
        <v>0</v>
      </c>
      <c r="BB76" s="701">
        <f t="shared" ca="1" si="48"/>
        <v>0</v>
      </c>
      <c r="BC76" s="701">
        <f t="shared" ca="1" si="48"/>
        <v>0</v>
      </c>
      <c r="BD76" s="701">
        <f t="shared" ca="1" si="48"/>
        <v>0</v>
      </c>
      <c r="BE76" s="701">
        <f t="shared" ca="1" si="48"/>
        <v>0</v>
      </c>
      <c r="BF76" s="701">
        <f t="shared" ca="1" si="48"/>
        <v>0</v>
      </c>
      <c r="BG76" s="701">
        <f t="shared" ca="1" si="48"/>
        <v>0</v>
      </c>
      <c r="BH76" s="701">
        <f t="shared" ca="1" si="48"/>
        <v>0</v>
      </c>
      <c r="BI76" s="701">
        <f t="shared" ca="1" si="48"/>
        <v>0</v>
      </c>
      <c r="BJ76" s="701">
        <f t="shared" ca="1" si="48"/>
        <v>0</v>
      </c>
      <c r="BK76" s="701">
        <f t="shared" ca="1" si="48"/>
        <v>0</v>
      </c>
      <c r="BL76" s="701">
        <f t="shared" ca="1" si="48"/>
        <v>0</v>
      </c>
    </row>
    <row r="77" spans="1:64">
      <c r="A77" s="774" t="s">
        <v>541</v>
      </c>
      <c r="B77" s="701"/>
      <c r="C77" s="703"/>
      <c r="D77" s="754">
        <f ca="1">SUM(D71:D76)</f>
        <v>-6170830.5186084136</v>
      </c>
      <c r="E77" s="754">
        <f t="shared" ref="E77:BL77" ca="1" si="49">SUM(E71:E76)</f>
        <v>-7021437.8492529206</v>
      </c>
      <c r="F77" s="754">
        <f t="shared" ca="1" si="49"/>
        <v>-7128932.3448717557</v>
      </c>
      <c r="G77" s="754">
        <f t="shared" ca="1" si="49"/>
        <v>-7238072.5243001487</v>
      </c>
      <c r="H77" s="754">
        <f t="shared" ca="1" si="49"/>
        <v>-7348883.5820858385</v>
      </c>
      <c r="I77" s="754">
        <f t="shared" ca="1" si="49"/>
        <v>-7461391.0984917404</v>
      </c>
      <c r="J77" s="754">
        <f t="shared" ca="1" si="49"/>
        <v>-7575621.045401061</v>
      </c>
      <c r="K77" s="754">
        <f t="shared" ca="1" si="49"/>
        <v>-7691599.7923127748</v>
      </c>
      <c r="L77" s="754">
        <f t="shared" ca="1" si="49"/>
        <v>-7809354.1124289297</v>
      </c>
      <c r="M77" s="754">
        <f t="shared" ca="1" si="49"/>
        <v>-7928911.1888351403</v>
      </c>
      <c r="N77" s="754">
        <f t="shared" ca="1" si="49"/>
        <v>-8050298.6207756316</v>
      </c>
      <c r="O77" s="754">
        <f t="shared" ca="1" si="49"/>
        <v>-8173544.4300244646</v>
      </c>
      <c r="P77" s="754">
        <f t="shared" ca="1" si="49"/>
        <v>-8298677.0673542153</v>
      </c>
      <c r="Q77" s="754">
        <f t="shared" ca="1" si="49"/>
        <v>-8425725.4191037286</v>
      </c>
      <c r="R77" s="754">
        <f t="shared" ca="1" si="49"/>
        <v>-8422100.5654662941</v>
      </c>
      <c r="S77" s="754">
        <f t="shared" ca="1" si="49"/>
        <v>-8551038.4656191375</v>
      </c>
      <c r="T77" s="754">
        <f t="shared" ca="1" si="49"/>
        <v>-8681950.336750662</v>
      </c>
      <c r="U77" s="754">
        <f t="shared" ca="1" si="49"/>
        <v>-8814866.3993113432</v>
      </c>
      <c r="V77" s="754">
        <f t="shared" ca="1" si="49"/>
        <v>-8949817.3364107125</v>
      </c>
      <c r="W77" s="754">
        <f t="shared" ca="1" si="49"/>
        <v>-9086834.3009004891</v>
      </c>
      <c r="X77" s="754">
        <f t="shared" ca="1" si="49"/>
        <v>-9225948.9225660339</v>
      </c>
      <c r="Y77" s="754">
        <f t="shared" ca="1" si="49"/>
        <v>-9367193.3154279888</v>
      </c>
      <c r="Z77" s="754">
        <f t="shared" ca="1" si="49"/>
        <v>-9510600.0851556268</v>
      </c>
      <c r="AA77" s="754">
        <f t="shared" ca="1" si="49"/>
        <v>-9656202.3365937769</v>
      </c>
      <c r="AB77" s="754">
        <f t="shared" ca="1" si="49"/>
        <v>-9804033.6814048905</v>
      </c>
      <c r="AC77" s="754">
        <f t="shared" ca="1" si="49"/>
        <v>-9946922.2462053746</v>
      </c>
      <c r="AD77" s="754">
        <f t="shared" ca="1" si="49"/>
        <v>-9926053.3586395271</v>
      </c>
      <c r="AE77" s="754">
        <f t="shared" ca="1" si="49"/>
        <v>-10056960.05975854</v>
      </c>
      <c r="AF77" s="754">
        <f t="shared" ca="1" si="49"/>
        <v>-10182202.442218594</v>
      </c>
      <c r="AG77" s="754">
        <f t="shared" ca="1" si="49"/>
        <v>-10301981.649558775</v>
      </c>
      <c r="AH77" s="754">
        <f t="shared" ca="1" si="49"/>
        <v>-10405640.09037881</v>
      </c>
      <c r="AI77" s="754">
        <f t="shared" ca="1" si="49"/>
        <v>-10502001.934900124</v>
      </c>
      <c r="AJ77" s="754">
        <f t="shared" ca="1" si="49"/>
        <v>-10593881.608420474</v>
      </c>
      <c r="AK77" s="754">
        <f t="shared" ca="1" si="49"/>
        <v>-10705971.330565758</v>
      </c>
      <c r="AL77" s="754">
        <f t="shared" ca="1" si="49"/>
        <v>-10819201.085302964</v>
      </c>
      <c r="AM77" s="754">
        <f t="shared" ca="1" si="49"/>
        <v>-10934391.577395052</v>
      </c>
      <c r="AN77" s="754">
        <f t="shared" ca="1" si="49"/>
        <v>-11043531.671720935</v>
      </c>
      <c r="AO77" s="754">
        <f t="shared" ca="1" si="49"/>
        <v>-11154609.878343066</v>
      </c>
      <c r="AP77" s="754">
        <f t="shared" ca="1" si="49"/>
        <v>-11264888.122683099</v>
      </c>
      <c r="AQ77" s="754">
        <f t="shared" ca="1" si="49"/>
        <v>-11374150.334491711</v>
      </c>
      <c r="AR77" s="754">
        <f t="shared" ca="1" si="49"/>
        <v>-11482070.071735743</v>
      </c>
      <c r="AS77" s="754">
        <f t="shared" ca="1" si="49"/>
        <v>-11587972.43999829</v>
      </c>
      <c r="AT77" s="754">
        <f t="shared" ca="1" si="49"/>
        <v>-11693166.800661795</v>
      </c>
      <c r="AU77" s="754">
        <f t="shared" ca="1" si="49"/>
        <v>-11798263.168367757</v>
      </c>
      <c r="AV77" s="754">
        <f t="shared" ca="1" si="49"/>
        <v>-11903407.042363331</v>
      </c>
      <c r="AW77" s="754">
        <f t="shared" ca="1" si="49"/>
        <v>-12010860.40418086</v>
      </c>
      <c r="AX77" s="754">
        <f t="shared" ca="1" si="49"/>
        <v>-12120204.48727244</v>
      </c>
      <c r="AY77" s="754">
        <f t="shared" ca="1" si="49"/>
        <v>-12232181.196532529</v>
      </c>
      <c r="AZ77" s="754">
        <f t="shared" ca="1" si="49"/>
        <v>-2144855.1290048398</v>
      </c>
      <c r="BA77" s="754">
        <f t="shared" ca="1" si="49"/>
        <v>0</v>
      </c>
      <c r="BB77" s="754">
        <f t="shared" ca="1" si="49"/>
        <v>0</v>
      </c>
      <c r="BC77" s="754">
        <f t="shared" ca="1" si="49"/>
        <v>0</v>
      </c>
      <c r="BD77" s="754">
        <f t="shared" ca="1" si="49"/>
        <v>0</v>
      </c>
      <c r="BE77" s="754">
        <f t="shared" ca="1" si="49"/>
        <v>0</v>
      </c>
      <c r="BF77" s="754">
        <f t="shared" ca="1" si="49"/>
        <v>0</v>
      </c>
      <c r="BG77" s="754">
        <f t="shared" ca="1" si="49"/>
        <v>0</v>
      </c>
      <c r="BH77" s="754">
        <f t="shared" ca="1" si="49"/>
        <v>0</v>
      </c>
      <c r="BI77" s="754">
        <f t="shared" ca="1" si="49"/>
        <v>0</v>
      </c>
      <c r="BJ77" s="754">
        <f t="shared" ca="1" si="49"/>
        <v>0</v>
      </c>
      <c r="BK77" s="754">
        <f t="shared" ca="1" si="49"/>
        <v>0</v>
      </c>
      <c r="BL77" s="754">
        <f t="shared" ca="1" si="49"/>
        <v>0</v>
      </c>
    </row>
    <row r="78" spans="1:64">
      <c r="A78" s="778">
        <f ca="1">1-G10</f>
        <v>0.71161801225213517</v>
      </c>
      <c r="B78" s="701"/>
      <c r="C78" s="699"/>
      <c r="D78" s="701">
        <v>0</v>
      </c>
      <c r="E78" s="701">
        <f t="shared" ref="E78:AJ78" ca="1" si="50">MIN(-E77,E63*$A78)</f>
        <v>0</v>
      </c>
      <c r="F78" s="701">
        <f t="shared" ca="1" si="50"/>
        <v>0</v>
      </c>
      <c r="G78" s="701">
        <f t="shared" ca="1" si="50"/>
        <v>0</v>
      </c>
      <c r="H78" s="701">
        <f t="shared" ca="1" si="50"/>
        <v>0</v>
      </c>
      <c r="I78" s="701">
        <f t="shared" ca="1" si="50"/>
        <v>0</v>
      </c>
      <c r="J78" s="701">
        <f t="shared" ca="1" si="50"/>
        <v>0</v>
      </c>
      <c r="K78" s="701">
        <f t="shared" ca="1" si="50"/>
        <v>0</v>
      </c>
      <c r="L78" s="701">
        <f t="shared" ca="1" si="50"/>
        <v>0</v>
      </c>
      <c r="M78" s="701">
        <f t="shared" ca="1" si="50"/>
        <v>0</v>
      </c>
      <c r="N78" s="701">
        <f t="shared" ca="1" si="50"/>
        <v>0</v>
      </c>
      <c r="O78" s="701">
        <f t="shared" ca="1" si="50"/>
        <v>0</v>
      </c>
      <c r="P78" s="701">
        <f t="shared" ca="1" si="50"/>
        <v>0</v>
      </c>
      <c r="Q78" s="701">
        <f t="shared" ca="1" si="50"/>
        <v>0</v>
      </c>
      <c r="R78" s="701">
        <f t="shared" ca="1" si="50"/>
        <v>0</v>
      </c>
      <c r="S78" s="701">
        <f t="shared" ca="1" si="50"/>
        <v>0</v>
      </c>
      <c r="T78" s="701">
        <f t="shared" ca="1" si="50"/>
        <v>0</v>
      </c>
      <c r="U78" s="701">
        <f t="shared" ca="1" si="50"/>
        <v>0</v>
      </c>
      <c r="V78" s="701">
        <f t="shared" ca="1" si="50"/>
        <v>0</v>
      </c>
      <c r="W78" s="701">
        <f t="shared" ca="1" si="50"/>
        <v>0</v>
      </c>
      <c r="X78" s="701">
        <f t="shared" ca="1" si="50"/>
        <v>0</v>
      </c>
      <c r="Y78" s="701">
        <f t="shared" ca="1" si="50"/>
        <v>0</v>
      </c>
      <c r="Z78" s="701">
        <f t="shared" ca="1" si="50"/>
        <v>0</v>
      </c>
      <c r="AA78" s="701">
        <f t="shared" ca="1" si="50"/>
        <v>0</v>
      </c>
      <c r="AB78" s="701">
        <f t="shared" ca="1" si="50"/>
        <v>0</v>
      </c>
      <c r="AC78" s="701">
        <f t="shared" ca="1" si="50"/>
        <v>0</v>
      </c>
      <c r="AD78" s="701">
        <f t="shared" ca="1" si="50"/>
        <v>0</v>
      </c>
      <c r="AE78" s="701">
        <f t="shared" ca="1" si="50"/>
        <v>0</v>
      </c>
      <c r="AF78" s="701">
        <f t="shared" ca="1" si="50"/>
        <v>0</v>
      </c>
      <c r="AG78" s="701">
        <f t="shared" ca="1" si="50"/>
        <v>0</v>
      </c>
      <c r="AH78" s="701">
        <f t="shared" ca="1" si="50"/>
        <v>0</v>
      </c>
      <c r="AI78" s="701">
        <f t="shared" ca="1" si="50"/>
        <v>0</v>
      </c>
      <c r="AJ78" s="701">
        <f t="shared" ca="1" si="50"/>
        <v>0</v>
      </c>
      <c r="AK78" s="701">
        <f t="shared" ref="AK78:BL78" ca="1" si="51">MIN(-AK77,AK63*$A78)</f>
        <v>0</v>
      </c>
      <c r="AL78" s="701">
        <f t="shared" ca="1" si="51"/>
        <v>0</v>
      </c>
      <c r="AM78" s="701">
        <f t="shared" ca="1" si="51"/>
        <v>0</v>
      </c>
      <c r="AN78" s="701">
        <f t="shared" ca="1" si="51"/>
        <v>0</v>
      </c>
      <c r="AO78" s="701">
        <f t="shared" ca="1" si="51"/>
        <v>0</v>
      </c>
      <c r="AP78" s="701">
        <f t="shared" ca="1" si="51"/>
        <v>0</v>
      </c>
      <c r="AQ78" s="701">
        <f t="shared" ca="1" si="51"/>
        <v>0</v>
      </c>
      <c r="AR78" s="701">
        <f t="shared" ca="1" si="51"/>
        <v>0</v>
      </c>
      <c r="AS78" s="701">
        <f t="shared" ca="1" si="51"/>
        <v>0</v>
      </c>
      <c r="AT78" s="701">
        <f t="shared" ca="1" si="51"/>
        <v>0</v>
      </c>
      <c r="AU78" s="701">
        <f t="shared" ca="1" si="51"/>
        <v>0</v>
      </c>
      <c r="AV78" s="701">
        <f t="shared" ca="1" si="51"/>
        <v>0</v>
      </c>
      <c r="AW78" s="701">
        <f t="shared" ca="1" si="51"/>
        <v>0</v>
      </c>
      <c r="AX78" s="701">
        <f t="shared" ca="1" si="51"/>
        <v>0</v>
      </c>
      <c r="AY78" s="701">
        <f t="shared" ca="1" si="51"/>
        <v>0</v>
      </c>
      <c r="AZ78" s="701">
        <f t="shared" ca="1" si="51"/>
        <v>2144855.1290048398</v>
      </c>
      <c r="BA78" s="701">
        <f t="shared" ca="1" si="51"/>
        <v>0</v>
      </c>
      <c r="BB78" s="701">
        <f t="shared" ca="1" si="51"/>
        <v>0</v>
      </c>
      <c r="BC78" s="701">
        <f t="shared" ca="1" si="51"/>
        <v>0</v>
      </c>
      <c r="BD78" s="701">
        <f t="shared" ca="1" si="51"/>
        <v>0</v>
      </c>
      <c r="BE78" s="701">
        <f t="shared" ca="1" si="51"/>
        <v>0</v>
      </c>
      <c r="BF78" s="701">
        <f t="shared" ca="1" si="51"/>
        <v>0</v>
      </c>
      <c r="BG78" s="701">
        <f t="shared" ca="1" si="51"/>
        <v>0</v>
      </c>
      <c r="BH78" s="701">
        <f t="shared" ca="1" si="51"/>
        <v>0</v>
      </c>
      <c r="BI78" s="701">
        <f t="shared" ca="1" si="51"/>
        <v>0</v>
      </c>
      <c r="BJ78" s="701">
        <f t="shared" ca="1" si="51"/>
        <v>0</v>
      </c>
      <c r="BK78" s="701">
        <f t="shared" ca="1" si="51"/>
        <v>0</v>
      </c>
      <c r="BL78" s="701">
        <f t="shared" ca="1" si="51"/>
        <v>0</v>
      </c>
    </row>
    <row r="79" spans="1:64">
      <c r="A79" s="774" t="s">
        <v>675</v>
      </c>
      <c r="B79" s="702">
        <f ca="1">E10</f>
        <v>0.91338198774786505</v>
      </c>
      <c r="C79" s="699"/>
      <c r="D79" s="701">
        <v>0</v>
      </c>
      <c r="E79" s="701">
        <f t="shared" ref="E79:T80" ca="1" si="52">E$78*$B79</f>
        <v>0</v>
      </c>
      <c r="F79" s="701">
        <f t="shared" ca="1" si="52"/>
        <v>0</v>
      </c>
      <c r="G79" s="701">
        <f t="shared" ca="1" si="52"/>
        <v>0</v>
      </c>
      <c r="H79" s="701">
        <f t="shared" ca="1" si="52"/>
        <v>0</v>
      </c>
      <c r="I79" s="701">
        <f t="shared" ca="1" si="52"/>
        <v>0</v>
      </c>
      <c r="J79" s="701">
        <f t="shared" ca="1" si="52"/>
        <v>0</v>
      </c>
      <c r="K79" s="701">
        <f t="shared" ca="1" si="52"/>
        <v>0</v>
      </c>
      <c r="L79" s="701">
        <f t="shared" ca="1" si="52"/>
        <v>0</v>
      </c>
      <c r="M79" s="701">
        <f t="shared" ca="1" si="52"/>
        <v>0</v>
      </c>
      <c r="N79" s="701">
        <f t="shared" ca="1" si="52"/>
        <v>0</v>
      </c>
      <c r="O79" s="701">
        <f t="shared" ca="1" si="52"/>
        <v>0</v>
      </c>
      <c r="P79" s="701">
        <f t="shared" ca="1" si="52"/>
        <v>0</v>
      </c>
      <c r="Q79" s="701">
        <f t="shared" ca="1" si="52"/>
        <v>0</v>
      </c>
      <c r="R79" s="701">
        <f t="shared" ca="1" si="52"/>
        <v>0</v>
      </c>
      <c r="S79" s="701">
        <f t="shared" ca="1" si="52"/>
        <v>0</v>
      </c>
      <c r="T79" s="701">
        <f t="shared" ca="1" si="52"/>
        <v>0</v>
      </c>
      <c r="U79" s="701">
        <f t="shared" ref="U79:AJ80" ca="1" si="53">U$78*$B79</f>
        <v>0</v>
      </c>
      <c r="V79" s="701">
        <f t="shared" ca="1" si="53"/>
        <v>0</v>
      </c>
      <c r="W79" s="701">
        <f t="shared" ca="1" si="53"/>
        <v>0</v>
      </c>
      <c r="X79" s="701">
        <f t="shared" ca="1" si="53"/>
        <v>0</v>
      </c>
      <c r="Y79" s="701">
        <f t="shared" ca="1" si="53"/>
        <v>0</v>
      </c>
      <c r="Z79" s="701">
        <f t="shared" ca="1" si="53"/>
        <v>0</v>
      </c>
      <c r="AA79" s="701">
        <f t="shared" ca="1" si="53"/>
        <v>0</v>
      </c>
      <c r="AB79" s="701">
        <f t="shared" ca="1" si="53"/>
        <v>0</v>
      </c>
      <c r="AC79" s="701">
        <f t="shared" ca="1" si="53"/>
        <v>0</v>
      </c>
      <c r="AD79" s="701">
        <f t="shared" ca="1" si="53"/>
        <v>0</v>
      </c>
      <c r="AE79" s="701">
        <f t="shared" ca="1" si="53"/>
        <v>0</v>
      </c>
      <c r="AF79" s="701">
        <f t="shared" ca="1" si="53"/>
        <v>0</v>
      </c>
      <c r="AG79" s="701">
        <f t="shared" ca="1" si="53"/>
        <v>0</v>
      </c>
      <c r="AH79" s="701">
        <f t="shared" ca="1" si="53"/>
        <v>0</v>
      </c>
      <c r="AI79" s="701">
        <f t="shared" ca="1" si="53"/>
        <v>0</v>
      </c>
      <c r="AJ79" s="701">
        <f t="shared" ca="1" si="53"/>
        <v>0</v>
      </c>
      <c r="AK79" s="701">
        <f t="shared" ref="AK79:AZ80" ca="1" si="54">AK$78*$B79</f>
        <v>0</v>
      </c>
      <c r="AL79" s="701">
        <f t="shared" ca="1" si="54"/>
        <v>0</v>
      </c>
      <c r="AM79" s="701">
        <f t="shared" ca="1" si="54"/>
        <v>0</v>
      </c>
      <c r="AN79" s="701">
        <f t="shared" ca="1" si="54"/>
        <v>0</v>
      </c>
      <c r="AO79" s="701">
        <f t="shared" ca="1" si="54"/>
        <v>0</v>
      </c>
      <c r="AP79" s="701">
        <f t="shared" ca="1" si="54"/>
        <v>0</v>
      </c>
      <c r="AQ79" s="701">
        <f t="shared" ca="1" si="54"/>
        <v>0</v>
      </c>
      <c r="AR79" s="701">
        <f t="shared" ca="1" si="54"/>
        <v>0</v>
      </c>
      <c r="AS79" s="701">
        <f t="shared" ca="1" si="54"/>
        <v>0</v>
      </c>
      <c r="AT79" s="701">
        <f t="shared" ca="1" si="54"/>
        <v>0</v>
      </c>
      <c r="AU79" s="701">
        <f t="shared" ca="1" si="54"/>
        <v>0</v>
      </c>
      <c r="AV79" s="701">
        <f t="shared" ca="1" si="54"/>
        <v>0</v>
      </c>
      <c r="AW79" s="701">
        <f t="shared" ca="1" si="54"/>
        <v>0</v>
      </c>
      <c r="AX79" s="701">
        <f t="shared" ca="1" si="54"/>
        <v>0</v>
      </c>
      <c r="AY79" s="701">
        <f t="shared" ca="1" si="54"/>
        <v>0</v>
      </c>
      <c r="AZ79" s="701">
        <f t="shared" ca="1" si="54"/>
        <v>1959072.041161644</v>
      </c>
      <c r="BA79" s="701">
        <f t="shared" ref="BA79:BL80" ca="1" si="55">BA$78*$B79</f>
        <v>0</v>
      </c>
      <c r="BB79" s="701">
        <f t="shared" ca="1" si="55"/>
        <v>0</v>
      </c>
      <c r="BC79" s="701">
        <f t="shared" ca="1" si="55"/>
        <v>0</v>
      </c>
      <c r="BD79" s="701">
        <f t="shared" ca="1" si="55"/>
        <v>0</v>
      </c>
      <c r="BE79" s="701">
        <f t="shared" ca="1" si="55"/>
        <v>0</v>
      </c>
      <c r="BF79" s="701">
        <f t="shared" ca="1" si="55"/>
        <v>0</v>
      </c>
      <c r="BG79" s="701">
        <f t="shared" ca="1" si="55"/>
        <v>0</v>
      </c>
      <c r="BH79" s="701">
        <f t="shared" ca="1" si="55"/>
        <v>0</v>
      </c>
      <c r="BI79" s="701">
        <f t="shared" ca="1" si="55"/>
        <v>0</v>
      </c>
      <c r="BJ79" s="701">
        <f t="shared" ca="1" si="55"/>
        <v>0</v>
      </c>
      <c r="BK79" s="701">
        <f t="shared" ca="1" si="55"/>
        <v>0</v>
      </c>
      <c r="BL79" s="701">
        <f t="shared" ca="1" si="55"/>
        <v>0</v>
      </c>
    </row>
    <row r="80" spans="1:64">
      <c r="A80" s="774" t="s">
        <v>676</v>
      </c>
      <c r="B80" s="702">
        <f ca="1">1-B79</f>
        <v>8.6618012252134946E-2</v>
      </c>
      <c r="C80" s="699"/>
      <c r="D80" s="701">
        <v>0</v>
      </c>
      <c r="E80" s="701">
        <f t="shared" ca="1" si="52"/>
        <v>0</v>
      </c>
      <c r="F80" s="701">
        <f t="shared" ca="1" si="52"/>
        <v>0</v>
      </c>
      <c r="G80" s="701">
        <f t="shared" ca="1" si="52"/>
        <v>0</v>
      </c>
      <c r="H80" s="701">
        <f t="shared" ca="1" si="52"/>
        <v>0</v>
      </c>
      <c r="I80" s="701">
        <f t="shared" ca="1" si="52"/>
        <v>0</v>
      </c>
      <c r="J80" s="701">
        <f t="shared" ca="1" si="52"/>
        <v>0</v>
      </c>
      <c r="K80" s="701">
        <f t="shared" ca="1" si="52"/>
        <v>0</v>
      </c>
      <c r="L80" s="701">
        <f t="shared" ca="1" si="52"/>
        <v>0</v>
      </c>
      <c r="M80" s="701">
        <f t="shared" ca="1" si="52"/>
        <v>0</v>
      </c>
      <c r="N80" s="701">
        <f t="shared" ca="1" si="52"/>
        <v>0</v>
      </c>
      <c r="O80" s="701">
        <f t="shared" ca="1" si="52"/>
        <v>0</v>
      </c>
      <c r="P80" s="701">
        <f t="shared" ca="1" si="52"/>
        <v>0</v>
      </c>
      <c r="Q80" s="701">
        <f t="shared" ca="1" si="52"/>
        <v>0</v>
      </c>
      <c r="R80" s="701">
        <f t="shared" ca="1" si="52"/>
        <v>0</v>
      </c>
      <c r="S80" s="701">
        <f t="shared" ca="1" si="52"/>
        <v>0</v>
      </c>
      <c r="T80" s="701">
        <f t="shared" ca="1" si="52"/>
        <v>0</v>
      </c>
      <c r="U80" s="701">
        <f t="shared" ca="1" si="53"/>
        <v>0</v>
      </c>
      <c r="V80" s="701">
        <f t="shared" ca="1" si="53"/>
        <v>0</v>
      </c>
      <c r="W80" s="701">
        <f t="shared" ca="1" si="53"/>
        <v>0</v>
      </c>
      <c r="X80" s="701">
        <f t="shared" ca="1" si="53"/>
        <v>0</v>
      </c>
      <c r="Y80" s="701">
        <f t="shared" ca="1" si="53"/>
        <v>0</v>
      </c>
      <c r="Z80" s="701">
        <f t="shared" ca="1" si="53"/>
        <v>0</v>
      </c>
      <c r="AA80" s="701">
        <f t="shared" ca="1" si="53"/>
        <v>0</v>
      </c>
      <c r="AB80" s="701">
        <f t="shared" ca="1" si="53"/>
        <v>0</v>
      </c>
      <c r="AC80" s="701">
        <f t="shared" ca="1" si="53"/>
        <v>0</v>
      </c>
      <c r="AD80" s="701">
        <f t="shared" ca="1" si="53"/>
        <v>0</v>
      </c>
      <c r="AE80" s="701">
        <f t="shared" ca="1" si="53"/>
        <v>0</v>
      </c>
      <c r="AF80" s="701">
        <f t="shared" ca="1" si="53"/>
        <v>0</v>
      </c>
      <c r="AG80" s="701">
        <f t="shared" ca="1" si="53"/>
        <v>0</v>
      </c>
      <c r="AH80" s="701">
        <f t="shared" ca="1" si="53"/>
        <v>0</v>
      </c>
      <c r="AI80" s="701">
        <f t="shared" ca="1" si="53"/>
        <v>0</v>
      </c>
      <c r="AJ80" s="701">
        <f t="shared" ca="1" si="53"/>
        <v>0</v>
      </c>
      <c r="AK80" s="701">
        <f t="shared" ca="1" si="54"/>
        <v>0</v>
      </c>
      <c r="AL80" s="701">
        <f t="shared" ca="1" si="54"/>
        <v>0</v>
      </c>
      <c r="AM80" s="701">
        <f t="shared" ca="1" si="54"/>
        <v>0</v>
      </c>
      <c r="AN80" s="701">
        <f t="shared" ca="1" si="54"/>
        <v>0</v>
      </c>
      <c r="AO80" s="701">
        <f t="shared" ca="1" si="54"/>
        <v>0</v>
      </c>
      <c r="AP80" s="701">
        <f t="shared" ca="1" si="54"/>
        <v>0</v>
      </c>
      <c r="AQ80" s="701">
        <f t="shared" ca="1" si="54"/>
        <v>0</v>
      </c>
      <c r="AR80" s="701">
        <f t="shared" ca="1" si="54"/>
        <v>0</v>
      </c>
      <c r="AS80" s="701">
        <f t="shared" ca="1" si="54"/>
        <v>0</v>
      </c>
      <c r="AT80" s="701">
        <f t="shared" ca="1" si="54"/>
        <v>0</v>
      </c>
      <c r="AU80" s="701">
        <f t="shared" ca="1" si="54"/>
        <v>0</v>
      </c>
      <c r="AV80" s="701">
        <f t="shared" ca="1" si="54"/>
        <v>0</v>
      </c>
      <c r="AW80" s="701">
        <f t="shared" ca="1" si="54"/>
        <v>0</v>
      </c>
      <c r="AX80" s="701">
        <f t="shared" ca="1" si="54"/>
        <v>0</v>
      </c>
      <c r="AY80" s="701">
        <f t="shared" ca="1" si="54"/>
        <v>0</v>
      </c>
      <c r="AZ80" s="701">
        <f t="shared" ca="1" si="54"/>
        <v>185783.08784319568</v>
      </c>
      <c r="BA80" s="701">
        <f t="shared" ca="1" si="55"/>
        <v>0</v>
      </c>
      <c r="BB80" s="701">
        <f t="shared" ca="1" si="55"/>
        <v>0</v>
      </c>
      <c r="BC80" s="701">
        <f t="shared" ca="1" si="55"/>
        <v>0</v>
      </c>
      <c r="BD80" s="701">
        <f t="shared" ca="1" si="55"/>
        <v>0</v>
      </c>
      <c r="BE80" s="701">
        <f t="shared" ca="1" si="55"/>
        <v>0</v>
      </c>
      <c r="BF80" s="701">
        <f t="shared" ca="1" si="55"/>
        <v>0</v>
      </c>
      <c r="BG80" s="701">
        <f t="shared" ca="1" si="55"/>
        <v>0</v>
      </c>
      <c r="BH80" s="701">
        <f t="shared" ca="1" si="55"/>
        <v>0</v>
      </c>
      <c r="BI80" s="701">
        <f t="shared" ca="1" si="55"/>
        <v>0</v>
      </c>
      <c r="BJ80" s="701">
        <f t="shared" ca="1" si="55"/>
        <v>0</v>
      </c>
      <c r="BK80" s="701">
        <f t="shared" ca="1" si="55"/>
        <v>0</v>
      </c>
      <c r="BL80" s="701">
        <f t="shared" ca="1" si="55"/>
        <v>0</v>
      </c>
    </row>
    <row r="81" spans="1:64">
      <c r="A81" s="774" t="s">
        <v>646</v>
      </c>
      <c r="B81" s="701"/>
      <c r="C81" s="703"/>
      <c r="D81" s="754">
        <f t="shared" ref="D81:BL81" ca="1" si="56">D77+D78</f>
        <v>-6170830.5186084136</v>
      </c>
      <c r="E81" s="754">
        <f t="shared" ca="1" si="56"/>
        <v>-7021437.8492529206</v>
      </c>
      <c r="F81" s="754">
        <f t="shared" ca="1" si="56"/>
        <v>-7128932.3448717557</v>
      </c>
      <c r="G81" s="754">
        <f t="shared" ca="1" si="56"/>
        <v>-7238072.5243001487</v>
      </c>
      <c r="H81" s="754">
        <f t="shared" ca="1" si="56"/>
        <v>-7348883.5820858385</v>
      </c>
      <c r="I81" s="754">
        <f t="shared" ca="1" si="56"/>
        <v>-7461391.0984917404</v>
      </c>
      <c r="J81" s="754">
        <f t="shared" ca="1" si="56"/>
        <v>-7575621.045401061</v>
      </c>
      <c r="K81" s="754">
        <f t="shared" ca="1" si="56"/>
        <v>-7691599.7923127748</v>
      </c>
      <c r="L81" s="754">
        <f t="shared" ca="1" si="56"/>
        <v>-7809354.1124289297</v>
      </c>
      <c r="M81" s="754">
        <f t="shared" ca="1" si="56"/>
        <v>-7928911.1888351403</v>
      </c>
      <c r="N81" s="754">
        <f t="shared" ca="1" si="56"/>
        <v>-8050298.6207756316</v>
      </c>
      <c r="O81" s="754">
        <f t="shared" ca="1" si="56"/>
        <v>-8173544.4300244646</v>
      </c>
      <c r="P81" s="754">
        <f t="shared" ca="1" si="56"/>
        <v>-8298677.0673542153</v>
      </c>
      <c r="Q81" s="754">
        <f t="shared" ca="1" si="56"/>
        <v>-8425725.4191037286</v>
      </c>
      <c r="R81" s="754">
        <f t="shared" ca="1" si="56"/>
        <v>-8422100.5654662941</v>
      </c>
      <c r="S81" s="754">
        <f t="shared" ca="1" si="56"/>
        <v>-8551038.4656191375</v>
      </c>
      <c r="T81" s="754">
        <f t="shared" ca="1" si="56"/>
        <v>-8681950.336750662</v>
      </c>
      <c r="U81" s="754">
        <f t="shared" ca="1" si="56"/>
        <v>-8814866.3993113432</v>
      </c>
      <c r="V81" s="754">
        <f t="shared" ca="1" si="56"/>
        <v>-8949817.3364107125</v>
      </c>
      <c r="W81" s="754">
        <f t="shared" ca="1" si="56"/>
        <v>-9086834.3009004891</v>
      </c>
      <c r="X81" s="754">
        <f t="shared" ca="1" si="56"/>
        <v>-9225948.9225660339</v>
      </c>
      <c r="Y81" s="754">
        <f t="shared" ca="1" si="56"/>
        <v>-9367193.3154279888</v>
      </c>
      <c r="Z81" s="754">
        <f t="shared" ca="1" si="56"/>
        <v>-9510600.0851556268</v>
      </c>
      <c r="AA81" s="754">
        <f t="shared" ca="1" si="56"/>
        <v>-9656202.3365937769</v>
      </c>
      <c r="AB81" s="754">
        <f t="shared" ca="1" si="56"/>
        <v>-9804033.6814048905</v>
      </c>
      <c r="AC81" s="754">
        <f t="shared" ca="1" si="56"/>
        <v>-9946922.2462053746</v>
      </c>
      <c r="AD81" s="754">
        <f t="shared" ca="1" si="56"/>
        <v>-9926053.3586395271</v>
      </c>
      <c r="AE81" s="754">
        <f t="shared" ca="1" si="56"/>
        <v>-10056960.05975854</v>
      </c>
      <c r="AF81" s="754">
        <f t="shared" ca="1" si="56"/>
        <v>-10182202.442218594</v>
      </c>
      <c r="AG81" s="754">
        <f t="shared" ca="1" si="56"/>
        <v>-10301981.649558775</v>
      </c>
      <c r="AH81" s="754">
        <f t="shared" ca="1" si="56"/>
        <v>-10405640.09037881</v>
      </c>
      <c r="AI81" s="754">
        <f t="shared" ca="1" si="56"/>
        <v>-10502001.934900124</v>
      </c>
      <c r="AJ81" s="754">
        <f t="shared" ca="1" si="56"/>
        <v>-10593881.608420474</v>
      </c>
      <c r="AK81" s="754">
        <f t="shared" ca="1" si="56"/>
        <v>-10705971.330565758</v>
      </c>
      <c r="AL81" s="754">
        <f t="shared" ca="1" si="56"/>
        <v>-10819201.085302964</v>
      </c>
      <c r="AM81" s="754">
        <f t="shared" ca="1" si="56"/>
        <v>-10934391.577395052</v>
      </c>
      <c r="AN81" s="754">
        <f t="shared" ca="1" si="56"/>
        <v>-11043531.671720935</v>
      </c>
      <c r="AO81" s="754">
        <f t="shared" ca="1" si="56"/>
        <v>-11154609.878343066</v>
      </c>
      <c r="AP81" s="754">
        <f t="shared" ca="1" si="56"/>
        <v>-11264888.122683099</v>
      </c>
      <c r="AQ81" s="754">
        <f t="shared" ca="1" si="56"/>
        <v>-11374150.334491711</v>
      </c>
      <c r="AR81" s="754">
        <f t="shared" ca="1" si="56"/>
        <v>-11482070.071735743</v>
      </c>
      <c r="AS81" s="754">
        <f t="shared" ca="1" si="56"/>
        <v>-11587972.43999829</v>
      </c>
      <c r="AT81" s="754">
        <f t="shared" ca="1" si="56"/>
        <v>-11693166.800661795</v>
      </c>
      <c r="AU81" s="754">
        <f t="shared" ca="1" si="56"/>
        <v>-11798263.168367757</v>
      </c>
      <c r="AV81" s="754">
        <f t="shared" ca="1" si="56"/>
        <v>-11903407.042363331</v>
      </c>
      <c r="AW81" s="754">
        <f t="shared" ca="1" si="56"/>
        <v>-12010860.40418086</v>
      </c>
      <c r="AX81" s="754">
        <f t="shared" ca="1" si="56"/>
        <v>-12120204.48727244</v>
      </c>
      <c r="AY81" s="754">
        <f t="shared" ca="1" si="56"/>
        <v>-12232181.196532529</v>
      </c>
      <c r="AZ81" s="754">
        <f t="shared" ca="1" si="56"/>
        <v>0</v>
      </c>
      <c r="BA81" s="754">
        <f t="shared" ca="1" si="56"/>
        <v>0</v>
      </c>
      <c r="BB81" s="754">
        <f t="shared" ca="1" si="56"/>
        <v>0</v>
      </c>
      <c r="BC81" s="754">
        <f t="shared" ca="1" si="56"/>
        <v>0</v>
      </c>
      <c r="BD81" s="754">
        <f t="shared" ca="1" si="56"/>
        <v>0</v>
      </c>
      <c r="BE81" s="754">
        <f t="shared" ca="1" si="56"/>
        <v>0</v>
      </c>
      <c r="BF81" s="754">
        <f t="shared" ca="1" si="56"/>
        <v>0</v>
      </c>
      <c r="BG81" s="754">
        <f t="shared" ca="1" si="56"/>
        <v>0</v>
      </c>
      <c r="BH81" s="754">
        <f t="shared" ca="1" si="56"/>
        <v>0</v>
      </c>
      <c r="BI81" s="754">
        <f t="shared" ca="1" si="56"/>
        <v>0</v>
      </c>
      <c r="BJ81" s="754">
        <f t="shared" ca="1" si="56"/>
        <v>0</v>
      </c>
      <c r="BK81" s="754">
        <f t="shared" ca="1" si="56"/>
        <v>0</v>
      </c>
      <c r="BL81" s="754">
        <f t="shared" ca="1" si="56"/>
        <v>0</v>
      </c>
    </row>
    <row r="82" spans="1:64">
      <c r="A82" s="779">
        <f ca="1">1-A78</f>
        <v>0.28838198774786483</v>
      </c>
      <c r="B82" s="701"/>
      <c r="C82" s="703"/>
      <c r="D82" s="701">
        <f t="shared" ref="D82:BL82" ca="1" si="57">D78/$A78*$A82</f>
        <v>0</v>
      </c>
      <c r="E82" s="701">
        <f t="shared" ca="1" si="57"/>
        <v>0</v>
      </c>
      <c r="F82" s="701">
        <f t="shared" ca="1" si="57"/>
        <v>0</v>
      </c>
      <c r="G82" s="701">
        <f t="shared" ca="1" si="57"/>
        <v>0</v>
      </c>
      <c r="H82" s="701">
        <f t="shared" ca="1" si="57"/>
        <v>0</v>
      </c>
      <c r="I82" s="701">
        <f t="shared" ca="1" si="57"/>
        <v>0</v>
      </c>
      <c r="J82" s="701">
        <f t="shared" ca="1" si="57"/>
        <v>0</v>
      </c>
      <c r="K82" s="701">
        <f t="shared" ca="1" si="57"/>
        <v>0</v>
      </c>
      <c r="L82" s="701">
        <f t="shared" ca="1" si="57"/>
        <v>0</v>
      </c>
      <c r="M82" s="701">
        <f t="shared" ca="1" si="57"/>
        <v>0</v>
      </c>
      <c r="N82" s="701">
        <f t="shared" ca="1" si="57"/>
        <v>0</v>
      </c>
      <c r="O82" s="701">
        <f t="shared" ca="1" si="57"/>
        <v>0</v>
      </c>
      <c r="P82" s="701">
        <f t="shared" ca="1" si="57"/>
        <v>0</v>
      </c>
      <c r="Q82" s="701">
        <f t="shared" ca="1" si="57"/>
        <v>0</v>
      </c>
      <c r="R82" s="701">
        <f t="shared" ca="1" si="57"/>
        <v>0</v>
      </c>
      <c r="S82" s="701">
        <f t="shared" ca="1" si="57"/>
        <v>0</v>
      </c>
      <c r="T82" s="701">
        <f t="shared" ca="1" si="57"/>
        <v>0</v>
      </c>
      <c r="U82" s="701">
        <f t="shared" ca="1" si="57"/>
        <v>0</v>
      </c>
      <c r="V82" s="701">
        <f t="shared" ca="1" si="57"/>
        <v>0</v>
      </c>
      <c r="W82" s="701">
        <f t="shared" ca="1" si="57"/>
        <v>0</v>
      </c>
      <c r="X82" s="701">
        <f t="shared" ca="1" si="57"/>
        <v>0</v>
      </c>
      <c r="Y82" s="701">
        <f t="shared" ca="1" si="57"/>
        <v>0</v>
      </c>
      <c r="Z82" s="701">
        <f t="shared" ca="1" si="57"/>
        <v>0</v>
      </c>
      <c r="AA82" s="701">
        <f t="shared" ca="1" si="57"/>
        <v>0</v>
      </c>
      <c r="AB82" s="701">
        <f t="shared" ca="1" si="57"/>
        <v>0</v>
      </c>
      <c r="AC82" s="701">
        <f t="shared" ca="1" si="57"/>
        <v>0</v>
      </c>
      <c r="AD82" s="701">
        <f t="shared" ca="1" si="57"/>
        <v>0</v>
      </c>
      <c r="AE82" s="701">
        <f t="shared" ca="1" si="57"/>
        <v>0</v>
      </c>
      <c r="AF82" s="701">
        <f t="shared" ca="1" si="57"/>
        <v>0</v>
      </c>
      <c r="AG82" s="701">
        <f t="shared" ca="1" si="57"/>
        <v>0</v>
      </c>
      <c r="AH82" s="701">
        <f t="shared" ca="1" si="57"/>
        <v>0</v>
      </c>
      <c r="AI82" s="701">
        <f t="shared" ca="1" si="57"/>
        <v>0</v>
      </c>
      <c r="AJ82" s="701">
        <f t="shared" ca="1" si="57"/>
        <v>0</v>
      </c>
      <c r="AK82" s="701">
        <f t="shared" ca="1" si="57"/>
        <v>0</v>
      </c>
      <c r="AL82" s="701">
        <f t="shared" ca="1" si="57"/>
        <v>0</v>
      </c>
      <c r="AM82" s="701">
        <f t="shared" ca="1" si="57"/>
        <v>0</v>
      </c>
      <c r="AN82" s="701">
        <f t="shared" ca="1" si="57"/>
        <v>0</v>
      </c>
      <c r="AO82" s="701">
        <f t="shared" ca="1" si="57"/>
        <v>0</v>
      </c>
      <c r="AP82" s="701">
        <f t="shared" ca="1" si="57"/>
        <v>0</v>
      </c>
      <c r="AQ82" s="701">
        <f t="shared" ca="1" si="57"/>
        <v>0</v>
      </c>
      <c r="AR82" s="701">
        <f t="shared" ca="1" si="57"/>
        <v>0</v>
      </c>
      <c r="AS82" s="701">
        <f t="shared" ca="1" si="57"/>
        <v>0</v>
      </c>
      <c r="AT82" s="701">
        <f t="shared" ca="1" si="57"/>
        <v>0</v>
      </c>
      <c r="AU82" s="701">
        <f t="shared" ca="1" si="57"/>
        <v>0</v>
      </c>
      <c r="AV82" s="701">
        <f t="shared" ca="1" si="57"/>
        <v>0</v>
      </c>
      <c r="AW82" s="701">
        <f t="shared" ca="1" si="57"/>
        <v>0</v>
      </c>
      <c r="AX82" s="701">
        <f t="shared" ca="1" si="57"/>
        <v>0</v>
      </c>
      <c r="AY82" s="701">
        <f t="shared" ca="1" si="57"/>
        <v>0</v>
      </c>
      <c r="AZ82" s="701">
        <f t="shared" ca="1" si="57"/>
        <v>869198.88884777576</v>
      </c>
      <c r="BA82" s="701">
        <f t="shared" ca="1" si="57"/>
        <v>0</v>
      </c>
      <c r="BB82" s="701">
        <f t="shared" ca="1" si="57"/>
        <v>0</v>
      </c>
      <c r="BC82" s="701">
        <f t="shared" ca="1" si="57"/>
        <v>0</v>
      </c>
      <c r="BD82" s="701">
        <f t="shared" ca="1" si="57"/>
        <v>0</v>
      </c>
      <c r="BE82" s="701">
        <f t="shared" ca="1" si="57"/>
        <v>0</v>
      </c>
      <c r="BF82" s="701">
        <f t="shared" ca="1" si="57"/>
        <v>0</v>
      </c>
      <c r="BG82" s="701">
        <f t="shared" ca="1" si="57"/>
        <v>0</v>
      </c>
      <c r="BH82" s="701">
        <f t="shared" ca="1" si="57"/>
        <v>0</v>
      </c>
      <c r="BI82" s="701">
        <f t="shared" ca="1" si="57"/>
        <v>0</v>
      </c>
      <c r="BJ82" s="701">
        <f t="shared" ca="1" si="57"/>
        <v>0</v>
      </c>
      <c r="BK82" s="701">
        <f t="shared" ca="1" si="57"/>
        <v>0</v>
      </c>
      <c r="BL82" s="701">
        <f t="shared" ca="1" si="57"/>
        <v>0</v>
      </c>
    </row>
    <row r="83" spans="1:64">
      <c r="A83" s="776" t="s">
        <v>643</v>
      </c>
      <c r="B83" s="755"/>
      <c r="C83" s="703"/>
      <c r="D83" s="756">
        <f t="shared" ref="D83:AI83" ca="1" si="58">D68-D78-D82</f>
        <v>0</v>
      </c>
      <c r="E83" s="756">
        <f t="shared" ca="1" si="58"/>
        <v>0</v>
      </c>
      <c r="F83" s="756">
        <f t="shared" ca="1" si="58"/>
        <v>0</v>
      </c>
      <c r="G83" s="756">
        <f t="shared" ca="1" si="58"/>
        <v>0</v>
      </c>
      <c r="H83" s="756">
        <f t="shared" ca="1" si="58"/>
        <v>0</v>
      </c>
      <c r="I83" s="756">
        <f t="shared" ca="1" si="58"/>
        <v>0</v>
      </c>
      <c r="J83" s="756">
        <f t="shared" ca="1" si="58"/>
        <v>0</v>
      </c>
      <c r="K83" s="756">
        <f t="shared" ca="1" si="58"/>
        <v>0</v>
      </c>
      <c r="L83" s="756">
        <f t="shared" ca="1" si="58"/>
        <v>0</v>
      </c>
      <c r="M83" s="756">
        <f t="shared" ca="1" si="58"/>
        <v>0</v>
      </c>
      <c r="N83" s="756">
        <f t="shared" ca="1" si="58"/>
        <v>0</v>
      </c>
      <c r="O83" s="756">
        <f t="shared" ca="1" si="58"/>
        <v>0</v>
      </c>
      <c r="P83" s="756">
        <f t="shared" ca="1" si="58"/>
        <v>0</v>
      </c>
      <c r="Q83" s="756">
        <f t="shared" ca="1" si="58"/>
        <v>0</v>
      </c>
      <c r="R83" s="756">
        <f t="shared" ca="1" si="58"/>
        <v>0</v>
      </c>
      <c r="S83" s="756">
        <f t="shared" ca="1" si="58"/>
        <v>0</v>
      </c>
      <c r="T83" s="756">
        <f t="shared" ca="1" si="58"/>
        <v>0</v>
      </c>
      <c r="U83" s="756">
        <f t="shared" ca="1" si="58"/>
        <v>0</v>
      </c>
      <c r="V83" s="756">
        <f t="shared" ca="1" si="58"/>
        <v>0</v>
      </c>
      <c r="W83" s="756">
        <f t="shared" ca="1" si="58"/>
        <v>0</v>
      </c>
      <c r="X83" s="756">
        <f t="shared" ca="1" si="58"/>
        <v>0</v>
      </c>
      <c r="Y83" s="756">
        <f t="shared" ca="1" si="58"/>
        <v>0</v>
      </c>
      <c r="Z83" s="756">
        <f t="shared" ca="1" si="58"/>
        <v>0</v>
      </c>
      <c r="AA83" s="756">
        <f t="shared" ca="1" si="58"/>
        <v>0</v>
      </c>
      <c r="AB83" s="756">
        <f t="shared" ca="1" si="58"/>
        <v>0</v>
      </c>
      <c r="AC83" s="756">
        <f t="shared" ca="1" si="58"/>
        <v>0</v>
      </c>
      <c r="AD83" s="756">
        <f t="shared" ca="1" si="58"/>
        <v>0</v>
      </c>
      <c r="AE83" s="756">
        <f t="shared" ca="1" si="58"/>
        <v>0</v>
      </c>
      <c r="AF83" s="756">
        <f t="shared" ca="1" si="58"/>
        <v>0</v>
      </c>
      <c r="AG83" s="756">
        <f t="shared" ca="1" si="58"/>
        <v>0</v>
      </c>
      <c r="AH83" s="756">
        <f t="shared" ca="1" si="58"/>
        <v>0</v>
      </c>
      <c r="AI83" s="756">
        <f t="shared" ca="1" si="58"/>
        <v>0</v>
      </c>
      <c r="AJ83" s="756">
        <f t="shared" ref="AJ83:BL83" ca="1" si="59">AJ68-AJ78-AJ82</f>
        <v>0</v>
      </c>
      <c r="AK83" s="756">
        <f t="shared" ca="1" si="59"/>
        <v>0</v>
      </c>
      <c r="AL83" s="756">
        <f t="shared" ca="1" si="59"/>
        <v>0</v>
      </c>
      <c r="AM83" s="756">
        <f t="shared" ca="1" si="59"/>
        <v>0</v>
      </c>
      <c r="AN83" s="756">
        <f t="shared" ca="1" si="59"/>
        <v>0</v>
      </c>
      <c r="AO83" s="756">
        <f t="shared" ca="1" si="59"/>
        <v>0</v>
      </c>
      <c r="AP83" s="756">
        <f t="shared" ca="1" si="59"/>
        <v>0</v>
      </c>
      <c r="AQ83" s="756">
        <f t="shared" ca="1" si="59"/>
        <v>0</v>
      </c>
      <c r="AR83" s="756">
        <f t="shared" ca="1" si="59"/>
        <v>0</v>
      </c>
      <c r="AS83" s="756">
        <f t="shared" ca="1" si="59"/>
        <v>0</v>
      </c>
      <c r="AT83" s="756">
        <f t="shared" ca="1" si="59"/>
        <v>0</v>
      </c>
      <c r="AU83" s="756">
        <f t="shared" ca="1" si="59"/>
        <v>0</v>
      </c>
      <c r="AV83" s="756">
        <f t="shared" ca="1" si="59"/>
        <v>0</v>
      </c>
      <c r="AW83" s="756">
        <f t="shared" ca="1" si="59"/>
        <v>0</v>
      </c>
      <c r="AX83" s="756">
        <f t="shared" ca="1" si="59"/>
        <v>0</v>
      </c>
      <c r="AY83" s="756">
        <f t="shared" ca="1" si="59"/>
        <v>0</v>
      </c>
      <c r="AZ83" s="756">
        <f t="shared" ca="1" si="59"/>
        <v>7529630.9108508695</v>
      </c>
      <c r="BA83" s="756">
        <f t="shared" ca="1" si="59"/>
        <v>0</v>
      </c>
      <c r="BB83" s="756">
        <f t="shared" ca="1" si="59"/>
        <v>0</v>
      </c>
      <c r="BC83" s="756">
        <f t="shared" ca="1" si="59"/>
        <v>0</v>
      </c>
      <c r="BD83" s="756">
        <f t="shared" ca="1" si="59"/>
        <v>0</v>
      </c>
      <c r="BE83" s="756">
        <f t="shared" ca="1" si="59"/>
        <v>0</v>
      </c>
      <c r="BF83" s="756">
        <f t="shared" ca="1" si="59"/>
        <v>0</v>
      </c>
      <c r="BG83" s="756">
        <f t="shared" ca="1" si="59"/>
        <v>0</v>
      </c>
      <c r="BH83" s="756">
        <f t="shared" ca="1" si="59"/>
        <v>0</v>
      </c>
      <c r="BI83" s="756">
        <f t="shared" ca="1" si="59"/>
        <v>0</v>
      </c>
      <c r="BJ83" s="756">
        <f t="shared" ca="1" si="59"/>
        <v>0</v>
      </c>
      <c r="BK83" s="756">
        <f t="shared" ca="1" si="59"/>
        <v>0</v>
      </c>
      <c r="BL83" s="756">
        <f t="shared" ca="1" si="59"/>
        <v>0</v>
      </c>
    </row>
    <row r="84" spans="1:64">
      <c r="A84" s="777" t="s">
        <v>644</v>
      </c>
      <c r="B84" s="758">
        <f ca="1">(1+IRR(D84:BL84,0.01))^12-1</f>
        <v>0.20000003726419768</v>
      </c>
      <c r="C84" s="703"/>
      <c r="D84" s="757">
        <f t="shared" ref="D84:AY84" ca="1" si="60">+D72+D74+D75+D78</f>
        <v>-6170830.5186084136</v>
      </c>
      <c r="E84" s="757">
        <f t="shared" ca="1" si="60"/>
        <v>-756135.18286102917</v>
      </c>
      <c r="F84" s="757">
        <f t="shared" ca="1" si="60"/>
        <v>1.862645149230957E-8</v>
      </c>
      <c r="G84" s="757">
        <f t="shared" ca="1" si="60"/>
        <v>1.862645149230957E-8</v>
      </c>
      <c r="H84" s="757">
        <f t="shared" ca="1" si="60"/>
        <v>1.862645149230957E-8</v>
      </c>
      <c r="I84" s="757">
        <f t="shared" ca="1" si="60"/>
        <v>1.862645149230957E-8</v>
      </c>
      <c r="J84" s="757">
        <f t="shared" ca="1" si="60"/>
        <v>1.862645149230957E-8</v>
      </c>
      <c r="K84" s="757">
        <f t="shared" ca="1" si="60"/>
        <v>1.862645149230957E-8</v>
      </c>
      <c r="L84" s="757">
        <f t="shared" ca="1" si="60"/>
        <v>1.862645149230957E-8</v>
      </c>
      <c r="M84" s="757">
        <f t="shared" ca="1" si="60"/>
        <v>0</v>
      </c>
      <c r="N84" s="757">
        <f t="shared" ca="1" si="60"/>
        <v>0</v>
      </c>
      <c r="O84" s="757">
        <f t="shared" ca="1" si="60"/>
        <v>0</v>
      </c>
      <c r="P84" s="757">
        <f t="shared" ca="1" si="60"/>
        <v>0</v>
      </c>
      <c r="Q84" s="757">
        <f t="shared" ca="1" si="60"/>
        <v>0</v>
      </c>
      <c r="R84" s="757">
        <f t="shared" ca="1" si="60"/>
        <v>132618.31297400931</v>
      </c>
      <c r="S84" s="757">
        <f t="shared" ca="1" si="60"/>
        <v>0</v>
      </c>
      <c r="T84" s="757">
        <f t="shared" ca="1" si="60"/>
        <v>0</v>
      </c>
      <c r="U84" s="757">
        <f t="shared" ca="1" si="60"/>
        <v>0</v>
      </c>
      <c r="V84" s="757">
        <f t="shared" ca="1" si="60"/>
        <v>0</v>
      </c>
      <c r="W84" s="757">
        <f t="shared" ca="1" si="60"/>
        <v>0</v>
      </c>
      <c r="X84" s="757">
        <f t="shared" ca="1" si="60"/>
        <v>0</v>
      </c>
      <c r="Y84" s="757">
        <f t="shared" ca="1" si="60"/>
        <v>0</v>
      </c>
      <c r="Z84" s="757">
        <f t="shared" ca="1" si="60"/>
        <v>0</v>
      </c>
      <c r="AA84" s="757">
        <f t="shared" ca="1" si="60"/>
        <v>0</v>
      </c>
      <c r="AB84" s="757">
        <f t="shared" ca="1" si="60"/>
        <v>0</v>
      </c>
      <c r="AC84" s="757">
        <f t="shared" ca="1" si="60"/>
        <v>7206.0087427061371</v>
      </c>
      <c r="AD84" s="757">
        <f t="shared" ca="1" si="60"/>
        <v>173151.06485049459</v>
      </c>
      <c r="AE84" s="757">
        <f t="shared" ca="1" si="60"/>
        <v>21055.946865947888</v>
      </c>
      <c r="AF84" s="757">
        <f t="shared" ca="1" si="60"/>
        <v>28724.387467987923</v>
      </c>
      <c r="AG84" s="757">
        <f t="shared" ca="1" si="60"/>
        <v>36104.966417679243</v>
      </c>
      <c r="AH84" s="757">
        <f t="shared" ca="1" si="60"/>
        <v>54059.507925376165</v>
      </c>
      <c r="AI84" s="757">
        <f t="shared" ca="1" si="60"/>
        <v>62943.060065788086</v>
      </c>
      <c r="AJ84" s="757">
        <f t="shared" ca="1" si="60"/>
        <v>68900.47988270261</v>
      </c>
      <c r="AK84" s="757">
        <f t="shared" ca="1" si="60"/>
        <v>50097.05957852221</v>
      </c>
      <c r="AL84" s="757">
        <f t="shared" ca="1" si="60"/>
        <v>50673.06200911761</v>
      </c>
      <c r="AM84" s="757">
        <f t="shared" ca="1" si="60"/>
        <v>50445.81195463457</v>
      </c>
      <c r="AN84" s="757">
        <f t="shared" ca="1" si="60"/>
        <v>58259.71555476317</v>
      </c>
      <c r="AO84" s="757">
        <f t="shared" ca="1" si="60"/>
        <v>57992.480314047338</v>
      </c>
      <c r="AP84" s="757">
        <f t="shared" ca="1" si="60"/>
        <v>60492.991125167217</v>
      </c>
      <c r="AQ84" s="757">
        <f t="shared" ca="1" si="60"/>
        <v>63197.325187124254</v>
      </c>
      <c r="AR84" s="757">
        <f t="shared" ca="1" si="60"/>
        <v>66212.546362612702</v>
      </c>
      <c r="AS84" s="757">
        <f t="shared" ca="1" si="60"/>
        <v>69882.109380630471</v>
      </c>
      <c r="AT84" s="757">
        <f t="shared" ca="1" si="60"/>
        <v>72211.426165391909</v>
      </c>
      <c r="AU84" s="757">
        <f t="shared" ca="1" si="60"/>
        <v>73919.889087109943</v>
      </c>
      <c r="AV84" s="757">
        <f t="shared" ca="1" si="60"/>
        <v>75481.35254099837</v>
      </c>
      <c r="AW84" s="757">
        <f t="shared" ca="1" si="60"/>
        <v>74781.561758040159</v>
      </c>
      <c r="AX84" s="757">
        <f t="shared" ca="1" si="60"/>
        <v>74535.894558091793</v>
      </c>
      <c r="AY84" s="757">
        <f t="shared" ca="1" si="60"/>
        <v>73577.268404592178</v>
      </c>
      <c r="AZ84" s="757">
        <f ca="1">+AZ72+AZ74+AZ75+AZ76+AZ78</f>
        <v>12419449.413730521</v>
      </c>
      <c r="BA84" s="757">
        <f t="shared" ref="BA84:BL84" ca="1" si="61">+BA72+BA74+BA75+BA78</f>
        <v>0</v>
      </c>
      <c r="BB84" s="757">
        <f t="shared" ca="1" si="61"/>
        <v>0</v>
      </c>
      <c r="BC84" s="757">
        <f t="shared" ca="1" si="61"/>
        <v>0</v>
      </c>
      <c r="BD84" s="757">
        <f t="shared" ca="1" si="61"/>
        <v>0</v>
      </c>
      <c r="BE84" s="757">
        <f t="shared" ca="1" si="61"/>
        <v>0</v>
      </c>
      <c r="BF84" s="757">
        <f t="shared" ca="1" si="61"/>
        <v>0</v>
      </c>
      <c r="BG84" s="757">
        <f t="shared" ca="1" si="61"/>
        <v>0</v>
      </c>
      <c r="BH84" s="757">
        <f t="shared" ca="1" si="61"/>
        <v>0</v>
      </c>
      <c r="BI84" s="757">
        <f t="shared" ca="1" si="61"/>
        <v>0</v>
      </c>
      <c r="BJ84" s="757">
        <f t="shared" ca="1" si="61"/>
        <v>0</v>
      </c>
      <c r="BK84" s="757">
        <f t="shared" ca="1" si="61"/>
        <v>0</v>
      </c>
      <c r="BL84" s="757">
        <f t="shared" ca="1" si="61"/>
        <v>0</v>
      </c>
    </row>
    <row r="85" spans="1:64">
      <c r="A85" s="701"/>
      <c r="B85" s="701"/>
      <c r="C85" s="703"/>
      <c r="D85" s="701"/>
      <c r="E85" s="701"/>
      <c r="F85" s="701"/>
      <c r="G85" s="701"/>
      <c r="H85" s="701"/>
      <c r="I85" s="701"/>
    </row>
    <row r="86" spans="1:64">
      <c r="A86" s="700" t="s">
        <v>677</v>
      </c>
      <c r="B86" s="701"/>
      <c r="C86" s="703"/>
      <c r="D86" s="701"/>
      <c r="E86" s="701"/>
      <c r="F86" s="701"/>
      <c r="G86" s="701"/>
      <c r="H86" s="701"/>
      <c r="I86" s="701"/>
    </row>
    <row r="87" spans="1:64">
      <c r="A87" s="780" t="s">
        <v>649</v>
      </c>
      <c r="B87" s="701"/>
      <c r="C87" s="699"/>
      <c r="D87" s="701">
        <f ca="1">D83</f>
        <v>0</v>
      </c>
      <c r="E87" s="701">
        <f t="shared" ref="E87:BL87" ca="1" si="62">E83</f>
        <v>0</v>
      </c>
      <c r="F87" s="701">
        <f t="shared" ca="1" si="62"/>
        <v>0</v>
      </c>
      <c r="G87" s="701">
        <f t="shared" ca="1" si="62"/>
        <v>0</v>
      </c>
      <c r="H87" s="701">
        <f t="shared" ca="1" si="62"/>
        <v>0</v>
      </c>
      <c r="I87" s="701">
        <f t="shared" ca="1" si="62"/>
        <v>0</v>
      </c>
      <c r="J87" s="701">
        <f t="shared" ca="1" si="62"/>
        <v>0</v>
      </c>
      <c r="K87" s="701">
        <f t="shared" ca="1" si="62"/>
        <v>0</v>
      </c>
      <c r="L87" s="701">
        <f t="shared" ca="1" si="62"/>
        <v>0</v>
      </c>
      <c r="M87" s="701">
        <f t="shared" ca="1" si="62"/>
        <v>0</v>
      </c>
      <c r="N87" s="701">
        <f t="shared" ca="1" si="62"/>
        <v>0</v>
      </c>
      <c r="O87" s="701">
        <f t="shared" ca="1" si="62"/>
        <v>0</v>
      </c>
      <c r="P87" s="701">
        <f t="shared" ca="1" si="62"/>
        <v>0</v>
      </c>
      <c r="Q87" s="701">
        <f t="shared" ca="1" si="62"/>
        <v>0</v>
      </c>
      <c r="R87" s="701">
        <f t="shared" ca="1" si="62"/>
        <v>0</v>
      </c>
      <c r="S87" s="701">
        <f t="shared" ca="1" si="62"/>
        <v>0</v>
      </c>
      <c r="T87" s="701">
        <f t="shared" ca="1" si="62"/>
        <v>0</v>
      </c>
      <c r="U87" s="701">
        <f t="shared" ca="1" si="62"/>
        <v>0</v>
      </c>
      <c r="V87" s="701">
        <f t="shared" ca="1" si="62"/>
        <v>0</v>
      </c>
      <c r="W87" s="701">
        <f t="shared" ca="1" si="62"/>
        <v>0</v>
      </c>
      <c r="X87" s="701">
        <f t="shared" ca="1" si="62"/>
        <v>0</v>
      </c>
      <c r="Y87" s="701">
        <f t="shared" ca="1" si="62"/>
        <v>0</v>
      </c>
      <c r="Z87" s="701">
        <f t="shared" ca="1" si="62"/>
        <v>0</v>
      </c>
      <c r="AA87" s="701">
        <f t="shared" ca="1" si="62"/>
        <v>0</v>
      </c>
      <c r="AB87" s="701">
        <f t="shared" ca="1" si="62"/>
        <v>0</v>
      </c>
      <c r="AC87" s="701">
        <f t="shared" ca="1" si="62"/>
        <v>0</v>
      </c>
      <c r="AD87" s="701">
        <f t="shared" ca="1" si="62"/>
        <v>0</v>
      </c>
      <c r="AE87" s="701">
        <f t="shared" ca="1" si="62"/>
        <v>0</v>
      </c>
      <c r="AF87" s="701">
        <f t="shared" ca="1" si="62"/>
        <v>0</v>
      </c>
      <c r="AG87" s="701">
        <f t="shared" ca="1" si="62"/>
        <v>0</v>
      </c>
      <c r="AH87" s="701">
        <f t="shared" ca="1" si="62"/>
        <v>0</v>
      </c>
      <c r="AI87" s="701">
        <f t="shared" ca="1" si="62"/>
        <v>0</v>
      </c>
      <c r="AJ87" s="701">
        <f t="shared" ca="1" si="62"/>
        <v>0</v>
      </c>
      <c r="AK87" s="701">
        <f t="shared" ca="1" si="62"/>
        <v>0</v>
      </c>
      <c r="AL87" s="701">
        <f t="shared" ca="1" si="62"/>
        <v>0</v>
      </c>
      <c r="AM87" s="701">
        <f t="shared" ca="1" si="62"/>
        <v>0</v>
      </c>
      <c r="AN87" s="701">
        <f t="shared" ca="1" si="62"/>
        <v>0</v>
      </c>
      <c r="AO87" s="701">
        <f t="shared" ca="1" si="62"/>
        <v>0</v>
      </c>
      <c r="AP87" s="701">
        <f t="shared" ca="1" si="62"/>
        <v>0</v>
      </c>
      <c r="AQ87" s="701">
        <f t="shared" ca="1" si="62"/>
        <v>0</v>
      </c>
      <c r="AR87" s="701">
        <f t="shared" ca="1" si="62"/>
        <v>0</v>
      </c>
      <c r="AS87" s="701">
        <f t="shared" ca="1" si="62"/>
        <v>0</v>
      </c>
      <c r="AT87" s="701">
        <f t="shared" ca="1" si="62"/>
        <v>0</v>
      </c>
      <c r="AU87" s="701">
        <f t="shared" ca="1" si="62"/>
        <v>0</v>
      </c>
      <c r="AV87" s="701">
        <f t="shared" ca="1" si="62"/>
        <v>0</v>
      </c>
      <c r="AW87" s="701">
        <f t="shared" ca="1" si="62"/>
        <v>0</v>
      </c>
      <c r="AX87" s="701">
        <f t="shared" ca="1" si="62"/>
        <v>0</v>
      </c>
      <c r="AY87" s="701">
        <f t="shared" ca="1" si="62"/>
        <v>0</v>
      </c>
      <c r="AZ87" s="701">
        <f t="shared" ca="1" si="62"/>
        <v>7529630.9108508695</v>
      </c>
      <c r="BA87" s="701">
        <f t="shared" ca="1" si="62"/>
        <v>0</v>
      </c>
      <c r="BB87" s="701">
        <f t="shared" ca="1" si="62"/>
        <v>0</v>
      </c>
      <c r="BC87" s="701">
        <f t="shared" ca="1" si="62"/>
        <v>0</v>
      </c>
      <c r="BD87" s="701">
        <f t="shared" ca="1" si="62"/>
        <v>0</v>
      </c>
      <c r="BE87" s="701">
        <f t="shared" ca="1" si="62"/>
        <v>0</v>
      </c>
      <c r="BF87" s="701">
        <f t="shared" ca="1" si="62"/>
        <v>0</v>
      </c>
      <c r="BG87" s="701">
        <f t="shared" ca="1" si="62"/>
        <v>0</v>
      </c>
      <c r="BH87" s="701">
        <f t="shared" ca="1" si="62"/>
        <v>0</v>
      </c>
      <c r="BI87" s="701">
        <f t="shared" ca="1" si="62"/>
        <v>0</v>
      </c>
      <c r="BJ87" s="701">
        <f t="shared" ca="1" si="62"/>
        <v>0</v>
      </c>
      <c r="BK87" s="701">
        <f t="shared" ca="1" si="62"/>
        <v>0</v>
      </c>
      <c r="BL87" s="701">
        <f t="shared" ca="1" si="62"/>
        <v>0</v>
      </c>
    </row>
    <row r="88" spans="1:64">
      <c r="A88" s="778">
        <f ca="1">1-G11</f>
        <v>0.58661801225213517</v>
      </c>
      <c r="B88" s="701"/>
      <c r="C88" s="699"/>
      <c r="D88" s="701">
        <f ca="1">D87*$A88</f>
        <v>0</v>
      </c>
      <c r="E88" s="701">
        <f t="shared" ref="E88:BL88" ca="1" si="63">E87*$A88</f>
        <v>0</v>
      </c>
      <c r="F88" s="701">
        <f t="shared" ca="1" si="63"/>
        <v>0</v>
      </c>
      <c r="G88" s="701">
        <f t="shared" ca="1" si="63"/>
        <v>0</v>
      </c>
      <c r="H88" s="701">
        <f t="shared" ca="1" si="63"/>
        <v>0</v>
      </c>
      <c r="I88" s="701">
        <f t="shared" ca="1" si="63"/>
        <v>0</v>
      </c>
      <c r="J88" s="701">
        <f t="shared" ca="1" si="63"/>
        <v>0</v>
      </c>
      <c r="K88" s="701">
        <f t="shared" ca="1" si="63"/>
        <v>0</v>
      </c>
      <c r="L88" s="701">
        <f t="shared" ca="1" si="63"/>
        <v>0</v>
      </c>
      <c r="M88" s="701">
        <f t="shared" ca="1" si="63"/>
        <v>0</v>
      </c>
      <c r="N88" s="701">
        <f t="shared" ca="1" si="63"/>
        <v>0</v>
      </c>
      <c r="O88" s="701">
        <f t="shared" ca="1" si="63"/>
        <v>0</v>
      </c>
      <c r="P88" s="701">
        <f t="shared" ca="1" si="63"/>
        <v>0</v>
      </c>
      <c r="Q88" s="701">
        <f t="shared" ca="1" si="63"/>
        <v>0</v>
      </c>
      <c r="R88" s="701">
        <f t="shared" ca="1" si="63"/>
        <v>0</v>
      </c>
      <c r="S88" s="701">
        <f t="shared" ca="1" si="63"/>
        <v>0</v>
      </c>
      <c r="T88" s="701">
        <f t="shared" ca="1" si="63"/>
        <v>0</v>
      </c>
      <c r="U88" s="701">
        <f t="shared" ca="1" si="63"/>
        <v>0</v>
      </c>
      <c r="V88" s="701">
        <f t="shared" ca="1" si="63"/>
        <v>0</v>
      </c>
      <c r="W88" s="701">
        <f t="shared" ca="1" si="63"/>
        <v>0</v>
      </c>
      <c r="X88" s="701">
        <f t="shared" ca="1" si="63"/>
        <v>0</v>
      </c>
      <c r="Y88" s="701">
        <f t="shared" ca="1" si="63"/>
        <v>0</v>
      </c>
      <c r="Z88" s="701">
        <f t="shared" ca="1" si="63"/>
        <v>0</v>
      </c>
      <c r="AA88" s="701">
        <f t="shared" ca="1" si="63"/>
        <v>0</v>
      </c>
      <c r="AB88" s="701">
        <f t="shared" ca="1" si="63"/>
        <v>0</v>
      </c>
      <c r="AC88" s="701">
        <f t="shared" ca="1" si="63"/>
        <v>0</v>
      </c>
      <c r="AD88" s="701">
        <f t="shared" ca="1" si="63"/>
        <v>0</v>
      </c>
      <c r="AE88" s="701">
        <f t="shared" ca="1" si="63"/>
        <v>0</v>
      </c>
      <c r="AF88" s="701">
        <f t="shared" ca="1" si="63"/>
        <v>0</v>
      </c>
      <c r="AG88" s="701">
        <f t="shared" ca="1" si="63"/>
        <v>0</v>
      </c>
      <c r="AH88" s="701">
        <f t="shared" ca="1" si="63"/>
        <v>0</v>
      </c>
      <c r="AI88" s="701">
        <f t="shared" ca="1" si="63"/>
        <v>0</v>
      </c>
      <c r="AJ88" s="701">
        <f t="shared" ca="1" si="63"/>
        <v>0</v>
      </c>
      <c r="AK88" s="701">
        <f t="shared" ca="1" si="63"/>
        <v>0</v>
      </c>
      <c r="AL88" s="701">
        <f t="shared" ca="1" si="63"/>
        <v>0</v>
      </c>
      <c r="AM88" s="701">
        <f t="shared" ca="1" si="63"/>
        <v>0</v>
      </c>
      <c r="AN88" s="701">
        <f t="shared" ca="1" si="63"/>
        <v>0</v>
      </c>
      <c r="AO88" s="701">
        <f t="shared" ca="1" si="63"/>
        <v>0</v>
      </c>
      <c r="AP88" s="701">
        <f t="shared" ca="1" si="63"/>
        <v>0</v>
      </c>
      <c r="AQ88" s="701">
        <f t="shared" ca="1" si="63"/>
        <v>0</v>
      </c>
      <c r="AR88" s="701">
        <f t="shared" ca="1" si="63"/>
        <v>0</v>
      </c>
      <c r="AS88" s="701">
        <f t="shared" ca="1" si="63"/>
        <v>0</v>
      </c>
      <c r="AT88" s="701">
        <f t="shared" ca="1" si="63"/>
        <v>0</v>
      </c>
      <c r="AU88" s="701">
        <f t="shared" ca="1" si="63"/>
        <v>0</v>
      </c>
      <c r="AV88" s="701">
        <f t="shared" ca="1" si="63"/>
        <v>0</v>
      </c>
      <c r="AW88" s="701">
        <f t="shared" ca="1" si="63"/>
        <v>0</v>
      </c>
      <c r="AX88" s="701">
        <f t="shared" ca="1" si="63"/>
        <v>0</v>
      </c>
      <c r="AY88" s="701">
        <f t="shared" ca="1" si="63"/>
        <v>0</v>
      </c>
      <c r="AZ88" s="701">
        <f t="shared" ca="1" si="63"/>
        <v>4417017.1179155707</v>
      </c>
      <c r="BA88" s="701">
        <f t="shared" ca="1" si="63"/>
        <v>0</v>
      </c>
      <c r="BB88" s="701">
        <f t="shared" ca="1" si="63"/>
        <v>0</v>
      </c>
      <c r="BC88" s="701">
        <f t="shared" ca="1" si="63"/>
        <v>0</v>
      </c>
      <c r="BD88" s="701">
        <f t="shared" ca="1" si="63"/>
        <v>0</v>
      </c>
      <c r="BE88" s="701">
        <f t="shared" ca="1" si="63"/>
        <v>0</v>
      </c>
      <c r="BF88" s="701">
        <f t="shared" ca="1" si="63"/>
        <v>0</v>
      </c>
      <c r="BG88" s="701">
        <f t="shared" ca="1" si="63"/>
        <v>0</v>
      </c>
      <c r="BH88" s="701">
        <f t="shared" ca="1" si="63"/>
        <v>0</v>
      </c>
      <c r="BI88" s="701">
        <f t="shared" ca="1" si="63"/>
        <v>0</v>
      </c>
      <c r="BJ88" s="701">
        <f t="shared" ca="1" si="63"/>
        <v>0</v>
      </c>
      <c r="BK88" s="701">
        <f t="shared" ca="1" si="63"/>
        <v>0</v>
      </c>
      <c r="BL88" s="701">
        <f t="shared" ca="1" si="63"/>
        <v>0</v>
      </c>
    </row>
    <row r="89" spans="1:64">
      <c r="A89" s="774" t="s">
        <v>675</v>
      </c>
      <c r="B89" s="702">
        <f ca="1">E11</f>
        <v>0.91338198774786505</v>
      </c>
      <c r="C89" s="699"/>
      <c r="D89" s="701">
        <f ca="1">D$88*$B89</f>
        <v>0</v>
      </c>
      <c r="E89" s="701">
        <f t="shared" ref="E89:BL90" ca="1" si="64">E$88*$B89</f>
        <v>0</v>
      </c>
      <c r="F89" s="701">
        <f t="shared" ca="1" si="64"/>
        <v>0</v>
      </c>
      <c r="G89" s="701">
        <f t="shared" ca="1" si="64"/>
        <v>0</v>
      </c>
      <c r="H89" s="701">
        <f t="shared" ca="1" si="64"/>
        <v>0</v>
      </c>
      <c r="I89" s="701">
        <f t="shared" ca="1" si="64"/>
        <v>0</v>
      </c>
      <c r="J89" s="701">
        <f t="shared" ca="1" si="64"/>
        <v>0</v>
      </c>
      <c r="K89" s="701">
        <f t="shared" ca="1" si="64"/>
        <v>0</v>
      </c>
      <c r="L89" s="701">
        <f t="shared" ca="1" si="64"/>
        <v>0</v>
      </c>
      <c r="M89" s="701">
        <f t="shared" ca="1" si="64"/>
        <v>0</v>
      </c>
      <c r="N89" s="701">
        <f t="shared" ca="1" si="64"/>
        <v>0</v>
      </c>
      <c r="O89" s="701">
        <f t="shared" ca="1" si="64"/>
        <v>0</v>
      </c>
      <c r="P89" s="701">
        <f t="shared" ca="1" si="64"/>
        <v>0</v>
      </c>
      <c r="Q89" s="701">
        <f t="shared" ca="1" si="64"/>
        <v>0</v>
      </c>
      <c r="R89" s="701">
        <f t="shared" ca="1" si="64"/>
        <v>0</v>
      </c>
      <c r="S89" s="701">
        <f t="shared" ca="1" si="64"/>
        <v>0</v>
      </c>
      <c r="T89" s="701">
        <f t="shared" ca="1" si="64"/>
        <v>0</v>
      </c>
      <c r="U89" s="701">
        <f t="shared" ca="1" si="64"/>
        <v>0</v>
      </c>
      <c r="V89" s="701">
        <f t="shared" ca="1" si="64"/>
        <v>0</v>
      </c>
      <c r="W89" s="701">
        <f t="shared" ca="1" si="64"/>
        <v>0</v>
      </c>
      <c r="X89" s="701">
        <f t="shared" ca="1" si="64"/>
        <v>0</v>
      </c>
      <c r="Y89" s="701">
        <f t="shared" ca="1" si="64"/>
        <v>0</v>
      </c>
      <c r="Z89" s="701">
        <f t="shared" ca="1" si="64"/>
        <v>0</v>
      </c>
      <c r="AA89" s="701">
        <f t="shared" ca="1" si="64"/>
        <v>0</v>
      </c>
      <c r="AB89" s="701">
        <f t="shared" ca="1" si="64"/>
        <v>0</v>
      </c>
      <c r="AC89" s="701">
        <f t="shared" ca="1" si="64"/>
        <v>0</v>
      </c>
      <c r="AD89" s="701">
        <f t="shared" ca="1" si="64"/>
        <v>0</v>
      </c>
      <c r="AE89" s="701">
        <f t="shared" ca="1" si="64"/>
        <v>0</v>
      </c>
      <c r="AF89" s="701">
        <f t="shared" ca="1" si="64"/>
        <v>0</v>
      </c>
      <c r="AG89" s="701">
        <f t="shared" ca="1" si="64"/>
        <v>0</v>
      </c>
      <c r="AH89" s="701">
        <f t="shared" ca="1" si="64"/>
        <v>0</v>
      </c>
      <c r="AI89" s="701">
        <f t="shared" ca="1" si="64"/>
        <v>0</v>
      </c>
      <c r="AJ89" s="701">
        <f t="shared" ca="1" si="64"/>
        <v>0</v>
      </c>
      <c r="AK89" s="701">
        <f t="shared" ca="1" si="64"/>
        <v>0</v>
      </c>
      <c r="AL89" s="701">
        <f t="shared" ca="1" si="64"/>
        <v>0</v>
      </c>
      <c r="AM89" s="701">
        <f t="shared" ca="1" si="64"/>
        <v>0</v>
      </c>
      <c r="AN89" s="701">
        <f t="shared" ca="1" si="64"/>
        <v>0</v>
      </c>
      <c r="AO89" s="701">
        <f t="shared" ca="1" si="64"/>
        <v>0</v>
      </c>
      <c r="AP89" s="701">
        <f t="shared" ca="1" si="64"/>
        <v>0</v>
      </c>
      <c r="AQ89" s="701">
        <f t="shared" ca="1" si="64"/>
        <v>0</v>
      </c>
      <c r="AR89" s="701">
        <f t="shared" ca="1" si="64"/>
        <v>0</v>
      </c>
      <c r="AS89" s="701">
        <f t="shared" ca="1" si="64"/>
        <v>0</v>
      </c>
      <c r="AT89" s="701">
        <f t="shared" ca="1" si="64"/>
        <v>0</v>
      </c>
      <c r="AU89" s="701">
        <f t="shared" ca="1" si="64"/>
        <v>0</v>
      </c>
      <c r="AV89" s="701">
        <f t="shared" ca="1" si="64"/>
        <v>0</v>
      </c>
      <c r="AW89" s="701">
        <f t="shared" ca="1" si="64"/>
        <v>0</v>
      </c>
      <c r="AX89" s="701">
        <f t="shared" ca="1" si="64"/>
        <v>0</v>
      </c>
      <c r="AY89" s="701">
        <f t="shared" ca="1" si="64"/>
        <v>0</v>
      </c>
      <c r="AZ89" s="701">
        <f ca="1">AZ$88*$B89</f>
        <v>4034423.87507807</v>
      </c>
      <c r="BA89" s="701">
        <f t="shared" ca="1" si="64"/>
        <v>0</v>
      </c>
      <c r="BB89" s="701">
        <f t="shared" ca="1" si="64"/>
        <v>0</v>
      </c>
      <c r="BC89" s="701">
        <f t="shared" ca="1" si="64"/>
        <v>0</v>
      </c>
      <c r="BD89" s="701">
        <f t="shared" ca="1" si="64"/>
        <v>0</v>
      </c>
      <c r="BE89" s="701">
        <f t="shared" ca="1" si="64"/>
        <v>0</v>
      </c>
      <c r="BF89" s="701">
        <f t="shared" ca="1" si="64"/>
        <v>0</v>
      </c>
      <c r="BG89" s="701">
        <f t="shared" ca="1" si="64"/>
        <v>0</v>
      </c>
      <c r="BH89" s="701">
        <f t="shared" ca="1" si="64"/>
        <v>0</v>
      </c>
      <c r="BI89" s="701">
        <f t="shared" ca="1" si="64"/>
        <v>0</v>
      </c>
      <c r="BJ89" s="701">
        <f t="shared" ca="1" si="64"/>
        <v>0</v>
      </c>
      <c r="BK89" s="701">
        <f t="shared" ca="1" si="64"/>
        <v>0</v>
      </c>
      <c r="BL89" s="701">
        <f t="shared" ca="1" si="64"/>
        <v>0</v>
      </c>
    </row>
    <row r="90" spans="1:64">
      <c r="A90" s="774" t="s">
        <v>676</v>
      </c>
      <c r="B90" s="702">
        <f ca="1">1-B89</f>
        <v>8.6618012252134946E-2</v>
      </c>
      <c r="C90" s="699"/>
      <c r="D90" s="701">
        <f ca="1">D$88*$B90</f>
        <v>0</v>
      </c>
      <c r="E90" s="701">
        <f t="shared" ca="1" si="64"/>
        <v>0</v>
      </c>
      <c r="F90" s="701">
        <f t="shared" ca="1" si="64"/>
        <v>0</v>
      </c>
      <c r="G90" s="701">
        <f t="shared" ca="1" si="64"/>
        <v>0</v>
      </c>
      <c r="H90" s="701">
        <f t="shared" ca="1" si="64"/>
        <v>0</v>
      </c>
      <c r="I90" s="701">
        <f t="shared" ca="1" si="64"/>
        <v>0</v>
      </c>
      <c r="J90" s="701">
        <f t="shared" ca="1" si="64"/>
        <v>0</v>
      </c>
      <c r="K90" s="701">
        <f t="shared" ca="1" si="64"/>
        <v>0</v>
      </c>
      <c r="L90" s="701">
        <f t="shared" ca="1" si="64"/>
        <v>0</v>
      </c>
      <c r="M90" s="701">
        <f t="shared" ca="1" si="64"/>
        <v>0</v>
      </c>
      <c r="N90" s="701">
        <f t="shared" ca="1" si="64"/>
        <v>0</v>
      </c>
      <c r="O90" s="701">
        <f t="shared" ca="1" si="64"/>
        <v>0</v>
      </c>
      <c r="P90" s="701">
        <f t="shared" ca="1" si="64"/>
        <v>0</v>
      </c>
      <c r="Q90" s="701">
        <f t="shared" ca="1" si="64"/>
        <v>0</v>
      </c>
      <c r="R90" s="701">
        <f t="shared" ca="1" si="64"/>
        <v>0</v>
      </c>
      <c r="S90" s="701">
        <f t="shared" ca="1" si="64"/>
        <v>0</v>
      </c>
      <c r="T90" s="701">
        <f t="shared" ca="1" si="64"/>
        <v>0</v>
      </c>
      <c r="U90" s="701">
        <f t="shared" ca="1" si="64"/>
        <v>0</v>
      </c>
      <c r="V90" s="701">
        <f t="shared" ca="1" si="64"/>
        <v>0</v>
      </c>
      <c r="W90" s="701">
        <f t="shared" ca="1" si="64"/>
        <v>0</v>
      </c>
      <c r="X90" s="701">
        <f t="shared" ca="1" si="64"/>
        <v>0</v>
      </c>
      <c r="Y90" s="701">
        <f t="shared" ca="1" si="64"/>
        <v>0</v>
      </c>
      <c r="Z90" s="701">
        <f t="shared" ca="1" si="64"/>
        <v>0</v>
      </c>
      <c r="AA90" s="701">
        <f t="shared" ca="1" si="64"/>
        <v>0</v>
      </c>
      <c r="AB90" s="701">
        <f t="shared" ca="1" si="64"/>
        <v>0</v>
      </c>
      <c r="AC90" s="701">
        <f t="shared" ca="1" si="64"/>
        <v>0</v>
      </c>
      <c r="AD90" s="701">
        <f t="shared" ca="1" si="64"/>
        <v>0</v>
      </c>
      <c r="AE90" s="701">
        <f t="shared" ca="1" si="64"/>
        <v>0</v>
      </c>
      <c r="AF90" s="701">
        <f t="shared" ca="1" si="64"/>
        <v>0</v>
      </c>
      <c r="AG90" s="701">
        <f t="shared" ca="1" si="64"/>
        <v>0</v>
      </c>
      <c r="AH90" s="701">
        <f t="shared" ca="1" si="64"/>
        <v>0</v>
      </c>
      <c r="AI90" s="701">
        <f t="shared" ca="1" si="64"/>
        <v>0</v>
      </c>
      <c r="AJ90" s="701">
        <f t="shared" ca="1" si="64"/>
        <v>0</v>
      </c>
      <c r="AK90" s="701">
        <f t="shared" ca="1" si="64"/>
        <v>0</v>
      </c>
      <c r="AL90" s="701">
        <f t="shared" ca="1" si="64"/>
        <v>0</v>
      </c>
      <c r="AM90" s="701">
        <f t="shared" ca="1" si="64"/>
        <v>0</v>
      </c>
      <c r="AN90" s="701">
        <f t="shared" ca="1" si="64"/>
        <v>0</v>
      </c>
      <c r="AO90" s="701">
        <f t="shared" ca="1" si="64"/>
        <v>0</v>
      </c>
      <c r="AP90" s="701">
        <f t="shared" ca="1" si="64"/>
        <v>0</v>
      </c>
      <c r="AQ90" s="701">
        <f t="shared" ca="1" si="64"/>
        <v>0</v>
      </c>
      <c r="AR90" s="701">
        <f t="shared" ca="1" si="64"/>
        <v>0</v>
      </c>
      <c r="AS90" s="701">
        <f t="shared" ca="1" si="64"/>
        <v>0</v>
      </c>
      <c r="AT90" s="701">
        <f t="shared" ca="1" si="64"/>
        <v>0</v>
      </c>
      <c r="AU90" s="701">
        <f t="shared" ca="1" si="64"/>
        <v>0</v>
      </c>
      <c r="AV90" s="701">
        <f t="shared" ca="1" si="64"/>
        <v>0</v>
      </c>
      <c r="AW90" s="701">
        <f t="shared" ca="1" si="64"/>
        <v>0</v>
      </c>
      <c r="AX90" s="701">
        <f t="shared" ca="1" si="64"/>
        <v>0</v>
      </c>
      <c r="AY90" s="701">
        <f t="shared" ca="1" si="64"/>
        <v>0</v>
      </c>
      <c r="AZ90" s="701">
        <f t="shared" ca="1" si="64"/>
        <v>382593.2428375007</v>
      </c>
      <c r="BA90" s="701">
        <f t="shared" ca="1" si="64"/>
        <v>0</v>
      </c>
      <c r="BB90" s="701">
        <f t="shared" ca="1" si="64"/>
        <v>0</v>
      </c>
      <c r="BC90" s="701">
        <f t="shared" ca="1" si="64"/>
        <v>0</v>
      </c>
      <c r="BD90" s="701">
        <f t="shared" ca="1" si="64"/>
        <v>0</v>
      </c>
      <c r="BE90" s="701">
        <f t="shared" ca="1" si="64"/>
        <v>0</v>
      </c>
      <c r="BF90" s="701">
        <f t="shared" ca="1" si="64"/>
        <v>0</v>
      </c>
      <c r="BG90" s="701">
        <f t="shared" ca="1" si="64"/>
        <v>0</v>
      </c>
      <c r="BH90" s="701">
        <f t="shared" ca="1" si="64"/>
        <v>0</v>
      </c>
      <c r="BI90" s="701">
        <f t="shared" ca="1" si="64"/>
        <v>0</v>
      </c>
      <c r="BJ90" s="701">
        <f t="shared" ca="1" si="64"/>
        <v>0</v>
      </c>
      <c r="BK90" s="701">
        <f t="shared" ca="1" si="64"/>
        <v>0</v>
      </c>
      <c r="BL90" s="701">
        <f t="shared" ca="1" si="64"/>
        <v>0</v>
      </c>
    </row>
    <row r="91" spans="1:64">
      <c r="A91" s="779">
        <f ca="1">1-A88</f>
        <v>0.41338198774786483</v>
      </c>
      <c r="B91" s="701"/>
      <c r="C91" s="699"/>
      <c r="D91" s="754">
        <f t="shared" ref="D91:BL91" ca="1" si="65">D88/$A88*$A91</f>
        <v>0</v>
      </c>
      <c r="E91" s="754">
        <f t="shared" ca="1" si="65"/>
        <v>0</v>
      </c>
      <c r="F91" s="754">
        <f t="shared" ca="1" si="65"/>
        <v>0</v>
      </c>
      <c r="G91" s="754">
        <f t="shared" ca="1" si="65"/>
        <v>0</v>
      </c>
      <c r="H91" s="754">
        <f t="shared" ca="1" si="65"/>
        <v>0</v>
      </c>
      <c r="I91" s="754">
        <f t="shared" ca="1" si="65"/>
        <v>0</v>
      </c>
      <c r="J91" s="754">
        <f t="shared" ca="1" si="65"/>
        <v>0</v>
      </c>
      <c r="K91" s="754">
        <f t="shared" ca="1" si="65"/>
        <v>0</v>
      </c>
      <c r="L91" s="754">
        <f t="shared" ca="1" si="65"/>
        <v>0</v>
      </c>
      <c r="M91" s="754">
        <f t="shared" ca="1" si="65"/>
        <v>0</v>
      </c>
      <c r="N91" s="754">
        <f t="shared" ca="1" si="65"/>
        <v>0</v>
      </c>
      <c r="O91" s="754">
        <f t="shared" ca="1" si="65"/>
        <v>0</v>
      </c>
      <c r="P91" s="754">
        <f t="shared" ca="1" si="65"/>
        <v>0</v>
      </c>
      <c r="Q91" s="754">
        <f t="shared" ca="1" si="65"/>
        <v>0</v>
      </c>
      <c r="R91" s="754">
        <f t="shared" ca="1" si="65"/>
        <v>0</v>
      </c>
      <c r="S91" s="754">
        <f t="shared" ca="1" si="65"/>
        <v>0</v>
      </c>
      <c r="T91" s="754">
        <f t="shared" ca="1" si="65"/>
        <v>0</v>
      </c>
      <c r="U91" s="754">
        <f t="shared" ca="1" si="65"/>
        <v>0</v>
      </c>
      <c r="V91" s="754">
        <f t="shared" ca="1" si="65"/>
        <v>0</v>
      </c>
      <c r="W91" s="754">
        <f t="shared" ca="1" si="65"/>
        <v>0</v>
      </c>
      <c r="X91" s="754">
        <f t="shared" ca="1" si="65"/>
        <v>0</v>
      </c>
      <c r="Y91" s="754">
        <f t="shared" ca="1" si="65"/>
        <v>0</v>
      </c>
      <c r="Z91" s="754">
        <f t="shared" ca="1" si="65"/>
        <v>0</v>
      </c>
      <c r="AA91" s="754">
        <f t="shared" ca="1" si="65"/>
        <v>0</v>
      </c>
      <c r="AB91" s="754">
        <f t="shared" ca="1" si="65"/>
        <v>0</v>
      </c>
      <c r="AC91" s="754">
        <f t="shared" ca="1" si="65"/>
        <v>0</v>
      </c>
      <c r="AD91" s="754">
        <f t="shared" ca="1" si="65"/>
        <v>0</v>
      </c>
      <c r="AE91" s="754">
        <f t="shared" ca="1" si="65"/>
        <v>0</v>
      </c>
      <c r="AF91" s="754">
        <f t="shared" ca="1" si="65"/>
        <v>0</v>
      </c>
      <c r="AG91" s="754">
        <f t="shared" ca="1" si="65"/>
        <v>0</v>
      </c>
      <c r="AH91" s="754">
        <f t="shared" ca="1" si="65"/>
        <v>0</v>
      </c>
      <c r="AI91" s="754">
        <f t="shared" ca="1" si="65"/>
        <v>0</v>
      </c>
      <c r="AJ91" s="754">
        <f t="shared" ca="1" si="65"/>
        <v>0</v>
      </c>
      <c r="AK91" s="754">
        <f t="shared" ca="1" si="65"/>
        <v>0</v>
      </c>
      <c r="AL91" s="754">
        <f t="shared" ca="1" si="65"/>
        <v>0</v>
      </c>
      <c r="AM91" s="754">
        <f t="shared" ca="1" si="65"/>
        <v>0</v>
      </c>
      <c r="AN91" s="754">
        <f t="shared" ca="1" si="65"/>
        <v>0</v>
      </c>
      <c r="AO91" s="754">
        <f t="shared" ca="1" si="65"/>
        <v>0</v>
      </c>
      <c r="AP91" s="754">
        <f t="shared" ca="1" si="65"/>
        <v>0</v>
      </c>
      <c r="AQ91" s="754">
        <f t="shared" ca="1" si="65"/>
        <v>0</v>
      </c>
      <c r="AR91" s="754">
        <f t="shared" ca="1" si="65"/>
        <v>0</v>
      </c>
      <c r="AS91" s="754">
        <f t="shared" ca="1" si="65"/>
        <v>0</v>
      </c>
      <c r="AT91" s="754">
        <f t="shared" ca="1" si="65"/>
        <v>0</v>
      </c>
      <c r="AU91" s="754">
        <f t="shared" ca="1" si="65"/>
        <v>0</v>
      </c>
      <c r="AV91" s="754">
        <f t="shared" ca="1" si="65"/>
        <v>0</v>
      </c>
      <c r="AW91" s="754">
        <f t="shared" ca="1" si="65"/>
        <v>0</v>
      </c>
      <c r="AX91" s="754">
        <f t="shared" ca="1" si="65"/>
        <v>0</v>
      </c>
      <c r="AY91" s="754">
        <f t="shared" ca="1" si="65"/>
        <v>0</v>
      </c>
      <c r="AZ91" s="754">
        <f t="shared" ca="1" si="65"/>
        <v>3112613.7929352983</v>
      </c>
      <c r="BA91" s="754">
        <f t="shared" ca="1" si="65"/>
        <v>0</v>
      </c>
      <c r="BB91" s="754">
        <f t="shared" ca="1" si="65"/>
        <v>0</v>
      </c>
      <c r="BC91" s="754">
        <f t="shared" ca="1" si="65"/>
        <v>0</v>
      </c>
      <c r="BD91" s="754">
        <f t="shared" ca="1" si="65"/>
        <v>0</v>
      </c>
      <c r="BE91" s="754">
        <f t="shared" ca="1" si="65"/>
        <v>0</v>
      </c>
      <c r="BF91" s="754">
        <f t="shared" ca="1" si="65"/>
        <v>0</v>
      </c>
      <c r="BG91" s="754">
        <f t="shared" ca="1" si="65"/>
        <v>0</v>
      </c>
      <c r="BH91" s="754">
        <f t="shared" ca="1" si="65"/>
        <v>0</v>
      </c>
      <c r="BI91" s="754">
        <f t="shared" ca="1" si="65"/>
        <v>0</v>
      </c>
      <c r="BJ91" s="754">
        <f t="shared" ca="1" si="65"/>
        <v>0</v>
      </c>
      <c r="BK91" s="754">
        <f t="shared" ca="1" si="65"/>
        <v>0</v>
      </c>
      <c r="BL91" s="754">
        <f t="shared" ca="1" si="65"/>
        <v>0</v>
      </c>
    </row>
    <row r="92" spans="1:64">
      <c r="A92" s="774" t="s">
        <v>643</v>
      </c>
      <c r="B92" s="701"/>
      <c r="C92" s="699"/>
      <c r="D92" s="701">
        <f ca="1">D83-D88-D91</f>
        <v>0</v>
      </c>
      <c r="E92" s="701">
        <f t="shared" ref="E92:BL92" ca="1" si="66">E83-E88-E91</f>
        <v>0</v>
      </c>
      <c r="F92" s="701">
        <f t="shared" ca="1" si="66"/>
        <v>0</v>
      </c>
      <c r="G92" s="701">
        <f t="shared" ca="1" si="66"/>
        <v>0</v>
      </c>
      <c r="H92" s="701">
        <f t="shared" ca="1" si="66"/>
        <v>0</v>
      </c>
      <c r="I92" s="701">
        <f t="shared" ca="1" si="66"/>
        <v>0</v>
      </c>
      <c r="J92" s="701">
        <f t="shared" ca="1" si="66"/>
        <v>0</v>
      </c>
      <c r="K92" s="701">
        <f t="shared" ca="1" si="66"/>
        <v>0</v>
      </c>
      <c r="L92" s="701">
        <f t="shared" ca="1" si="66"/>
        <v>0</v>
      </c>
      <c r="M92" s="701">
        <f t="shared" ca="1" si="66"/>
        <v>0</v>
      </c>
      <c r="N92" s="701">
        <f t="shared" ca="1" si="66"/>
        <v>0</v>
      </c>
      <c r="O92" s="701">
        <f t="shared" ca="1" si="66"/>
        <v>0</v>
      </c>
      <c r="P92" s="701">
        <f t="shared" ca="1" si="66"/>
        <v>0</v>
      </c>
      <c r="Q92" s="701">
        <f t="shared" ca="1" si="66"/>
        <v>0</v>
      </c>
      <c r="R92" s="701">
        <f t="shared" ca="1" si="66"/>
        <v>0</v>
      </c>
      <c r="S92" s="701">
        <f t="shared" ca="1" si="66"/>
        <v>0</v>
      </c>
      <c r="T92" s="701">
        <f t="shared" ca="1" si="66"/>
        <v>0</v>
      </c>
      <c r="U92" s="701">
        <f t="shared" ca="1" si="66"/>
        <v>0</v>
      </c>
      <c r="V92" s="701">
        <f t="shared" ca="1" si="66"/>
        <v>0</v>
      </c>
      <c r="W92" s="701">
        <f t="shared" ca="1" si="66"/>
        <v>0</v>
      </c>
      <c r="X92" s="701">
        <f t="shared" ca="1" si="66"/>
        <v>0</v>
      </c>
      <c r="Y92" s="701">
        <f t="shared" ca="1" si="66"/>
        <v>0</v>
      </c>
      <c r="Z92" s="701">
        <f t="shared" ca="1" si="66"/>
        <v>0</v>
      </c>
      <c r="AA92" s="701">
        <f t="shared" ca="1" si="66"/>
        <v>0</v>
      </c>
      <c r="AB92" s="701">
        <f t="shared" ca="1" si="66"/>
        <v>0</v>
      </c>
      <c r="AC92" s="701">
        <f t="shared" ca="1" si="66"/>
        <v>0</v>
      </c>
      <c r="AD92" s="701">
        <f t="shared" ca="1" si="66"/>
        <v>0</v>
      </c>
      <c r="AE92" s="701">
        <f t="shared" ca="1" si="66"/>
        <v>0</v>
      </c>
      <c r="AF92" s="701">
        <f t="shared" ca="1" si="66"/>
        <v>0</v>
      </c>
      <c r="AG92" s="701">
        <f t="shared" ca="1" si="66"/>
        <v>0</v>
      </c>
      <c r="AH92" s="701">
        <f t="shared" ca="1" si="66"/>
        <v>0</v>
      </c>
      <c r="AI92" s="701">
        <f t="shared" ca="1" si="66"/>
        <v>0</v>
      </c>
      <c r="AJ92" s="701">
        <f t="shared" ca="1" si="66"/>
        <v>0</v>
      </c>
      <c r="AK92" s="701">
        <f t="shared" ca="1" si="66"/>
        <v>0</v>
      </c>
      <c r="AL92" s="701">
        <f t="shared" ca="1" si="66"/>
        <v>0</v>
      </c>
      <c r="AM92" s="701">
        <f t="shared" ca="1" si="66"/>
        <v>0</v>
      </c>
      <c r="AN92" s="701">
        <f t="shared" ca="1" si="66"/>
        <v>0</v>
      </c>
      <c r="AO92" s="701">
        <f t="shared" ca="1" si="66"/>
        <v>0</v>
      </c>
      <c r="AP92" s="701">
        <f t="shared" ca="1" si="66"/>
        <v>0</v>
      </c>
      <c r="AQ92" s="701">
        <f t="shared" ca="1" si="66"/>
        <v>0</v>
      </c>
      <c r="AR92" s="701">
        <f t="shared" ca="1" si="66"/>
        <v>0</v>
      </c>
      <c r="AS92" s="701">
        <f t="shared" ca="1" si="66"/>
        <v>0</v>
      </c>
      <c r="AT92" s="701">
        <f t="shared" ca="1" si="66"/>
        <v>0</v>
      </c>
      <c r="AU92" s="701">
        <f t="shared" ca="1" si="66"/>
        <v>0</v>
      </c>
      <c r="AV92" s="701">
        <f t="shared" ca="1" si="66"/>
        <v>0</v>
      </c>
      <c r="AW92" s="701">
        <f t="shared" ca="1" si="66"/>
        <v>0</v>
      </c>
      <c r="AX92" s="701">
        <f t="shared" ca="1" si="66"/>
        <v>0</v>
      </c>
      <c r="AY92" s="701">
        <f t="shared" ca="1" si="66"/>
        <v>0</v>
      </c>
      <c r="AZ92" s="701">
        <f t="shared" ca="1" si="66"/>
        <v>0</v>
      </c>
      <c r="BA92" s="701">
        <f t="shared" ca="1" si="66"/>
        <v>0</v>
      </c>
      <c r="BB92" s="701">
        <f t="shared" ca="1" si="66"/>
        <v>0</v>
      </c>
      <c r="BC92" s="701">
        <f t="shared" ca="1" si="66"/>
        <v>0</v>
      </c>
      <c r="BD92" s="701">
        <f t="shared" ca="1" si="66"/>
        <v>0</v>
      </c>
      <c r="BE92" s="701">
        <f t="shared" ca="1" si="66"/>
        <v>0</v>
      </c>
      <c r="BF92" s="701">
        <f t="shared" ca="1" si="66"/>
        <v>0</v>
      </c>
      <c r="BG92" s="701">
        <f t="shared" ca="1" si="66"/>
        <v>0</v>
      </c>
      <c r="BH92" s="701">
        <f t="shared" ca="1" si="66"/>
        <v>0</v>
      </c>
      <c r="BI92" s="701">
        <f t="shared" ca="1" si="66"/>
        <v>0</v>
      </c>
      <c r="BJ92" s="701">
        <f t="shared" ca="1" si="66"/>
        <v>0</v>
      </c>
      <c r="BK92" s="701">
        <f t="shared" ca="1" si="66"/>
        <v>0</v>
      </c>
      <c r="BL92" s="701">
        <f t="shared" ca="1" si="66"/>
        <v>0</v>
      </c>
    </row>
    <row r="93" spans="1:64">
      <c r="A93" s="701"/>
      <c r="B93" s="701"/>
      <c r="C93" s="701"/>
      <c r="D93" s="701"/>
      <c r="E93" s="701"/>
      <c r="F93" s="701"/>
      <c r="G93" s="701"/>
      <c r="H93" s="701"/>
      <c r="I93" s="701"/>
    </row>
    <row r="94" spans="1:64">
      <c r="A94" s="759" t="s">
        <v>678</v>
      </c>
      <c r="B94" s="760"/>
      <c r="C94" s="760"/>
      <c r="D94" s="760"/>
      <c r="E94" s="760"/>
      <c r="F94" s="760"/>
      <c r="G94" s="760"/>
      <c r="H94" s="760"/>
      <c r="I94" s="760"/>
      <c r="J94" s="761"/>
      <c r="K94" s="761"/>
      <c r="L94" s="761"/>
      <c r="M94" s="761"/>
      <c r="N94" s="761"/>
      <c r="O94" s="761"/>
      <c r="P94" s="761"/>
      <c r="Q94" s="761"/>
      <c r="R94" s="761"/>
      <c r="S94" s="761"/>
      <c r="T94" s="761"/>
      <c r="U94" s="761"/>
      <c r="V94" s="761"/>
      <c r="W94" s="761"/>
      <c r="X94" s="761"/>
      <c r="Y94" s="761"/>
      <c r="Z94" s="761"/>
      <c r="AA94" s="761"/>
      <c r="AB94" s="761"/>
      <c r="AC94" s="761"/>
      <c r="AD94" s="761"/>
      <c r="AE94" s="761"/>
      <c r="AF94" s="761"/>
      <c r="AG94" s="761"/>
      <c r="AH94" s="761"/>
      <c r="AI94" s="761"/>
      <c r="AJ94" s="761"/>
      <c r="AK94" s="761"/>
      <c r="AL94" s="761"/>
      <c r="AM94" s="761"/>
      <c r="AN94" s="761"/>
      <c r="AO94" s="761"/>
      <c r="AP94" s="761"/>
      <c r="AQ94" s="761"/>
      <c r="AR94" s="761"/>
      <c r="AS94" s="761"/>
      <c r="AT94" s="761"/>
      <c r="AU94" s="761"/>
      <c r="AV94" s="761"/>
      <c r="AW94" s="761"/>
      <c r="AX94" s="761"/>
      <c r="AY94" s="761"/>
      <c r="AZ94" s="761"/>
      <c r="BA94" s="761"/>
      <c r="BB94" s="761"/>
      <c r="BC94" s="761"/>
      <c r="BD94" s="761"/>
      <c r="BE94" s="761"/>
      <c r="BF94" s="761"/>
      <c r="BG94" s="761"/>
      <c r="BH94" s="761"/>
      <c r="BI94" s="761"/>
      <c r="BJ94" s="761"/>
      <c r="BK94" s="761"/>
      <c r="BL94" s="761"/>
    </row>
    <row r="95" spans="1:64">
      <c r="A95" s="781" t="s">
        <v>645</v>
      </c>
      <c r="B95" s="701">
        <f t="shared" ref="B95:B100" ca="1" si="67">SUM(D95:BL95)</f>
        <v>-6326965.7014692929</v>
      </c>
      <c r="C95" s="699"/>
      <c r="D95" s="763">
        <f ca="1">D27</f>
        <v>-5636325.4451417411</v>
      </c>
      <c r="E95" s="763">
        <f t="shared" ref="E95:BL95" ca="1" si="68">E27</f>
        <v>-690640.25632770208</v>
      </c>
      <c r="F95" s="763">
        <f t="shared" ca="1" si="68"/>
        <v>1.7013065288734899E-8</v>
      </c>
      <c r="G95" s="763">
        <f t="shared" ca="1" si="68"/>
        <v>1.7013065288734899E-8</v>
      </c>
      <c r="H95" s="763">
        <f t="shared" ca="1" si="68"/>
        <v>1.7013065288734899E-8</v>
      </c>
      <c r="I95" s="763">
        <f t="shared" ca="1" si="68"/>
        <v>1.7013065288734899E-8</v>
      </c>
      <c r="J95" s="763">
        <f t="shared" ca="1" si="68"/>
        <v>1.7013065288734899E-8</v>
      </c>
      <c r="K95" s="763">
        <f t="shared" ca="1" si="68"/>
        <v>1.7013065288734899E-8</v>
      </c>
      <c r="L95" s="763">
        <f t="shared" ca="1" si="68"/>
        <v>1.7013065288734899E-8</v>
      </c>
      <c r="M95" s="763">
        <f t="shared" ca="1" si="68"/>
        <v>0</v>
      </c>
      <c r="N95" s="763">
        <f t="shared" ca="1" si="68"/>
        <v>0</v>
      </c>
      <c r="O95" s="763">
        <f t="shared" ca="1" si="68"/>
        <v>0</v>
      </c>
      <c r="P95" s="763">
        <f t="shared" ca="1" si="68"/>
        <v>0</v>
      </c>
      <c r="Q95" s="763">
        <f t="shared" ca="1" si="68"/>
        <v>0</v>
      </c>
      <c r="R95" s="763">
        <f t="shared" ca="1" si="68"/>
        <v>0</v>
      </c>
      <c r="S95" s="763">
        <f t="shared" ca="1" si="68"/>
        <v>0</v>
      </c>
      <c r="T95" s="763">
        <f t="shared" ca="1" si="68"/>
        <v>0</v>
      </c>
      <c r="U95" s="763">
        <f t="shared" ca="1" si="68"/>
        <v>0</v>
      </c>
      <c r="V95" s="763">
        <f t="shared" ca="1" si="68"/>
        <v>0</v>
      </c>
      <c r="W95" s="763">
        <f t="shared" ca="1" si="68"/>
        <v>0</v>
      </c>
      <c r="X95" s="763">
        <f t="shared" ca="1" si="68"/>
        <v>0</v>
      </c>
      <c r="Y95" s="763">
        <f t="shared" ca="1" si="68"/>
        <v>0</v>
      </c>
      <c r="Z95" s="763">
        <f t="shared" ca="1" si="68"/>
        <v>0</v>
      </c>
      <c r="AA95" s="763">
        <f t="shared" ca="1" si="68"/>
        <v>0</v>
      </c>
      <c r="AB95" s="763">
        <f t="shared" ca="1" si="68"/>
        <v>0</v>
      </c>
      <c r="AC95" s="763">
        <f t="shared" ca="1" si="68"/>
        <v>0</v>
      </c>
      <c r="AD95" s="763">
        <f t="shared" ca="1" si="68"/>
        <v>0</v>
      </c>
      <c r="AE95" s="763">
        <f t="shared" ca="1" si="68"/>
        <v>0</v>
      </c>
      <c r="AF95" s="763">
        <f t="shared" ca="1" si="68"/>
        <v>0</v>
      </c>
      <c r="AG95" s="763">
        <f t="shared" ca="1" si="68"/>
        <v>0</v>
      </c>
      <c r="AH95" s="763">
        <f t="shared" ca="1" si="68"/>
        <v>0</v>
      </c>
      <c r="AI95" s="763">
        <f t="shared" ca="1" si="68"/>
        <v>0</v>
      </c>
      <c r="AJ95" s="763">
        <f t="shared" ca="1" si="68"/>
        <v>0</v>
      </c>
      <c r="AK95" s="763">
        <f t="shared" ca="1" si="68"/>
        <v>0</v>
      </c>
      <c r="AL95" s="763">
        <f t="shared" ca="1" si="68"/>
        <v>0</v>
      </c>
      <c r="AM95" s="763">
        <f t="shared" ca="1" si="68"/>
        <v>0</v>
      </c>
      <c r="AN95" s="763">
        <f t="shared" ca="1" si="68"/>
        <v>0</v>
      </c>
      <c r="AO95" s="763">
        <f t="shared" ca="1" si="68"/>
        <v>0</v>
      </c>
      <c r="AP95" s="763">
        <f t="shared" ca="1" si="68"/>
        <v>0</v>
      </c>
      <c r="AQ95" s="763">
        <f t="shared" ca="1" si="68"/>
        <v>0</v>
      </c>
      <c r="AR95" s="763">
        <f t="shared" ca="1" si="68"/>
        <v>0</v>
      </c>
      <c r="AS95" s="763">
        <f t="shared" ca="1" si="68"/>
        <v>0</v>
      </c>
      <c r="AT95" s="763">
        <f t="shared" ca="1" si="68"/>
        <v>0</v>
      </c>
      <c r="AU95" s="763">
        <f t="shared" ca="1" si="68"/>
        <v>0</v>
      </c>
      <c r="AV95" s="763">
        <f t="shared" ca="1" si="68"/>
        <v>0</v>
      </c>
      <c r="AW95" s="763">
        <f t="shared" ca="1" si="68"/>
        <v>0</v>
      </c>
      <c r="AX95" s="763">
        <f t="shared" ca="1" si="68"/>
        <v>0</v>
      </c>
      <c r="AY95" s="763">
        <f t="shared" ca="1" si="68"/>
        <v>0</v>
      </c>
      <c r="AZ95" s="763">
        <f t="shared" ca="1" si="68"/>
        <v>0</v>
      </c>
      <c r="BA95" s="763">
        <f t="shared" ca="1" si="68"/>
        <v>0</v>
      </c>
      <c r="BB95" s="763">
        <f t="shared" ca="1" si="68"/>
        <v>0</v>
      </c>
      <c r="BC95" s="763">
        <f t="shared" ca="1" si="68"/>
        <v>0</v>
      </c>
      <c r="BD95" s="763">
        <f t="shared" ca="1" si="68"/>
        <v>0</v>
      </c>
      <c r="BE95" s="763">
        <f t="shared" ca="1" si="68"/>
        <v>0</v>
      </c>
      <c r="BF95" s="763">
        <f t="shared" ca="1" si="68"/>
        <v>0</v>
      </c>
      <c r="BG95" s="763">
        <f t="shared" ca="1" si="68"/>
        <v>0</v>
      </c>
      <c r="BH95" s="763">
        <f t="shared" ca="1" si="68"/>
        <v>0</v>
      </c>
      <c r="BI95" s="763">
        <f t="shared" ca="1" si="68"/>
        <v>0</v>
      </c>
      <c r="BJ95" s="763">
        <f t="shared" ca="1" si="68"/>
        <v>0</v>
      </c>
      <c r="BK95" s="763">
        <f t="shared" ca="1" si="68"/>
        <v>0</v>
      </c>
      <c r="BL95" s="763">
        <f t="shared" ca="1" si="68"/>
        <v>0</v>
      </c>
    </row>
    <row r="96" spans="1:64">
      <c r="A96" s="781" t="s">
        <v>636</v>
      </c>
      <c r="B96" s="701">
        <f t="shared" ca="1" si="67"/>
        <v>8473607.439537907</v>
      </c>
      <c r="C96" s="699"/>
      <c r="D96" s="763">
        <f ca="1">D42</f>
        <v>0</v>
      </c>
      <c r="E96" s="763">
        <f t="shared" ref="E96:BL96" ca="1" si="69">E42</f>
        <v>0</v>
      </c>
      <c r="F96" s="763">
        <f t="shared" ca="1" si="69"/>
        <v>0</v>
      </c>
      <c r="G96" s="763">
        <f t="shared" ca="1" si="69"/>
        <v>0</v>
      </c>
      <c r="H96" s="763">
        <f t="shared" ca="1" si="69"/>
        <v>0</v>
      </c>
      <c r="I96" s="763">
        <f t="shared" ca="1" si="69"/>
        <v>0</v>
      </c>
      <c r="J96" s="763">
        <f t="shared" ca="1" si="69"/>
        <v>0</v>
      </c>
      <c r="K96" s="763">
        <f t="shared" ca="1" si="69"/>
        <v>0</v>
      </c>
      <c r="L96" s="763">
        <f t="shared" ca="1" si="69"/>
        <v>0</v>
      </c>
      <c r="M96" s="763">
        <f t="shared" ca="1" si="69"/>
        <v>0</v>
      </c>
      <c r="N96" s="763">
        <f t="shared" ca="1" si="69"/>
        <v>0</v>
      </c>
      <c r="O96" s="763">
        <f t="shared" ca="1" si="69"/>
        <v>0</v>
      </c>
      <c r="P96" s="763">
        <f t="shared" ca="1" si="69"/>
        <v>0</v>
      </c>
      <c r="Q96" s="763">
        <f t="shared" ca="1" si="69"/>
        <v>0</v>
      </c>
      <c r="R96" s="763">
        <f t="shared" ca="1" si="69"/>
        <v>121131.24883669559</v>
      </c>
      <c r="S96" s="763">
        <f t="shared" ca="1" si="69"/>
        <v>0</v>
      </c>
      <c r="T96" s="763">
        <f t="shared" ca="1" si="69"/>
        <v>0</v>
      </c>
      <c r="U96" s="763">
        <f t="shared" ca="1" si="69"/>
        <v>0</v>
      </c>
      <c r="V96" s="763">
        <f t="shared" ca="1" si="69"/>
        <v>0</v>
      </c>
      <c r="W96" s="763">
        <f t="shared" ca="1" si="69"/>
        <v>0</v>
      </c>
      <c r="X96" s="763">
        <f t="shared" ca="1" si="69"/>
        <v>0</v>
      </c>
      <c r="Y96" s="763">
        <f t="shared" ca="1" si="69"/>
        <v>0</v>
      </c>
      <c r="Z96" s="763">
        <f t="shared" ca="1" si="69"/>
        <v>0</v>
      </c>
      <c r="AA96" s="763">
        <f t="shared" ca="1" si="69"/>
        <v>0</v>
      </c>
      <c r="AB96" s="763">
        <f t="shared" ca="1" si="69"/>
        <v>0</v>
      </c>
      <c r="AC96" s="763">
        <f t="shared" ca="1" si="69"/>
        <v>6581.8485458189289</v>
      </c>
      <c r="AD96" s="763">
        <f t="shared" ca="1" si="69"/>
        <v>158153.13431453073</v>
      </c>
      <c r="AE96" s="763">
        <f t="shared" ca="1" si="69"/>
        <v>19232.151984635842</v>
      </c>
      <c r="AF96" s="763">
        <f t="shared" ca="1" si="69"/>
        <v>26236.378055617835</v>
      </c>
      <c r="AG96" s="763">
        <f t="shared" ca="1" si="69"/>
        <v>32977.676048372843</v>
      </c>
      <c r="AH96" s="763">
        <f t="shared" ca="1" si="69"/>
        <v>49377.051326278066</v>
      </c>
      <c r="AI96" s="763">
        <f t="shared" ca="1" si="69"/>
        <v>57491.127838549306</v>
      </c>
      <c r="AJ96" s="763">
        <f t="shared" ca="1" si="69"/>
        <v>62932.527792771223</v>
      </c>
      <c r="AK96" s="763">
        <f t="shared" ca="1" si="69"/>
        <v>45757.821472095864</v>
      </c>
      <c r="AL96" s="763">
        <f t="shared" ca="1" si="69"/>
        <v>46283.932511677958</v>
      </c>
      <c r="AM96" s="763">
        <f t="shared" ca="1" si="69"/>
        <v>46076.366088724542</v>
      </c>
      <c r="AN96" s="763">
        <f t="shared" ca="1" si="69"/>
        <v>53213.445319761318</v>
      </c>
      <c r="AO96" s="763">
        <f t="shared" ca="1" si="69"/>
        <v>52969.357464400011</v>
      </c>
      <c r="AP96" s="763">
        <f t="shared" ca="1" si="69"/>
        <v>55253.278999445713</v>
      </c>
      <c r="AQ96" s="763">
        <f t="shared" ca="1" si="69"/>
        <v>57723.369020490289</v>
      </c>
      <c r="AR96" s="763">
        <f t="shared" ca="1" si="69"/>
        <v>60477.417731257374</v>
      </c>
      <c r="AS96" s="763">
        <f t="shared" ca="1" si="69"/>
        <v>63829.1304948205</v>
      </c>
      <c r="AT96" s="763">
        <f t="shared" ca="1" si="69"/>
        <v>65956.686489780361</v>
      </c>
      <c r="AU96" s="763">
        <f t="shared" ca="1" si="69"/>
        <v>67517.165749212727</v>
      </c>
      <c r="AV96" s="763">
        <f t="shared" ca="1" si="69"/>
        <v>68943.378342520984</v>
      </c>
      <c r="AW96" s="763">
        <f t="shared" ca="1" si="69"/>
        <v>68304.202046174978</v>
      </c>
      <c r="AX96" s="763">
        <f t="shared" ca="1" si="69"/>
        <v>68079.814050761677</v>
      </c>
      <c r="AY96" s="763">
        <f t="shared" ca="1" si="69"/>
        <v>67204.222189171109</v>
      </c>
      <c r="AZ96" s="763">
        <f t="shared" ca="1" si="69"/>
        <v>7051904.7068099584</v>
      </c>
      <c r="BA96" s="763">
        <f t="shared" ca="1" si="69"/>
        <v>0</v>
      </c>
      <c r="BB96" s="763">
        <f t="shared" ca="1" si="69"/>
        <v>0</v>
      </c>
      <c r="BC96" s="763">
        <f t="shared" ca="1" si="69"/>
        <v>0</v>
      </c>
      <c r="BD96" s="763">
        <f t="shared" ca="1" si="69"/>
        <v>0</v>
      </c>
      <c r="BE96" s="763">
        <f t="shared" ca="1" si="69"/>
        <v>0</v>
      </c>
      <c r="BF96" s="763">
        <f t="shared" ca="1" si="69"/>
        <v>0</v>
      </c>
      <c r="BG96" s="763">
        <f t="shared" ca="1" si="69"/>
        <v>0</v>
      </c>
      <c r="BH96" s="763">
        <f t="shared" ca="1" si="69"/>
        <v>0</v>
      </c>
      <c r="BI96" s="763">
        <f t="shared" ca="1" si="69"/>
        <v>0</v>
      </c>
      <c r="BJ96" s="763">
        <f t="shared" ca="1" si="69"/>
        <v>0</v>
      </c>
      <c r="BK96" s="763">
        <f t="shared" ca="1" si="69"/>
        <v>0</v>
      </c>
      <c r="BL96" s="763">
        <f t="shared" ca="1" si="69"/>
        <v>0</v>
      </c>
    </row>
    <row r="97" spans="1:64">
      <c r="A97" s="781" t="s">
        <v>650</v>
      </c>
      <c r="B97" s="701">
        <f t="shared" ca="1" si="67"/>
        <v>2332723.4278357341</v>
      </c>
      <c r="C97" s="699"/>
      <c r="D97" s="763">
        <f t="shared" ref="D97:AI97" si="70">D59</f>
        <v>0</v>
      </c>
      <c r="E97" s="763">
        <f t="shared" ca="1" si="70"/>
        <v>0</v>
      </c>
      <c r="F97" s="763">
        <f t="shared" ca="1" si="70"/>
        <v>0</v>
      </c>
      <c r="G97" s="763">
        <f t="shared" ca="1" si="70"/>
        <v>0</v>
      </c>
      <c r="H97" s="763">
        <f t="shared" ca="1" si="70"/>
        <v>0</v>
      </c>
      <c r="I97" s="763">
        <f t="shared" ca="1" si="70"/>
        <v>0</v>
      </c>
      <c r="J97" s="763">
        <f t="shared" ca="1" si="70"/>
        <v>0</v>
      </c>
      <c r="K97" s="763">
        <f t="shared" ca="1" si="70"/>
        <v>0</v>
      </c>
      <c r="L97" s="763">
        <f t="shared" ca="1" si="70"/>
        <v>0</v>
      </c>
      <c r="M97" s="763">
        <f t="shared" ca="1" si="70"/>
        <v>0</v>
      </c>
      <c r="N97" s="763">
        <f t="shared" ca="1" si="70"/>
        <v>0</v>
      </c>
      <c r="O97" s="763">
        <f t="shared" ca="1" si="70"/>
        <v>0</v>
      </c>
      <c r="P97" s="763">
        <f t="shared" ca="1" si="70"/>
        <v>0</v>
      </c>
      <c r="Q97" s="763">
        <f t="shared" ca="1" si="70"/>
        <v>0</v>
      </c>
      <c r="R97" s="763">
        <f t="shared" ca="1" si="70"/>
        <v>-5.8998910037511419E-2</v>
      </c>
      <c r="S97" s="763">
        <f t="shared" ca="1" si="70"/>
        <v>0</v>
      </c>
      <c r="T97" s="763">
        <f t="shared" ca="1" si="70"/>
        <v>0</v>
      </c>
      <c r="U97" s="763">
        <f t="shared" ca="1" si="70"/>
        <v>0</v>
      </c>
      <c r="V97" s="763">
        <f t="shared" ca="1" si="70"/>
        <v>0</v>
      </c>
      <c r="W97" s="763">
        <f t="shared" ca="1" si="70"/>
        <v>0</v>
      </c>
      <c r="X97" s="763">
        <f t="shared" ca="1" si="70"/>
        <v>0</v>
      </c>
      <c r="Y97" s="763">
        <f t="shared" ca="1" si="70"/>
        <v>0</v>
      </c>
      <c r="Z97" s="763">
        <f t="shared" ca="1" si="70"/>
        <v>0</v>
      </c>
      <c r="AA97" s="763">
        <f t="shared" ca="1" si="70"/>
        <v>0</v>
      </c>
      <c r="AB97" s="763">
        <f t="shared" ca="1" si="70"/>
        <v>0</v>
      </c>
      <c r="AC97" s="763">
        <f t="shared" ca="1" si="70"/>
        <v>-8.3299357429292304E-3</v>
      </c>
      <c r="AD97" s="763">
        <f t="shared" ca="1" si="70"/>
        <v>-5.8998910059751164E-2</v>
      </c>
      <c r="AE97" s="763">
        <f t="shared" ca="1" si="70"/>
        <v>-2.4581763876686112E-2</v>
      </c>
      <c r="AF97" s="763">
        <f t="shared" ca="1" si="70"/>
        <v>-3.3408890600755844E-2</v>
      </c>
      <c r="AG97" s="763">
        <f t="shared" ca="1" si="70"/>
        <v>-4.1876264608813295E-2</v>
      </c>
      <c r="AH97" s="763">
        <f t="shared" ca="1" si="70"/>
        <v>-5.899891005419123E-2</v>
      </c>
      <c r="AI97" s="763">
        <f t="shared" ca="1" si="70"/>
        <v>-5.899891005419123E-2</v>
      </c>
      <c r="AJ97" s="763">
        <f t="shared" ref="AJ97:BL97" ca="1" si="71">AJ59</f>
        <v>-5.8998910059751164E-2</v>
      </c>
      <c r="AK97" s="763">
        <f t="shared" ca="1" si="71"/>
        <v>-5.8240277810496642E-2</v>
      </c>
      <c r="AL97" s="763">
        <f t="shared" ca="1" si="71"/>
        <v>-5.8905035461850164E-2</v>
      </c>
      <c r="AM97" s="763">
        <f t="shared" ca="1" si="71"/>
        <v>-5.8640267710272469E-2</v>
      </c>
      <c r="AN97" s="763">
        <f t="shared" ca="1" si="71"/>
        <v>-5.899891005419123E-2</v>
      </c>
      <c r="AO97" s="763">
        <f t="shared" ca="1" si="71"/>
        <v>-5.899891005419123E-2</v>
      </c>
      <c r="AP97" s="763">
        <f t="shared" ca="1" si="71"/>
        <v>-5.899891005419123E-2</v>
      </c>
      <c r="AQ97" s="763">
        <f t="shared" ca="1" si="71"/>
        <v>-5.899891005419123E-2</v>
      </c>
      <c r="AR97" s="763">
        <f t="shared" ca="1" si="71"/>
        <v>-5.8998910048631288E-2</v>
      </c>
      <c r="AS97" s="763">
        <f t="shared" ca="1" si="71"/>
        <v>-5.8998910048631288E-2</v>
      </c>
      <c r="AT97" s="763">
        <f t="shared" ca="1" si="71"/>
        <v>-5.8998910048631288E-2</v>
      </c>
      <c r="AU97" s="763">
        <f t="shared" ca="1" si="71"/>
        <v>-5.8998910059751164E-2</v>
      </c>
      <c r="AV97" s="763">
        <f t="shared" ca="1" si="71"/>
        <v>-5.8998910059751164E-2</v>
      </c>
      <c r="AW97" s="763">
        <f t="shared" ca="1" si="71"/>
        <v>-5.8998910059751164E-2</v>
      </c>
      <c r="AX97" s="763">
        <f t="shared" ca="1" si="71"/>
        <v>-5.8998910059751164E-2</v>
      </c>
      <c r="AY97" s="763">
        <f t="shared" ca="1" si="71"/>
        <v>-5.8998910059751164E-2</v>
      </c>
      <c r="AZ97" s="763">
        <f t="shared" ca="1" si="71"/>
        <v>2332724.7147963624</v>
      </c>
      <c r="BA97" s="763">
        <f t="shared" ca="1" si="71"/>
        <v>0</v>
      </c>
      <c r="BB97" s="763">
        <f t="shared" ca="1" si="71"/>
        <v>0</v>
      </c>
      <c r="BC97" s="763">
        <f t="shared" ca="1" si="71"/>
        <v>0</v>
      </c>
      <c r="BD97" s="763">
        <f t="shared" ca="1" si="71"/>
        <v>0</v>
      </c>
      <c r="BE97" s="763">
        <f t="shared" ca="1" si="71"/>
        <v>0</v>
      </c>
      <c r="BF97" s="763">
        <f t="shared" ca="1" si="71"/>
        <v>0</v>
      </c>
      <c r="BG97" s="763">
        <f t="shared" ca="1" si="71"/>
        <v>0</v>
      </c>
      <c r="BH97" s="763">
        <f t="shared" ca="1" si="71"/>
        <v>0</v>
      </c>
      <c r="BI97" s="763">
        <f t="shared" ca="1" si="71"/>
        <v>0</v>
      </c>
      <c r="BJ97" s="763">
        <f t="shared" ca="1" si="71"/>
        <v>0</v>
      </c>
      <c r="BK97" s="763">
        <f t="shared" ca="1" si="71"/>
        <v>0</v>
      </c>
      <c r="BL97" s="763">
        <f t="shared" ca="1" si="71"/>
        <v>0</v>
      </c>
    </row>
    <row r="98" spans="1:64">
      <c r="A98" s="781" t="s">
        <v>651</v>
      </c>
      <c r="B98" s="701">
        <f t="shared" ca="1" si="67"/>
        <v>1959072.0411642583</v>
      </c>
      <c r="C98" s="699"/>
      <c r="D98" s="763">
        <f>D79</f>
        <v>0</v>
      </c>
      <c r="E98" s="763">
        <f t="shared" ref="E98:BL98" ca="1" si="72">E79</f>
        <v>0</v>
      </c>
      <c r="F98" s="763">
        <f t="shared" ca="1" si="72"/>
        <v>0</v>
      </c>
      <c r="G98" s="763">
        <f t="shared" ca="1" si="72"/>
        <v>0</v>
      </c>
      <c r="H98" s="763">
        <f t="shared" ca="1" si="72"/>
        <v>0</v>
      </c>
      <c r="I98" s="763">
        <f t="shared" ca="1" si="72"/>
        <v>0</v>
      </c>
      <c r="J98" s="763">
        <f t="shared" ca="1" si="72"/>
        <v>0</v>
      </c>
      <c r="K98" s="763">
        <f t="shared" ca="1" si="72"/>
        <v>0</v>
      </c>
      <c r="L98" s="763">
        <f t="shared" ca="1" si="72"/>
        <v>0</v>
      </c>
      <c r="M98" s="763">
        <f t="shared" ca="1" si="72"/>
        <v>0</v>
      </c>
      <c r="N98" s="763">
        <f t="shared" ca="1" si="72"/>
        <v>0</v>
      </c>
      <c r="O98" s="763">
        <f t="shared" ca="1" si="72"/>
        <v>0</v>
      </c>
      <c r="P98" s="763">
        <f t="shared" ca="1" si="72"/>
        <v>0</v>
      </c>
      <c r="Q98" s="763">
        <f t="shared" ca="1" si="72"/>
        <v>0</v>
      </c>
      <c r="R98" s="763">
        <f t="shared" ca="1" si="72"/>
        <v>0</v>
      </c>
      <c r="S98" s="763">
        <f t="shared" ca="1" si="72"/>
        <v>0</v>
      </c>
      <c r="T98" s="763">
        <f t="shared" ca="1" si="72"/>
        <v>0</v>
      </c>
      <c r="U98" s="763">
        <f t="shared" ca="1" si="72"/>
        <v>0</v>
      </c>
      <c r="V98" s="763">
        <f t="shared" ca="1" si="72"/>
        <v>0</v>
      </c>
      <c r="W98" s="763">
        <f t="shared" ca="1" si="72"/>
        <v>0</v>
      </c>
      <c r="X98" s="763">
        <f t="shared" ca="1" si="72"/>
        <v>0</v>
      </c>
      <c r="Y98" s="763">
        <f t="shared" ca="1" si="72"/>
        <v>0</v>
      </c>
      <c r="Z98" s="763">
        <f t="shared" ca="1" si="72"/>
        <v>0</v>
      </c>
      <c r="AA98" s="763">
        <f t="shared" ca="1" si="72"/>
        <v>0</v>
      </c>
      <c r="AB98" s="763">
        <f t="shared" ca="1" si="72"/>
        <v>0</v>
      </c>
      <c r="AC98" s="763">
        <f t="shared" ca="1" si="72"/>
        <v>0</v>
      </c>
      <c r="AD98" s="763">
        <f t="shared" ca="1" si="72"/>
        <v>0</v>
      </c>
      <c r="AE98" s="763">
        <f t="shared" ca="1" si="72"/>
        <v>0</v>
      </c>
      <c r="AF98" s="763">
        <f t="shared" ca="1" si="72"/>
        <v>0</v>
      </c>
      <c r="AG98" s="763">
        <f t="shared" ca="1" si="72"/>
        <v>0</v>
      </c>
      <c r="AH98" s="763">
        <f t="shared" ca="1" si="72"/>
        <v>0</v>
      </c>
      <c r="AI98" s="763">
        <f t="shared" ca="1" si="72"/>
        <v>0</v>
      </c>
      <c r="AJ98" s="763">
        <f t="shared" ca="1" si="72"/>
        <v>0</v>
      </c>
      <c r="AK98" s="763">
        <f t="shared" ca="1" si="72"/>
        <v>0</v>
      </c>
      <c r="AL98" s="763">
        <f t="shared" ca="1" si="72"/>
        <v>0</v>
      </c>
      <c r="AM98" s="763">
        <f t="shared" ca="1" si="72"/>
        <v>0</v>
      </c>
      <c r="AN98" s="763">
        <f t="shared" ca="1" si="72"/>
        <v>0</v>
      </c>
      <c r="AO98" s="763">
        <f t="shared" ca="1" si="72"/>
        <v>0</v>
      </c>
      <c r="AP98" s="763">
        <f t="shared" ca="1" si="72"/>
        <v>0</v>
      </c>
      <c r="AQ98" s="763">
        <f t="shared" ca="1" si="72"/>
        <v>0</v>
      </c>
      <c r="AR98" s="763">
        <f t="shared" ca="1" si="72"/>
        <v>0</v>
      </c>
      <c r="AS98" s="763">
        <f t="shared" ca="1" si="72"/>
        <v>0</v>
      </c>
      <c r="AT98" s="763">
        <f t="shared" ca="1" si="72"/>
        <v>0</v>
      </c>
      <c r="AU98" s="763">
        <f t="shared" ca="1" si="72"/>
        <v>0</v>
      </c>
      <c r="AV98" s="763">
        <f t="shared" ca="1" si="72"/>
        <v>0</v>
      </c>
      <c r="AW98" s="763">
        <f t="shared" ca="1" si="72"/>
        <v>0</v>
      </c>
      <c r="AX98" s="763">
        <f t="shared" ca="1" si="72"/>
        <v>0</v>
      </c>
      <c r="AY98" s="763">
        <f t="shared" ca="1" si="72"/>
        <v>0</v>
      </c>
      <c r="AZ98" s="763">
        <f t="shared" ca="1" si="72"/>
        <v>1959072.041161644</v>
      </c>
      <c r="BA98" s="763">
        <f t="shared" ca="1" si="72"/>
        <v>0</v>
      </c>
      <c r="BB98" s="763">
        <f t="shared" ca="1" si="72"/>
        <v>0</v>
      </c>
      <c r="BC98" s="763">
        <f t="shared" ca="1" si="72"/>
        <v>0</v>
      </c>
      <c r="BD98" s="763">
        <f t="shared" ca="1" si="72"/>
        <v>0</v>
      </c>
      <c r="BE98" s="763">
        <f t="shared" ca="1" si="72"/>
        <v>0</v>
      </c>
      <c r="BF98" s="763">
        <f t="shared" ca="1" si="72"/>
        <v>0</v>
      </c>
      <c r="BG98" s="763">
        <f t="shared" ca="1" si="72"/>
        <v>0</v>
      </c>
      <c r="BH98" s="763">
        <f t="shared" ca="1" si="72"/>
        <v>0</v>
      </c>
      <c r="BI98" s="763">
        <f t="shared" ca="1" si="72"/>
        <v>0</v>
      </c>
      <c r="BJ98" s="763">
        <f t="shared" ca="1" si="72"/>
        <v>0</v>
      </c>
      <c r="BK98" s="763">
        <f t="shared" ca="1" si="72"/>
        <v>0</v>
      </c>
      <c r="BL98" s="763">
        <f t="shared" ca="1" si="72"/>
        <v>0</v>
      </c>
    </row>
    <row r="99" spans="1:64">
      <c r="A99" s="781" t="s">
        <v>652</v>
      </c>
      <c r="B99" s="701">
        <f t="shared" ca="1" si="67"/>
        <v>4034423.8750727093</v>
      </c>
      <c r="C99" s="699"/>
      <c r="D99" s="763">
        <f t="shared" ref="D99:BL99" ca="1" si="73">D89</f>
        <v>0</v>
      </c>
      <c r="E99" s="763">
        <f t="shared" ca="1" si="73"/>
        <v>0</v>
      </c>
      <c r="F99" s="763">
        <f t="shared" ca="1" si="73"/>
        <v>0</v>
      </c>
      <c r="G99" s="763">
        <f t="shared" ca="1" si="73"/>
        <v>0</v>
      </c>
      <c r="H99" s="763">
        <f t="shared" ca="1" si="73"/>
        <v>0</v>
      </c>
      <c r="I99" s="763">
        <f t="shared" ca="1" si="73"/>
        <v>0</v>
      </c>
      <c r="J99" s="763">
        <f t="shared" ca="1" si="73"/>
        <v>0</v>
      </c>
      <c r="K99" s="763">
        <f t="shared" ca="1" si="73"/>
        <v>0</v>
      </c>
      <c r="L99" s="763">
        <f t="shared" ca="1" si="73"/>
        <v>0</v>
      </c>
      <c r="M99" s="763">
        <f t="shared" ca="1" si="73"/>
        <v>0</v>
      </c>
      <c r="N99" s="763">
        <f t="shared" ca="1" si="73"/>
        <v>0</v>
      </c>
      <c r="O99" s="763">
        <f t="shared" ca="1" si="73"/>
        <v>0</v>
      </c>
      <c r="P99" s="763">
        <f t="shared" ca="1" si="73"/>
        <v>0</v>
      </c>
      <c r="Q99" s="763">
        <f t="shared" ca="1" si="73"/>
        <v>0</v>
      </c>
      <c r="R99" s="763">
        <f t="shared" ca="1" si="73"/>
        <v>0</v>
      </c>
      <c r="S99" s="763">
        <f t="shared" ca="1" si="73"/>
        <v>0</v>
      </c>
      <c r="T99" s="763">
        <f t="shared" ca="1" si="73"/>
        <v>0</v>
      </c>
      <c r="U99" s="763">
        <f t="shared" ca="1" si="73"/>
        <v>0</v>
      </c>
      <c r="V99" s="763">
        <f t="shared" ca="1" si="73"/>
        <v>0</v>
      </c>
      <c r="W99" s="763">
        <f t="shared" ca="1" si="73"/>
        <v>0</v>
      </c>
      <c r="X99" s="763">
        <f t="shared" ca="1" si="73"/>
        <v>0</v>
      </c>
      <c r="Y99" s="763">
        <f t="shared" ca="1" si="73"/>
        <v>0</v>
      </c>
      <c r="Z99" s="763">
        <f t="shared" ca="1" si="73"/>
        <v>0</v>
      </c>
      <c r="AA99" s="763">
        <f t="shared" ca="1" si="73"/>
        <v>0</v>
      </c>
      <c r="AB99" s="763">
        <f t="shared" ca="1" si="73"/>
        <v>0</v>
      </c>
      <c r="AC99" s="763">
        <f t="shared" ca="1" si="73"/>
        <v>0</v>
      </c>
      <c r="AD99" s="763">
        <f t="shared" ca="1" si="73"/>
        <v>0</v>
      </c>
      <c r="AE99" s="763">
        <f t="shared" ca="1" si="73"/>
        <v>0</v>
      </c>
      <c r="AF99" s="763">
        <f t="shared" ca="1" si="73"/>
        <v>0</v>
      </c>
      <c r="AG99" s="763">
        <f t="shared" ca="1" si="73"/>
        <v>0</v>
      </c>
      <c r="AH99" s="763">
        <f t="shared" ca="1" si="73"/>
        <v>0</v>
      </c>
      <c r="AI99" s="763">
        <f t="shared" ca="1" si="73"/>
        <v>0</v>
      </c>
      <c r="AJ99" s="763">
        <f t="shared" ca="1" si="73"/>
        <v>0</v>
      </c>
      <c r="AK99" s="763">
        <f t="shared" ca="1" si="73"/>
        <v>0</v>
      </c>
      <c r="AL99" s="763">
        <f t="shared" ca="1" si="73"/>
        <v>0</v>
      </c>
      <c r="AM99" s="763">
        <f t="shared" ca="1" si="73"/>
        <v>0</v>
      </c>
      <c r="AN99" s="763">
        <f t="shared" ca="1" si="73"/>
        <v>0</v>
      </c>
      <c r="AO99" s="763">
        <f t="shared" ca="1" si="73"/>
        <v>0</v>
      </c>
      <c r="AP99" s="763">
        <f t="shared" ca="1" si="73"/>
        <v>0</v>
      </c>
      <c r="AQ99" s="763">
        <f t="shared" ca="1" si="73"/>
        <v>0</v>
      </c>
      <c r="AR99" s="763">
        <f t="shared" ca="1" si="73"/>
        <v>0</v>
      </c>
      <c r="AS99" s="763">
        <f t="shared" ca="1" si="73"/>
        <v>0</v>
      </c>
      <c r="AT99" s="763">
        <f t="shared" ca="1" si="73"/>
        <v>0</v>
      </c>
      <c r="AU99" s="763">
        <f t="shared" ca="1" si="73"/>
        <v>0</v>
      </c>
      <c r="AV99" s="763">
        <f t="shared" ca="1" si="73"/>
        <v>0</v>
      </c>
      <c r="AW99" s="763">
        <f t="shared" ca="1" si="73"/>
        <v>0</v>
      </c>
      <c r="AX99" s="763">
        <f t="shared" ca="1" si="73"/>
        <v>0</v>
      </c>
      <c r="AY99" s="763">
        <f t="shared" ca="1" si="73"/>
        <v>0</v>
      </c>
      <c r="AZ99" s="763">
        <f t="shared" ca="1" si="73"/>
        <v>4034423.87507807</v>
      </c>
      <c r="BA99" s="763">
        <f t="shared" ca="1" si="73"/>
        <v>0</v>
      </c>
      <c r="BB99" s="763">
        <f t="shared" ca="1" si="73"/>
        <v>0</v>
      </c>
      <c r="BC99" s="763">
        <f t="shared" ca="1" si="73"/>
        <v>0</v>
      </c>
      <c r="BD99" s="763">
        <f t="shared" ca="1" si="73"/>
        <v>0</v>
      </c>
      <c r="BE99" s="763">
        <f t="shared" ca="1" si="73"/>
        <v>0</v>
      </c>
      <c r="BF99" s="763">
        <f t="shared" ca="1" si="73"/>
        <v>0</v>
      </c>
      <c r="BG99" s="763">
        <f t="shared" ca="1" si="73"/>
        <v>0</v>
      </c>
      <c r="BH99" s="763">
        <f t="shared" ca="1" si="73"/>
        <v>0</v>
      </c>
      <c r="BI99" s="763">
        <f t="shared" ca="1" si="73"/>
        <v>0</v>
      </c>
      <c r="BJ99" s="763">
        <f t="shared" ca="1" si="73"/>
        <v>0</v>
      </c>
      <c r="BK99" s="763">
        <f t="shared" ca="1" si="73"/>
        <v>0</v>
      </c>
      <c r="BL99" s="763">
        <f t="shared" ca="1" si="73"/>
        <v>0</v>
      </c>
    </row>
    <row r="100" spans="1:64">
      <c r="A100" s="782" t="s">
        <v>653</v>
      </c>
      <c r="B100" s="754">
        <f t="shared" ca="1" si="67"/>
        <v>10472861.08214131</v>
      </c>
      <c r="C100" s="701"/>
      <c r="D100" s="764">
        <f t="shared" ref="D100:BL100" ca="1" si="74">SUM(D95:D99)</f>
        <v>-5636325.4451417411</v>
      </c>
      <c r="E100" s="764">
        <f t="shared" ca="1" si="74"/>
        <v>-690640.25632770208</v>
      </c>
      <c r="F100" s="764">
        <f t="shared" ca="1" si="74"/>
        <v>1.7013065288734899E-8</v>
      </c>
      <c r="G100" s="764">
        <f t="shared" ca="1" si="74"/>
        <v>1.7013065288734899E-8</v>
      </c>
      <c r="H100" s="764">
        <f t="shared" ca="1" si="74"/>
        <v>1.7013065288734899E-8</v>
      </c>
      <c r="I100" s="764">
        <f t="shared" ca="1" si="74"/>
        <v>1.7013065288734899E-8</v>
      </c>
      <c r="J100" s="764">
        <f t="shared" ca="1" si="74"/>
        <v>1.7013065288734899E-8</v>
      </c>
      <c r="K100" s="764">
        <f t="shared" ca="1" si="74"/>
        <v>1.7013065288734899E-8</v>
      </c>
      <c r="L100" s="764">
        <f t="shared" ca="1" si="74"/>
        <v>1.7013065288734899E-8</v>
      </c>
      <c r="M100" s="764">
        <f t="shared" ca="1" si="74"/>
        <v>0</v>
      </c>
      <c r="N100" s="764">
        <f t="shared" ca="1" si="74"/>
        <v>0</v>
      </c>
      <c r="O100" s="764">
        <f t="shared" ca="1" si="74"/>
        <v>0</v>
      </c>
      <c r="P100" s="764">
        <f t="shared" ca="1" si="74"/>
        <v>0</v>
      </c>
      <c r="Q100" s="764">
        <f t="shared" ca="1" si="74"/>
        <v>0</v>
      </c>
      <c r="R100" s="764">
        <f t="shared" ca="1" si="74"/>
        <v>121131.18983778555</v>
      </c>
      <c r="S100" s="764">
        <f t="shared" ca="1" si="74"/>
        <v>0</v>
      </c>
      <c r="T100" s="764">
        <f t="shared" ca="1" si="74"/>
        <v>0</v>
      </c>
      <c r="U100" s="764">
        <f t="shared" ca="1" si="74"/>
        <v>0</v>
      </c>
      <c r="V100" s="764">
        <f t="shared" ca="1" si="74"/>
        <v>0</v>
      </c>
      <c r="W100" s="764">
        <f t="shared" ca="1" si="74"/>
        <v>0</v>
      </c>
      <c r="X100" s="764">
        <f t="shared" ca="1" si="74"/>
        <v>0</v>
      </c>
      <c r="Y100" s="764">
        <f t="shared" ca="1" si="74"/>
        <v>0</v>
      </c>
      <c r="Z100" s="764">
        <f t="shared" ca="1" si="74"/>
        <v>0</v>
      </c>
      <c r="AA100" s="764">
        <f t="shared" ca="1" si="74"/>
        <v>0</v>
      </c>
      <c r="AB100" s="764">
        <f t="shared" ca="1" si="74"/>
        <v>0</v>
      </c>
      <c r="AC100" s="764">
        <f t="shared" ca="1" si="74"/>
        <v>6581.8402158831859</v>
      </c>
      <c r="AD100" s="764">
        <f t="shared" ca="1" si="74"/>
        <v>158153.07531562066</v>
      </c>
      <c r="AE100" s="764">
        <f t="shared" ca="1" si="74"/>
        <v>19232.127402871967</v>
      </c>
      <c r="AF100" s="764">
        <f t="shared" ca="1" si="74"/>
        <v>26236.344646727233</v>
      </c>
      <c r="AG100" s="764">
        <f t="shared" ca="1" si="74"/>
        <v>32977.634172108235</v>
      </c>
      <c r="AH100" s="764">
        <f t="shared" ca="1" si="74"/>
        <v>49376.992327368011</v>
      </c>
      <c r="AI100" s="764">
        <f t="shared" ca="1" si="74"/>
        <v>57491.068839639251</v>
      </c>
      <c r="AJ100" s="764">
        <f t="shared" ca="1" si="74"/>
        <v>62932.468793861161</v>
      </c>
      <c r="AK100" s="764">
        <f t="shared" ca="1" si="74"/>
        <v>45757.763231818055</v>
      </c>
      <c r="AL100" s="764">
        <f t="shared" ca="1" si="74"/>
        <v>46283.873606642497</v>
      </c>
      <c r="AM100" s="764">
        <f t="shared" ca="1" si="74"/>
        <v>46076.307448456835</v>
      </c>
      <c r="AN100" s="764">
        <f t="shared" ca="1" si="74"/>
        <v>53213.386320851263</v>
      </c>
      <c r="AO100" s="764">
        <f t="shared" ca="1" si="74"/>
        <v>52969.298465489956</v>
      </c>
      <c r="AP100" s="764">
        <f t="shared" ca="1" si="74"/>
        <v>55253.220000535657</v>
      </c>
      <c r="AQ100" s="764">
        <f t="shared" ca="1" si="74"/>
        <v>57723.310021580233</v>
      </c>
      <c r="AR100" s="764">
        <f t="shared" ca="1" si="74"/>
        <v>60477.358732347326</v>
      </c>
      <c r="AS100" s="764">
        <f t="shared" ca="1" si="74"/>
        <v>63829.071495910452</v>
      </c>
      <c r="AT100" s="764">
        <f t="shared" ca="1" si="74"/>
        <v>65956.627490870305</v>
      </c>
      <c r="AU100" s="764">
        <f t="shared" ca="1" si="74"/>
        <v>67517.106750302672</v>
      </c>
      <c r="AV100" s="764">
        <f t="shared" ca="1" si="74"/>
        <v>68943.319343610929</v>
      </c>
      <c r="AW100" s="764">
        <f t="shared" ca="1" si="74"/>
        <v>68304.143047264923</v>
      </c>
      <c r="AX100" s="764">
        <f t="shared" ca="1" si="74"/>
        <v>68079.755051851622</v>
      </c>
      <c r="AY100" s="764">
        <f t="shared" ca="1" si="74"/>
        <v>67204.163190261053</v>
      </c>
      <c r="AZ100" s="764">
        <f t="shared" ca="1" si="74"/>
        <v>15378125.337846033</v>
      </c>
      <c r="BA100" s="764">
        <f t="shared" ca="1" si="74"/>
        <v>0</v>
      </c>
      <c r="BB100" s="764">
        <f t="shared" ca="1" si="74"/>
        <v>0</v>
      </c>
      <c r="BC100" s="764">
        <f t="shared" ca="1" si="74"/>
        <v>0</v>
      </c>
      <c r="BD100" s="764">
        <f t="shared" ca="1" si="74"/>
        <v>0</v>
      </c>
      <c r="BE100" s="764">
        <f t="shared" ca="1" si="74"/>
        <v>0</v>
      </c>
      <c r="BF100" s="764">
        <f t="shared" ca="1" si="74"/>
        <v>0</v>
      </c>
      <c r="BG100" s="764">
        <f t="shared" ca="1" si="74"/>
        <v>0</v>
      </c>
      <c r="BH100" s="764">
        <f t="shared" ca="1" si="74"/>
        <v>0</v>
      </c>
      <c r="BI100" s="764">
        <f t="shared" ca="1" si="74"/>
        <v>0</v>
      </c>
      <c r="BJ100" s="764">
        <f t="shared" ca="1" si="74"/>
        <v>0</v>
      </c>
      <c r="BK100" s="764">
        <f t="shared" ca="1" si="74"/>
        <v>0</v>
      </c>
      <c r="BL100" s="764">
        <f t="shared" ca="1" si="74"/>
        <v>0</v>
      </c>
    </row>
    <row r="101" spans="1:64">
      <c r="A101" s="783">
        <f ca="1">(1+IRR(D100:BL100,0.01))^12-1</f>
        <v>0.28644601944716142</v>
      </c>
      <c r="B101" s="701"/>
      <c r="C101" s="701"/>
      <c r="D101" s="762"/>
      <c r="E101" s="762"/>
      <c r="F101" s="762"/>
      <c r="G101" s="762"/>
      <c r="H101" s="762"/>
      <c r="I101" s="762"/>
    </row>
    <row r="102" spans="1:64">
      <c r="A102" s="784">
        <f ca="1">SUM(D100:BL100)</f>
        <v>10472861.082126368</v>
      </c>
      <c r="B102" s="701"/>
      <c r="C102" s="701"/>
      <c r="D102" s="762"/>
      <c r="E102" s="762"/>
      <c r="F102" s="762"/>
      <c r="G102" s="762"/>
      <c r="H102" s="762"/>
      <c r="I102" s="762"/>
    </row>
    <row r="103" spans="1:64">
      <c r="A103" s="785">
        <f ca="1">SUM(I100:BL100)/-SUM(D100:H100)</f>
        <v>2.6552738826597588</v>
      </c>
      <c r="B103" s="701"/>
      <c r="C103" s="701"/>
      <c r="D103" s="762"/>
      <c r="E103" s="762"/>
      <c r="F103" s="762"/>
      <c r="G103" s="762"/>
      <c r="H103" s="762"/>
      <c r="I103" s="762"/>
    </row>
    <row r="104" spans="1:64">
      <c r="A104" s="786"/>
      <c r="B104" s="701"/>
      <c r="C104" s="701"/>
      <c r="D104" s="762"/>
      <c r="E104" s="762"/>
      <c r="F104" s="762"/>
      <c r="G104" s="762"/>
      <c r="H104" s="762"/>
      <c r="I104" s="762"/>
    </row>
    <row r="105" spans="1:64">
      <c r="A105" s="765"/>
      <c r="B105" s="701"/>
      <c r="C105" s="701"/>
      <c r="D105" s="762"/>
      <c r="E105" s="762"/>
      <c r="F105" s="762"/>
      <c r="G105" s="762"/>
      <c r="H105" s="762"/>
      <c r="I105" s="762"/>
    </row>
    <row r="106" spans="1:64">
      <c r="A106" s="759" t="s">
        <v>679</v>
      </c>
      <c r="B106" s="766"/>
      <c r="C106" s="766"/>
      <c r="D106" s="760"/>
      <c r="E106" s="760"/>
      <c r="F106" s="760"/>
      <c r="G106" s="760"/>
      <c r="H106" s="760"/>
      <c r="I106" s="760"/>
      <c r="J106" s="760"/>
      <c r="K106" s="760"/>
      <c r="L106" s="760"/>
      <c r="M106" s="760"/>
      <c r="N106" s="760"/>
      <c r="O106" s="760"/>
      <c r="P106" s="760"/>
      <c r="Q106" s="760"/>
      <c r="R106" s="760"/>
      <c r="S106" s="760"/>
      <c r="T106" s="760"/>
      <c r="U106" s="760"/>
      <c r="V106" s="760"/>
      <c r="W106" s="760"/>
      <c r="X106" s="760"/>
      <c r="Y106" s="760"/>
      <c r="Z106" s="760"/>
      <c r="AA106" s="760"/>
      <c r="AB106" s="760"/>
      <c r="AC106" s="760"/>
      <c r="AD106" s="760"/>
      <c r="AE106" s="760"/>
      <c r="AF106" s="760"/>
      <c r="AG106" s="760"/>
      <c r="AH106" s="760"/>
      <c r="AI106" s="760"/>
      <c r="AJ106" s="760"/>
      <c r="AK106" s="760"/>
      <c r="AL106" s="760"/>
      <c r="AM106" s="760"/>
      <c r="AN106" s="760"/>
      <c r="AO106" s="760"/>
      <c r="AP106" s="760"/>
      <c r="AQ106" s="760"/>
      <c r="AR106" s="760"/>
      <c r="AS106" s="760"/>
      <c r="AT106" s="760"/>
      <c r="AU106" s="760"/>
      <c r="AV106" s="760"/>
      <c r="AW106" s="760"/>
      <c r="AX106" s="760"/>
      <c r="AY106" s="760"/>
      <c r="AZ106" s="760"/>
      <c r="BA106" s="760"/>
      <c r="BB106" s="760"/>
      <c r="BC106" s="760"/>
      <c r="BD106" s="760"/>
      <c r="BE106" s="760"/>
      <c r="BF106" s="760"/>
      <c r="BG106" s="760"/>
      <c r="BH106" s="760"/>
      <c r="BI106" s="760"/>
      <c r="BJ106" s="760"/>
      <c r="BK106" s="760"/>
      <c r="BL106" s="760"/>
    </row>
    <row r="107" spans="1:64">
      <c r="A107" s="781" t="s">
        <v>645</v>
      </c>
      <c r="B107" s="701">
        <f t="shared" ref="B107:B120" ca="1" si="75">SUM(D107:BL107)</f>
        <v>-599999.99999998452</v>
      </c>
      <c r="C107" s="701"/>
      <c r="D107" s="763">
        <f ca="1">D26</f>
        <v>-534505.07346667291</v>
      </c>
      <c r="E107" s="763">
        <f t="shared" ref="E107:BL107" ca="1" si="76">E26</f>
        <v>-65494.926533327045</v>
      </c>
      <c r="F107" s="763">
        <f t="shared" ca="1" si="76"/>
        <v>1.6133862035746707E-9</v>
      </c>
      <c r="G107" s="763">
        <f t="shared" ca="1" si="76"/>
        <v>1.6133862035746707E-9</v>
      </c>
      <c r="H107" s="763">
        <f t="shared" ca="1" si="76"/>
        <v>1.6133862035746707E-9</v>
      </c>
      <c r="I107" s="763">
        <f t="shared" ca="1" si="76"/>
        <v>1.6133862035746707E-9</v>
      </c>
      <c r="J107" s="763">
        <f t="shared" ca="1" si="76"/>
        <v>1.6133862035746707E-9</v>
      </c>
      <c r="K107" s="763">
        <f t="shared" ca="1" si="76"/>
        <v>1.6133862035746707E-9</v>
      </c>
      <c r="L107" s="763">
        <f t="shared" ca="1" si="76"/>
        <v>1.6133862035746707E-9</v>
      </c>
      <c r="M107" s="763">
        <f t="shared" ca="1" si="76"/>
        <v>0</v>
      </c>
      <c r="N107" s="763">
        <f t="shared" ca="1" si="76"/>
        <v>0</v>
      </c>
      <c r="O107" s="763">
        <f t="shared" ca="1" si="76"/>
        <v>0</v>
      </c>
      <c r="P107" s="763">
        <f t="shared" ca="1" si="76"/>
        <v>0</v>
      </c>
      <c r="Q107" s="763">
        <f t="shared" ca="1" si="76"/>
        <v>0</v>
      </c>
      <c r="R107" s="763">
        <f t="shared" ca="1" si="76"/>
        <v>0</v>
      </c>
      <c r="S107" s="763">
        <f t="shared" ca="1" si="76"/>
        <v>0</v>
      </c>
      <c r="T107" s="763">
        <f t="shared" ca="1" si="76"/>
        <v>0</v>
      </c>
      <c r="U107" s="763">
        <f t="shared" ca="1" si="76"/>
        <v>0</v>
      </c>
      <c r="V107" s="763">
        <f t="shared" ca="1" si="76"/>
        <v>0</v>
      </c>
      <c r="W107" s="763">
        <f t="shared" ca="1" si="76"/>
        <v>0</v>
      </c>
      <c r="X107" s="763">
        <f t="shared" ca="1" si="76"/>
        <v>0</v>
      </c>
      <c r="Y107" s="763">
        <f t="shared" ca="1" si="76"/>
        <v>0</v>
      </c>
      <c r="Z107" s="763">
        <f t="shared" ca="1" si="76"/>
        <v>0</v>
      </c>
      <c r="AA107" s="763">
        <f t="shared" ca="1" si="76"/>
        <v>0</v>
      </c>
      <c r="AB107" s="763">
        <f t="shared" ca="1" si="76"/>
        <v>0</v>
      </c>
      <c r="AC107" s="763">
        <f t="shared" ca="1" si="76"/>
        <v>0</v>
      </c>
      <c r="AD107" s="763">
        <f t="shared" ca="1" si="76"/>
        <v>0</v>
      </c>
      <c r="AE107" s="763">
        <f t="shared" ca="1" si="76"/>
        <v>0</v>
      </c>
      <c r="AF107" s="763">
        <f t="shared" ca="1" si="76"/>
        <v>0</v>
      </c>
      <c r="AG107" s="763">
        <f t="shared" ca="1" si="76"/>
        <v>0</v>
      </c>
      <c r="AH107" s="763">
        <f t="shared" ca="1" si="76"/>
        <v>0</v>
      </c>
      <c r="AI107" s="763">
        <f t="shared" ca="1" si="76"/>
        <v>0</v>
      </c>
      <c r="AJ107" s="763">
        <f t="shared" ca="1" si="76"/>
        <v>0</v>
      </c>
      <c r="AK107" s="763">
        <f t="shared" ca="1" si="76"/>
        <v>0</v>
      </c>
      <c r="AL107" s="763">
        <f t="shared" ca="1" si="76"/>
        <v>0</v>
      </c>
      <c r="AM107" s="763">
        <f t="shared" ca="1" si="76"/>
        <v>0</v>
      </c>
      <c r="AN107" s="763">
        <f t="shared" ca="1" si="76"/>
        <v>0</v>
      </c>
      <c r="AO107" s="763">
        <f t="shared" ca="1" si="76"/>
        <v>0</v>
      </c>
      <c r="AP107" s="763">
        <f t="shared" ca="1" si="76"/>
        <v>0</v>
      </c>
      <c r="AQ107" s="763">
        <f t="shared" ca="1" si="76"/>
        <v>0</v>
      </c>
      <c r="AR107" s="763">
        <f t="shared" ca="1" si="76"/>
        <v>0</v>
      </c>
      <c r="AS107" s="763">
        <f t="shared" ca="1" si="76"/>
        <v>0</v>
      </c>
      <c r="AT107" s="763">
        <f t="shared" ca="1" si="76"/>
        <v>0</v>
      </c>
      <c r="AU107" s="763">
        <f t="shared" ca="1" si="76"/>
        <v>0</v>
      </c>
      <c r="AV107" s="763">
        <f t="shared" ca="1" si="76"/>
        <v>0</v>
      </c>
      <c r="AW107" s="763">
        <f t="shared" ca="1" si="76"/>
        <v>0</v>
      </c>
      <c r="AX107" s="763">
        <f t="shared" ca="1" si="76"/>
        <v>0</v>
      </c>
      <c r="AY107" s="763">
        <f t="shared" ca="1" si="76"/>
        <v>0</v>
      </c>
      <c r="AZ107" s="763">
        <f t="shared" ca="1" si="76"/>
        <v>0</v>
      </c>
      <c r="BA107" s="763">
        <f t="shared" ca="1" si="76"/>
        <v>0</v>
      </c>
      <c r="BB107" s="763">
        <f t="shared" ca="1" si="76"/>
        <v>0</v>
      </c>
      <c r="BC107" s="763">
        <f t="shared" ca="1" si="76"/>
        <v>0</v>
      </c>
      <c r="BD107" s="763">
        <f t="shared" ca="1" si="76"/>
        <v>0</v>
      </c>
      <c r="BE107" s="763">
        <f t="shared" ca="1" si="76"/>
        <v>0</v>
      </c>
      <c r="BF107" s="763">
        <f t="shared" ca="1" si="76"/>
        <v>0</v>
      </c>
      <c r="BG107" s="763">
        <f t="shared" ca="1" si="76"/>
        <v>0</v>
      </c>
      <c r="BH107" s="763">
        <f t="shared" ca="1" si="76"/>
        <v>0</v>
      </c>
      <c r="BI107" s="763">
        <f t="shared" ca="1" si="76"/>
        <v>0</v>
      </c>
      <c r="BJ107" s="763">
        <f t="shared" ca="1" si="76"/>
        <v>0</v>
      </c>
      <c r="BK107" s="763">
        <f t="shared" ca="1" si="76"/>
        <v>0</v>
      </c>
      <c r="BL107" s="763">
        <f t="shared" ca="1" si="76"/>
        <v>0</v>
      </c>
    </row>
    <row r="108" spans="1:64">
      <c r="A108" s="781" t="s">
        <v>387</v>
      </c>
      <c r="B108" s="701">
        <f t="shared" si="75"/>
        <v>0</v>
      </c>
      <c r="C108" s="701"/>
      <c r="D108" s="763">
        <f>-'Monthly PF Cash Flow'!G99</f>
        <v>0</v>
      </c>
      <c r="E108" s="763">
        <f>-'Monthly PF Cash Flow'!H99</f>
        <v>0</v>
      </c>
      <c r="F108" s="763">
        <f>-'Monthly PF Cash Flow'!I99</f>
        <v>0</v>
      </c>
      <c r="G108" s="763">
        <f>-'Monthly PF Cash Flow'!J99</f>
        <v>0</v>
      </c>
      <c r="H108" s="763">
        <f>-'Monthly PF Cash Flow'!K99</f>
        <v>0</v>
      </c>
      <c r="I108" s="763">
        <f>-'Monthly PF Cash Flow'!L99</f>
        <v>0</v>
      </c>
      <c r="J108" s="763">
        <f>-'Monthly PF Cash Flow'!M99</f>
        <v>0</v>
      </c>
      <c r="K108" s="763">
        <f>-'Monthly PF Cash Flow'!N99</f>
        <v>0</v>
      </c>
      <c r="L108" s="763">
        <f>-'Monthly PF Cash Flow'!O99</f>
        <v>0</v>
      </c>
      <c r="M108" s="763">
        <f>-'Monthly PF Cash Flow'!P99</f>
        <v>0</v>
      </c>
      <c r="N108" s="763">
        <f>-'Monthly PF Cash Flow'!Q99</f>
        <v>0</v>
      </c>
      <c r="O108" s="763">
        <f>-'Monthly PF Cash Flow'!R99</f>
        <v>0</v>
      </c>
      <c r="P108" s="763">
        <f>-'Monthly PF Cash Flow'!S99</f>
        <v>0</v>
      </c>
      <c r="Q108" s="763">
        <f>-'Monthly PF Cash Flow'!T99</f>
        <v>0</v>
      </c>
      <c r="R108" s="763">
        <f>-'Monthly PF Cash Flow'!U99</f>
        <v>0</v>
      </c>
      <c r="S108" s="763">
        <f>-'Monthly PF Cash Flow'!V99</f>
        <v>0</v>
      </c>
      <c r="T108" s="763">
        <f>-'Monthly PF Cash Flow'!W99</f>
        <v>0</v>
      </c>
      <c r="U108" s="763">
        <f>-'Monthly PF Cash Flow'!X99</f>
        <v>0</v>
      </c>
      <c r="V108" s="763">
        <f>-'Monthly PF Cash Flow'!Y99</f>
        <v>0</v>
      </c>
      <c r="W108" s="763">
        <f>-'Monthly PF Cash Flow'!Z99</f>
        <v>0</v>
      </c>
      <c r="X108" s="763">
        <f>-'Monthly PF Cash Flow'!AA99</f>
        <v>0</v>
      </c>
      <c r="Y108" s="763">
        <f>-'Monthly PF Cash Flow'!AB99</f>
        <v>0</v>
      </c>
      <c r="Z108" s="763">
        <f>-'Monthly PF Cash Flow'!AC99</f>
        <v>0</v>
      </c>
      <c r="AA108" s="763">
        <f>-'Monthly PF Cash Flow'!AD99</f>
        <v>0</v>
      </c>
      <c r="AB108" s="763">
        <f>-'Monthly PF Cash Flow'!AE99</f>
        <v>0</v>
      </c>
      <c r="AC108" s="763">
        <f>-'Monthly PF Cash Flow'!AF99</f>
        <v>0</v>
      </c>
      <c r="AD108" s="763">
        <f>-'Monthly PF Cash Flow'!AG99</f>
        <v>0</v>
      </c>
      <c r="AE108" s="763">
        <f>-'Monthly PF Cash Flow'!AH99</f>
        <v>0</v>
      </c>
      <c r="AF108" s="763">
        <f>-'Monthly PF Cash Flow'!AI99</f>
        <v>0</v>
      </c>
      <c r="AG108" s="763">
        <f>-'Monthly PF Cash Flow'!AJ99</f>
        <v>0</v>
      </c>
      <c r="AH108" s="763">
        <f>-'Monthly PF Cash Flow'!AK99</f>
        <v>0</v>
      </c>
      <c r="AI108" s="763">
        <f>-'Monthly PF Cash Flow'!AL99</f>
        <v>0</v>
      </c>
      <c r="AJ108" s="763">
        <f>-'Monthly PF Cash Flow'!AM99</f>
        <v>0</v>
      </c>
      <c r="AK108" s="763">
        <f>-'Monthly PF Cash Flow'!AN99</f>
        <v>0</v>
      </c>
      <c r="AL108" s="763">
        <f>-'Monthly PF Cash Flow'!AO99</f>
        <v>0</v>
      </c>
      <c r="AM108" s="763">
        <f>-'Monthly PF Cash Flow'!AP99</f>
        <v>0</v>
      </c>
      <c r="AN108" s="763">
        <f>-'Monthly PF Cash Flow'!AQ99</f>
        <v>0</v>
      </c>
      <c r="AO108" s="763">
        <f>-'Monthly PF Cash Flow'!AR99</f>
        <v>0</v>
      </c>
      <c r="AP108" s="763">
        <f>-'Monthly PF Cash Flow'!AS99</f>
        <v>0</v>
      </c>
      <c r="AQ108" s="763">
        <f>-'Monthly PF Cash Flow'!AT99</f>
        <v>0</v>
      </c>
      <c r="AR108" s="763">
        <f>-'Monthly PF Cash Flow'!AU99</f>
        <v>0</v>
      </c>
      <c r="AS108" s="763">
        <f>-'Monthly PF Cash Flow'!AV99</f>
        <v>0</v>
      </c>
      <c r="AT108" s="763">
        <f>-'Monthly PF Cash Flow'!AW99</f>
        <v>0</v>
      </c>
      <c r="AU108" s="763">
        <f>-'Monthly PF Cash Flow'!AX99</f>
        <v>0</v>
      </c>
      <c r="AV108" s="763">
        <f>-'Monthly PF Cash Flow'!AY99</f>
        <v>0</v>
      </c>
      <c r="AW108" s="763">
        <f>-'Monthly PF Cash Flow'!AZ99</f>
        <v>0</v>
      </c>
      <c r="AX108" s="763">
        <f>-'Monthly PF Cash Flow'!BA99</f>
        <v>0</v>
      </c>
      <c r="AY108" s="763">
        <f>-'Monthly PF Cash Flow'!BB99</f>
        <v>0</v>
      </c>
      <c r="AZ108" s="763">
        <f>-'Monthly PF Cash Flow'!BC99</f>
        <v>0</v>
      </c>
      <c r="BA108" s="763">
        <f>-'Monthly PF Cash Flow'!BD99</f>
        <v>0</v>
      </c>
      <c r="BB108" s="763">
        <f>-'Monthly PF Cash Flow'!BE99</f>
        <v>0</v>
      </c>
      <c r="BC108" s="763">
        <f>-'Monthly PF Cash Flow'!BF99</f>
        <v>0</v>
      </c>
      <c r="BD108" s="763">
        <f>-'Monthly PF Cash Flow'!BG99</f>
        <v>0</v>
      </c>
      <c r="BE108" s="763">
        <f>-'Monthly PF Cash Flow'!BH99</f>
        <v>0</v>
      </c>
      <c r="BF108" s="763">
        <f>-'Monthly PF Cash Flow'!BI99</f>
        <v>0</v>
      </c>
      <c r="BG108" s="763">
        <f>-'Monthly PF Cash Flow'!BJ99</f>
        <v>0</v>
      </c>
      <c r="BH108" s="763">
        <f>-'Monthly PF Cash Flow'!BK99</f>
        <v>0</v>
      </c>
      <c r="BI108" s="763">
        <f>-'Monthly PF Cash Flow'!BL99</f>
        <v>0</v>
      </c>
      <c r="BJ108" s="763">
        <f>-'Monthly PF Cash Flow'!BM99</f>
        <v>0</v>
      </c>
      <c r="BK108" s="763">
        <f>-'Monthly PF Cash Flow'!BN99</f>
        <v>0</v>
      </c>
      <c r="BL108" s="763">
        <f>-'Monthly PF Cash Flow'!BO99</f>
        <v>0</v>
      </c>
    </row>
    <row r="109" spans="1:64">
      <c r="A109" s="781" t="s">
        <v>701</v>
      </c>
      <c r="B109" s="701">
        <f t="shared" si="75"/>
        <v>728000</v>
      </c>
      <c r="C109" s="701"/>
      <c r="D109" s="763">
        <v>0</v>
      </c>
      <c r="E109" s="763">
        <f>'Sources &amp; Uses'!D28</f>
        <v>728000</v>
      </c>
      <c r="F109" s="763">
        <v>0</v>
      </c>
      <c r="G109" s="763">
        <v>0</v>
      </c>
      <c r="H109" s="763">
        <v>0</v>
      </c>
      <c r="I109" s="763">
        <v>0</v>
      </c>
      <c r="J109" s="763">
        <v>0</v>
      </c>
      <c r="K109" s="763">
        <v>0</v>
      </c>
      <c r="L109" s="763">
        <v>0</v>
      </c>
      <c r="M109" s="763">
        <v>0</v>
      </c>
      <c r="N109" s="763">
        <v>0</v>
      </c>
      <c r="O109" s="763">
        <v>0</v>
      </c>
      <c r="P109" s="763">
        <v>0</v>
      </c>
      <c r="Q109" s="763">
        <v>0</v>
      </c>
      <c r="R109" s="763">
        <v>0</v>
      </c>
      <c r="S109" s="763">
        <v>0</v>
      </c>
      <c r="T109" s="763">
        <v>0</v>
      </c>
      <c r="U109" s="763">
        <v>0</v>
      </c>
      <c r="V109" s="763">
        <v>0</v>
      </c>
      <c r="W109" s="763">
        <v>0</v>
      </c>
      <c r="X109" s="763">
        <v>0</v>
      </c>
      <c r="Y109" s="763">
        <v>0</v>
      </c>
      <c r="Z109" s="763">
        <v>0</v>
      </c>
      <c r="AA109" s="763">
        <v>0</v>
      </c>
      <c r="AB109" s="763">
        <v>0</v>
      </c>
      <c r="AC109" s="763">
        <v>0</v>
      </c>
      <c r="AD109" s="763">
        <v>0</v>
      </c>
      <c r="AE109" s="763">
        <v>0</v>
      </c>
      <c r="AF109" s="763">
        <v>0</v>
      </c>
      <c r="AG109" s="763">
        <v>0</v>
      </c>
      <c r="AH109" s="763">
        <v>0</v>
      </c>
      <c r="AI109" s="763">
        <v>0</v>
      </c>
      <c r="AJ109" s="763">
        <v>0</v>
      </c>
      <c r="AK109" s="763">
        <v>0</v>
      </c>
      <c r="AL109" s="763">
        <v>0</v>
      </c>
      <c r="AM109" s="763">
        <v>0</v>
      </c>
      <c r="AN109" s="763">
        <v>0</v>
      </c>
      <c r="AO109" s="763">
        <v>0</v>
      </c>
      <c r="AP109" s="763">
        <v>0</v>
      </c>
      <c r="AQ109" s="763">
        <v>0</v>
      </c>
      <c r="AR109" s="763">
        <v>0</v>
      </c>
      <c r="AS109" s="763">
        <v>0</v>
      </c>
      <c r="AT109" s="763">
        <v>0</v>
      </c>
      <c r="AU109" s="763">
        <v>0</v>
      </c>
      <c r="AV109" s="763">
        <v>0</v>
      </c>
      <c r="AW109" s="763">
        <v>0</v>
      </c>
      <c r="AX109" s="763">
        <v>0</v>
      </c>
      <c r="AY109" s="763">
        <v>0</v>
      </c>
      <c r="AZ109" s="763">
        <v>0</v>
      </c>
      <c r="BA109" s="763">
        <v>0</v>
      </c>
      <c r="BB109" s="763">
        <v>0</v>
      </c>
      <c r="BC109" s="763">
        <v>0</v>
      </c>
      <c r="BD109" s="763">
        <v>0</v>
      </c>
      <c r="BE109" s="763">
        <v>0</v>
      </c>
      <c r="BF109" s="763">
        <v>0</v>
      </c>
      <c r="BG109" s="763">
        <v>0</v>
      </c>
      <c r="BH109" s="763">
        <v>0</v>
      </c>
      <c r="BI109" s="763">
        <v>0</v>
      </c>
      <c r="BJ109" s="763">
        <v>0</v>
      </c>
      <c r="BK109" s="763">
        <v>0</v>
      </c>
      <c r="BL109" s="763">
        <v>0</v>
      </c>
    </row>
    <row r="110" spans="1:64">
      <c r="A110" s="781" t="s">
        <v>688</v>
      </c>
      <c r="B110" s="701">
        <f t="shared" si="75"/>
        <v>2400000</v>
      </c>
      <c r="C110" s="701"/>
      <c r="D110" s="763">
        <f>D48+D67</f>
        <v>0</v>
      </c>
      <c r="E110" s="763">
        <f t="shared" ref="E110:BL110" si="77">E48+E67</f>
        <v>0</v>
      </c>
      <c r="F110" s="763">
        <f t="shared" si="77"/>
        <v>0</v>
      </c>
      <c r="G110" s="763">
        <f t="shared" si="77"/>
        <v>0</v>
      </c>
      <c r="H110" s="763">
        <f t="shared" si="77"/>
        <v>0</v>
      </c>
      <c r="I110" s="763">
        <f t="shared" si="77"/>
        <v>0</v>
      </c>
      <c r="J110" s="763">
        <f t="shared" si="77"/>
        <v>0</v>
      </c>
      <c r="K110" s="763">
        <f t="shared" si="77"/>
        <v>0</v>
      </c>
      <c r="L110" s="763">
        <f t="shared" si="77"/>
        <v>0</v>
      </c>
      <c r="M110" s="763">
        <f t="shared" si="77"/>
        <v>0</v>
      </c>
      <c r="N110" s="763">
        <f t="shared" si="77"/>
        <v>0</v>
      </c>
      <c r="O110" s="763">
        <f t="shared" si="77"/>
        <v>0</v>
      </c>
      <c r="P110" s="763">
        <f t="shared" si="77"/>
        <v>0</v>
      </c>
      <c r="Q110" s="763">
        <f t="shared" si="77"/>
        <v>0</v>
      </c>
      <c r="R110" s="763">
        <f t="shared" si="77"/>
        <v>0</v>
      </c>
      <c r="S110" s="763">
        <f t="shared" si="77"/>
        <v>0</v>
      </c>
      <c r="T110" s="763">
        <f t="shared" si="77"/>
        <v>0</v>
      </c>
      <c r="U110" s="763">
        <f t="shared" si="77"/>
        <v>0</v>
      </c>
      <c r="V110" s="763">
        <f t="shared" si="77"/>
        <v>0</v>
      </c>
      <c r="W110" s="763">
        <f t="shared" si="77"/>
        <v>0</v>
      </c>
      <c r="X110" s="763">
        <f t="shared" si="77"/>
        <v>0</v>
      </c>
      <c r="Y110" s="763">
        <f t="shared" si="77"/>
        <v>0</v>
      </c>
      <c r="Z110" s="763">
        <f t="shared" si="77"/>
        <v>0</v>
      </c>
      <c r="AA110" s="763">
        <f t="shared" si="77"/>
        <v>0</v>
      </c>
      <c r="AB110" s="763">
        <f t="shared" si="77"/>
        <v>0</v>
      </c>
      <c r="AC110" s="763">
        <f t="shared" si="77"/>
        <v>0</v>
      </c>
      <c r="AD110" s="763">
        <f t="shared" si="77"/>
        <v>0</v>
      </c>
      <c r="AE110" s="763">
        <f t="shared" si="77"/>
        <v>0</v>
      </c>
      <c r="AF110" s="763">
        <f t="shared" si="77"/>
        <v>0</v>
      </c>
      <c r="AG110" s="763">
        <f t="shared" si="77"/>
        <v>0</v>
      </c>
      <c r="AH110" s="763">
        <f t="shared" si="77"/>
        <v>0</v>
      </c>
      <c r="AI110" s="763">
        <f t="shared" si="77"/>
        <v>0</v>
      </c>
      <c r="AJ110" s="763">
        <f t="shared" si="77"/>
        <v>0</v>
      </c>
      <c r="AK110" s="763">
        <f t="shared" si="77"/>
        <v>0</v>
      </c>
      <c r="AL110" s="763">
        <f t="shared" si="77"/>
        <v>0</v>
      </c>
      <c r="AM110" s="763">
        <f t="shared" si="77"/>
        <v>0</v>
      </c>
      <c r="AN110" s="763">
        <f t="shared" si="77"/>
        <v>0</v>
      </c>
      <c r="AO110" s="763">
        <f t="shared" si="77"/>
        <v>0</v>
      </c>
      <c r="AP110" s="763">
        <f t="shared" si="77"/>
        <v>0</v>
      </c>
      <c r="AQ110" s="763">
        <f t="shared" si="77"/>
        <v>0</v>
      </c>
      <c r="AR110" s="763">
        <f t="shared" si="77"/>
        <v>0</v>
      </c>
      <c r="AS110" s="763">
        <f t="shared" si="77"/>
        <v>0</v>
      </c>
      <c r="AT110" s="763">
        <f t="shared" si="77"/>
        <v>0</v>
      </c>
      <c r="AU110" s="763">
        <f t="shared" si="77"/>
        <v>0</v>
      </c>
      <c r="AV110" s="763">
        <f t="shared" si="77"/>
        <v>0</v>
      </c>
      <c r="AW110" s="763">
        <f t="shared" si="77"/>
        <v>0</v>
      </c>
      <c r="AX110" s="763">
        <f t="shared" si="77"/>
        <v>0</v>
      </c>
      <c r="AY110" s="763">
        <f t="shared" si="77"/>
        <v>0</v>
      </c>
      <c r="AZ110" s="763">
        <f t="shared" si="77"/>
        <v>2400000</v>
      </c>
      <c r="BA110" s="763">
        <f t="shared" si="77"/>
        <v>0</v>
      </c>
      <c r="BB110" s="763">
        <f t="shared" si="77"/>
        <v>0</v>
      </c>
      <c r="BC110" s="763">
        <f t="shared" si="77"/>
        <v>0</v>
      </c>
      <c r="BD110" s="763">
        <f t="shared" si="77"/>
        <v>0</v>
      </c>
      <c r="BE110" s="763">
        <f t="shared" si="77"/>
        <v>0</v>
      </c>
      <c r="BF110" s="763">
        <f t="shared" si="77"/>
        <v>0</v>
      </c>
      <c r="BG110" s="763">
        <f t="shared" si="77"/>
        <v>0</v>
      </c>
      <c r="BH110" s="763">
        <f t="shared" si="77"/>
        <v>0</v>
      </c>
      <c r="BI110" s="763">
        <f t="shared" si="77"/>
        <v>0</v>
      </c>
      <c r="BJ110" s="763">
        <f t="shared" si="77"/>
        <v>0</v>
      </c>
      <c r="BK110" s="763">
        <f t="shared" si="77"/>
        <v>0</v>
      </c>
      <c r="BL110" s="763">
        <f t="shared" si="77"/>
        <v>0</v>
      </c>
    </row>
    <row r="111" spans="1:64">
      <c r="A111" s="781" t="s">
        <v>364</v>
      </c>
      <c r="B111" s="701">
        <f t="shared" ca="1" si="75"/>
        <v>316555.98990457272</v>
      </c>
      <c r="C111" s="701"/>
      <c r="D111" s="763">
        <f>'Monthly PF Cash Flow'!G88</f>
        <v>0</v>
      </c>
      <c r="E111" s="763">
        <f>'Monthly PF Cash Flow'!H88</f>
        <v>0</v>
      </c>
      <c r="F111" s="763">
        <f>'Monthly PF Cash Flow'!I88</f>
        <v>0</v>
      </c>
      <c r="G111" s="763">
        <f>'Monthly PF Cash Flow'!J88</f>
        <v>0</v>
      </c>
      <c r="H111" s="763">
        <f>'Monthly PF Cash Flow'!K88</f>
        <v>0</v>
      </c>
      <c r="I111" s="763">
        <f>'Monthly PF Cash Flow'!L88</f>
        <v>0</v>
      </c>
      <c r="J111" s="763">
        <f>'Monthly PF Cash Flow'!M88</f>
        <v>0</v>
      </c>
      <c r="K111" s="763">
        <f>'Monthly PF Cash Flow'!N88</f>
        <v>0</v>
      </c>
      <c r="L111" s="763">
        <f>'Monthly PF Cash Flow'!O88</f>
        <v>0</v>
      </c>
      <c r="M111" s="763">
        <f>'Monthly PF Cash Flow'!P88</f>
        <v>0</v>
      </c>
      <c r="N111" s="763">
        <f>'Monthly PF Cash Flow'!Q88</f>
        <v>0</v>
      </c>
      <c r="O111" s="763">
        <f>'Monthly PF Cash Flow'!R88</f>
        <v>0</v>
      </c>
      <c r="P111" s="763">
        <f>'Monthly PF Cash Flow'!S88</f>
        <v>0</v>
      </c>
      <c r="Q111" s="763">
        <f>'Monthly PF Cash Flow'!T88</f>
        <v>0</v>
      </c>
      <c r="R111" s="763">
        <f>'Monthly PF Cash Flow'!U88</f>
        <v>0</v>
      </c>
      <c r="S111" s="763">
        <f ca="1">'Monthly PF Cash Flow'!V88</f>
        <v>9592.605754684022</v>
      </c>
      <c r="T111" s="763">
        <f ca="1">'Monthly PF Cash Flow'!W88</f>
        <v>9592.605754684022</v>
      </c>
      <c r="U111" s="763">
        <f ca="1">'Monthly PF Cash Flow'!X88</f>
        <v>9592.605754684022</v>
      </c>
      <c r="V111" s="763">
        <f ca="1">'Monthly PF Cash Flow'!Y88</f>
        <v>9592.605754684022</v>
      </c>
      <c r="W111" s="763">
        <f ca="1">'Monthly PF Cash Flow'!Z88</f>
        <v>9592.605754684022</v>
      </c>
      <c r="X111" s="763">
        <f ca="1">'Monthly PF Cash Flow'!AA88</f>
        <v>9592.605754684022</v>
      </c>
      <c r="Y111" s="763">
        <f ca="1">'Monthly PF Cash Flow'!AB88</f>
        <v>9592.605754684022</v>
      </c>
      <c r="Z111" s="763">
        <f ca="1">'Monthly PF Cash Flow'!AC88</f>
        <v>9592.605754684022</v>
      </c>
      <c r="AA111" s="763">
        <f ca="1">'Monthly PF Cash Flow'!AD88</f>
        <v>9592.605754684022</v>
      </c>
      <c r="AB111" s="763">
        <f ca="1">'Monthly PF Cash Flow'!AE88</f>
        <v>9592.605754684022</v>
      </c>
      <c r="AC111" s="763">
        <f ca="1">'Monthly PF Cash Flow'!AF88</f>
        <v>9592.605754684022</v>
      </c>
      <c r="AD111" s="763">
        <f ca="1">'Monthly PF Cash Flow'!AG88</f>
        <v>9592.605754684022</v>
      </c>
      <c r="AE111" s="763">
        <f ca="1">'Monthly PF Cash Flow'!AH88</f>
        <v>9592.605754684022</v>
      </c>
      <c r="AF111" s="763">
        <f ca="1">'Monthly PF Cash Flow'!AI88</f>
        <v>9592.605754684022</v>
      </c>
      <c r="AG111" s="763">
        <f ca="1">'Monthly PF Cash Flow'!AJ88</f>
        <v>9592.605754684022</v>
      </c>
      <c r="AH111" s="763">
        <f ca="1">'Monthly PF Cash Flow'!AK88</f>
        <v>9592.605754684022</v>
      </c>
      <c r="AI111" s="763">
        <f ca="1">'Monthly PF Cash Flow'!AL88</f>
        <v>9592.605754684022</v>
      </c>
      <c r="AJ111" s="763">
        <f ca="1">'Monthly PF Cash Flow'!AM88</f>
        <v>9592.605754684022</v>
      </c>
      <c r="AK111" s="763">
        <f ca="1">'Monthly PF Cash Flow'!AN88</f>
        <v>9592.605754684022</v>
      </c>
      <c r="AL111" s="763">
        <f ca="1">'Monthly PF Cash Flow'!AO88</f>
        <v>9592.605754684022</v>
      </c>
      <c r="AM111" s="763">
        <f ca="1">'Monthly PF Cash Flow'!AP88</f>
        <v>9592.605754684022</v>
      </c>
      <c r="AN111" s="763">
        <f ca="1">'Monthly PF Cash Flow'!AQ88</f>
        <v>9592.605754684022</v>
      </c>
      <c r="AO111" s="763">
        <f ca="1">'Monthly PF Cash Flow'!AR88</f>
        <v>9592.605754684022</v>
      </c>
      <c r="AP111" s="763">
        <f ca="1">'Monthly PF Cash Flow'!AS88</f>
        <v>9592.605754684022</v>
      </c>
      <c r="AQ111" s="763">
        <f ca="1">'Monthly PF Cash Flow'!AT88</f>
        <v>9592.605754684022</v>
      </c>
      <c r="AR111" s="763">
        <f ca="1">'Monthly PF Cash Flow'!AU88</f>
        <v>9592.605754684022</v>
      </c>
      <c r="AS111" s="763">
        <f ca="1">'Monthly PF Cash Flow'!AV88</f>
        <v>9592.605754684022</v>
      </c>
      <c r="AT111" s="763">
        <f ca="1">'Monthly PF Cash Flow'!AW88</f>
        <v>9592.605754684022</v>
      </c>
      <c r="AU111" s="763">
        <f ca="1">'Monthly PF Cash Flow'!AX88</f>
        <v>9592.605754684022</v>
      </c>
      <c r="AV111" s="763">
        <f ca="1">'Monthly PF Cash Flow'!AY88</f>
        <v>9592.605754684022</v>
      </c>
      <c r="AW111" s="763">
        <f ca="1">'Monthly PF Cash Flow'!AZ88</f>
        <v>9592.605754684022</v>
      </c>
      <c r="AX111" s="763">
        <f ca="1">'Monthly PF Cash Flow'!BA88</f>
        <v>9592.605754684022</v>
      </c>
      <c r="AY111" s="763">
        <f ca="1">'Monthly PF Cash Flow'!BB88</f>
        <v>9592.605754684022</v>
      </c>
      <c r="AZ111" s="763">
        <f>'Monthly PF Cash Flow'!BC88</f>
        <v>0</v>
      </c>
      <c r="BA111" s="763">
        <f>'Monthly PF Cash Flow'!BD88</f>
        <v>0</v>
      </c>
      <c r="BB111" s="763">
        <f>'Monthly PF Cash Flow'!BE88</f>
        <v>0</v>
      </c>
      <c r="BC111" s="763">
        <f>'Monthly PF Cash Flow'!BF88</f>
        <v>0</v>
      </c>
      <c r="BD111" s="763">
        <f>'Monthly PF Cash Flow'!BG88</f>
        <v>0</v>
      </c>
      <c r="BE111" s="763">
        <f>'Monthly PF Cash Flow'!BH88</f>
        <v>0</v>
      </c>
      <c r="BF111" s="763">
        <f>'Monthly PF Cash Flow'!BI88</f>
        <v>0</v>
      </c>
      <c r="BG111" s="763">
        <f>'Monthly PF Cash Flow'!BJ88</f>
        <v>0</v>
      </c>
      <c r="BH111" s="763">
        <f>'Monthly PF Cash Flow'!BK88</f>
        <v>0</v>
      </c>
      <c r="BI111" s="763">
        <f>'Monthly PF Cash Flow'!BL88</f>
        <v>0</v>
      </c>
      <c r="BJ111" s="763">
        <f>'Monthly PF Cash Flow'!BM88</f>
        <v>0</v>
      </c>
      <c r="BK111" s="763">
        <f>'Monthly PF Cash Flow'!BN88</f>
        <v>0</v>
      </c>
      <c r="BL111" s="763">
        <f>'Monthly PF Cash Flow'!BO88</f>
        <v>0</v>
      </c>
    </row>
    <row r="112" spans="1:64">
      <c r="A112" s="781" t="s">
        <v>700</v>
      </c>
      <c r="B112" s="701">
        <f t="shared" ca="1" si="75"/>
        <v>613037.14236421022</v>
      </c>
      <c r="C112" s="701"/>
      <c r="D112" s="763">
        <f>'Monthly PF Cash Flow'!G113</f>
        <v>0</v>
      </c>
      <c r="E112" s="763">
        <f ca="1">'Monthly PF Cash Flow'!H113</f>
        <v>43788.367311729235</v>
      </c>
      <c r="F112" s="763">
        <f ca="1">'Monthly PF Cash Flow'!I113</f>
        <v>43788.367311729235</v>
      </c>
      <c r="G112" s="763">
        <f ca="1">'Monthly PF Cash Flow'!J113</f>
        <v>43788.367311729235</v>
      </c>
      <c r="H112" s="763">
        <f ca="1">'Monthly PF Cash Flow'!K113</f>
        <v>43788.367311729235</v>
      </c>
      <c r="I112" s="763">
        <f ca="1">'Monthly PF Cash Flow'!L113</f>
        <v>43788.367311729235</v>
      </c>
      <c r="J112" s="763">
        <f ca="1">'Monthly PF Cash Flow'!M113</f>
        <v>43788.367311729235</v>
      </c>
      <c r="K112" s="763">
        <f ca="1">'Monthly PF Cash Flow'!N113</f>
        <v>43788.367311729235</v>
      </c>
      <c r="L112" s="763">
        <f ca="1">'Monthly PF Cash Flow'!O113</f>
        <v>43788.367311729235</v>
      </c>
      <c r="M112" s="763">
        <f ca="1">'Monthly PF Cash Flow'!P113</f>
        <v>43788.367311729235</v>
      </c>
      <c r="N112" s="763">
        <f ca="1">'Monthly PF Cash Flow'!Q113</f>
        <v>43788.367311729235</v>
      </c>
      <c r="O112" s="763">
        <f ca="1">'Monthly PF Cash Flow'!R113</f>
        <v>43788.367311729235</v>
      </c>
      <c r="P112" s="763">
        <f ca="1">'Monthly PF Cash Flow'!S113</f>
        <v>43788.367311729235</v>
      </c>
      <c r="Q112" s="763">
        <f ca="1">'Monthly PF Cash Flow'!T113</f>
        <v>43788.367311729235</v>
      </c>
      <c r="R112" s="763">
        <f ca="1">'Monthly PF Cash Flow'!U113</f>
        <v>43788.367311729235</v>
      </c>
      <c r="S112" s="763">
        <f>'Monthly PF Cash Flow'!V113</f>
        <v>0</v>
      </c>
      <c r="T112" s="763">
        <f>'Monthly PF Cash Flow'!W113</f>
        <v>0</v>
      </c>
      <c r="U112" s="763">
        <f>'Monthly PF Cash Flow'!X113</f>
        <v>0</v>
      </c>
      <c r="V112" s="763">
        <f>'Monthly PF Cash Flow'!Y113</f>
        <v>0</v>
      </c>
      <c r="W112" s="763">
        <f>'Monthly PF Cash Flow'!Z113</f>
        <v>0</v>
      </c>
      <c r="X112" s="763">
        <f>'Monthly PF Cash Flow'!AA113</f>
        <v>0</v>
      </c>
      <c r="Y112" s="763">
        <f>'Monthly PF Cash Flow'!AB113</f>
        <v>0</v>
      </c>
      <c r="Z112" s="763">
        <f>'Monthly PF Cash Flow'!AC113</f>
        <v>0</v>
      </c>
      <c r="AA112" s="763">
        <f>'Monthly PF Cash Flow'!AD113</f>
        <v>0</v>
      </c>
      <c r="AB112" s="763">
        <f>'Monthly PF Cash Flow'!AE113</f>
        <v>0</v>
      </c>
      <c r="AC112" s="763">
        <f>'Monthly PF Cash Flow'!AF113</f>
        <v>0</v>
      </c>
      <c r="AD112" s="763">
        <f>'Monthly PF Cash Flow'!AG113</f>
        <v>0</v>
      </c>
      <c r="AE112" s="763">
        <f>'Monthly PF Cash Flow'!AH113</f>
        <v>0</v>
      </c>
      <c r="AF112" s="763">
        <f>'Monthly PF Cash Flow'!AI113</f>
        <v>0</v>
      </c>
      <c r="AG112" s="763">
        <f>'Monthly PF Cash Flow'!AJ113</f>
        <v>0</v>
      </c>
      <c r="AH112" s="763">
        <f>'Monthly PF Cash Flow'!AK113</f>
        <v>0</v>
      </c>
      <c r="AI112" s="763">
        <f>'Monthly PF Cash Flow'!AL113</f>
        <v>0</v>
      </c>
      <c r="AJ112" s="763">
        <f>'Monthly PF Cash Flow'!AM113</f>
        <v>0</v>
      </c>
      <c r="AK112" s="763">
        <f>'Monthly PF Cash Flow'!AN113</f>
        <v>0</v>
      </c>
      <c r="AL112" s="763">
        <f>'Monthly PF Cash Flow'!AO113</f>
        <v>0</v>
      </c>
      <c r="AM112" s="763">
        <f>'Monthly PF Cash Flow'!AP113</f>
        <v>0</v>
      </c>
      <c r="AN112" s="763">
        <f>'Monthly PF Cash Flow'!AQ113</f>
        <v>0</v>
      </c>
      <c r="AO112" s="763">
        <f>'Monthly PF Cash Flow'!AR113</f>
        <v>0</v>
      </c>
      <c r="AP112" s="763">
        <f>'Monthly PF Cash Flow'!AS113</f>
        <v>0</v>
      </c>
      <c r="AQ112" s="763">
        <f>'Monthly PF Cash Flow'!AT113</f>
        <v>0</v>
      </c>
      <c r="AR112" s="763">
        <f>'Monthly PF Cash Flow'!AU113</f>
        <v>0</v>
      </c>
      <c r="AS112" s="763">
        <f>'Monthly PF Cash Flow'!AV113</f>
        <v>0</v>
      </c>
      <c r="AT112" s="763">
        <f>'Monthly PF Cash Flow'!AW113</f>
        <v>0</v>
      </c>
      <c r="AU112" s="763">
        <f>'Monthly PF Cash Flow'!AX113</f>
        <v>0</v>
      </c>
      <c r="AV112" s="763">
        <f>'Monthly PF Cash Flow'!AY113</f>
        <v>0</v>
      </c>
      <c r="AW112" s="763">
        <f>'Monthly PF Cash Flow'!AZ113</f>
        <v>0</v>
      </c>
      <c r="AX112" s="763">
        <f>'Monthly PF Cash Flow'!BA113</f>
        <v>0</v>
      </c>
      <c r="AY112" s="763">
        <f>'Monthly PF Cash Flow'!BB113</f>
        <v>0</v>
      </c>
      <c r="AZ112" s="763">
        <f>'Monthly PF Cash Flow'!BC113</f>
        <v>0</v>
      </c>
      <c r="BA112" s="763">
        <f>'Monthly PF Cash Flow'!BD113</f>
        <v>0</v>
      </c>
      <c r="BB112" s="763">
        <f>'Monthly PF Cash Flow'!BE113</f>
        <v>0</v>
      </c>
      <c r="BC112" s="763">
        <f>'Monthly PF Cash Flow'!BF113</f>
        <v>0</v>
      </c>
      <c r="BD112" s="763">
        <f>'Monthly PF Cash Flow'!BG113</f>
        <v>0</v>
      </c>
      <c r="BE112" s="763">
        <f>'Monthly PF Cash Flow'!BH113</f>
        <v>0</v>
      </c>
      <c r="BF112" s="763">
        <f>'Monthly PF Cash Flow'!BI113</f>
        <v>0</v>
      </c>
      <c r="BG112" s="763">
        <f>'Monthly PF Cash Flow'!BJ113</f>
        <v>0</v>
      </c>
      <c r="BH112" s="763">
        <f>'Monthly PF Cash Flow'!BK113</f>
        <v>0</v>
      </c>
      <c r="BI112" s="763">
        <f>'Monthly PF Cash Flow'!BL113</f>
        <v>0</v>
      </c>
      <c r="BJ112" s="763">
        <f>'Monthly PF Cash Flow'!BM113</f>
        <v>0</v>
      </c>
      <c r="BK112" s="763">
        <f>'Monthly PF Cash Flow'!BN113</f>
        <v>0</v>
      </c>
      <c r="BL112" s="763">
        <f>'Monthly PF Cash Flow'!BO113</f>
        <v>0</v>
      </c>
    </row>
    <row r="113" spans="1:64">
      <c r="A113" s="781" t="s">
        <v>636</v>
      </c>
      <c r="B113" s="701">
        <f ca="1">SUM(D113:BL113)</f>
        <v>733967.03301767563</v>
      </c>
      <c r="C113" s="701"/>
      <c r="D113" s="763">
        <f ca="1">D43</f>
        <v>0</v>
      </c>
      <c r="E113" s="763">
        <f t="shared" ref="E113:BL113" ca="1" si="78">E43</f>
        <v>0</v>
      </c>
      <c r="F113" s="763">
        <f t="shared" ca="1" si="78"/>
        <v>0</v>
      </c>
      <c r="G113" s="763">
        <f t="shared" ca="1" si="78"/>
        <v>0</v>
      </c>
      <c r="H113" s="763">
        <f t="shared" ca="1" si="78"/>
        <v>0</v>
      </c>
      <c r="I113" s="763">
        <f t="shared" ca="1" si="78"/>
        <v>0</v>
      </c>
      <c r="J113" s="763">
        <f t="shared" ca="1" si="78"/>
        <v>0</v>
      </c>
      <c r="K113" s="763">
        <f t="shared" ca="1" si="78"/>
        <v>0</v>
      </c>
      <c r="L113" s="763">
        <f t="shared" ca="1" si="78"/>
        <v>0</v>
      </c>
      <c r="M113" s="763">
        <f t="shared" ca="1" si="78"/>
        <v>0</v>
      </c>
      <c r="N113" s="763">
        <f t="shared" ca="1" si="78"/>
        <v>0</v>
      </c>
      <c r="O113" s="763">
        <f t="shared" ca="1" si="78"/>
        <v>0</v>
      </c>
      <c r="P113" s="763">
        <f t="shared" ca="1" si="78"/>
        <v>0</v>
      </c>
      <c r="Q113" s="763">
        <f t="shared" ca="1" si="78"/>
        <v>0</v>
      </c>
      <c r="R113" s="763">
        <f t="shared" ca="1" si="78"/>
        <v>10492.147995853325</v>
      </c>
      <c r="S113" s="763">
        <f t="shared" ca="1" si="78"/>
        <v>0</v>
      </c>
      <c r="T113" s="763">
        <f t="shared" ca="1" si="78"/>
        <v>0</v>
      </c>
      <c r="U113" s="763">
        <f t="shared" ca="1" si="78"/>
        <v>0</v>
      </c>
      <c r="V113" s="763">
        <f t="shared" ca="1" si="78"/>
        <v>0</v>
      </c>
      <c r="W113" s="763">
        <f t="shared" ca="1" si="78"/>
        <v>0</v>
      </c>
      <c r="X113" s="763">
        <f t="shared" ca="1" si="78"/>
        <v>0</v>
      </c>
      <c r="Y113" s="763">
        <f t="shared" ca="1" si="78"/>
        <v>0</v>
      </c>
      <c r="Z113" s="763">
        <f t="shared" ca="1" si="78"/>
        <v>0</v>
      </c>
      <c r="AA113" s="763">
        <f t="shared" ca="1" si="78"/>
        <v>0</v>
      </c>
      <c r="AB113" s="763">
        <f t="shared" ca="1" si="78"/>
        <v>0</v>
      </c>
      <c r="AC113" s="763">
        <f t="shared" ca="1" si="78"/>
        <v>570.1066379834416</v>
      </c>
      <c r="AD113" s="763">
        <f t="shared" ca="1" si="78"/>
        <v>13698.910125769593</v>
      </c>
      <c r="AE113" s="763">
        <f t="shared" ca="1" si="78"/>
        <v>1665.8507762401121</v>
      </c>
      <c r="AF113" s="763">
        <f t="shared" ca="1" si="78"/>
        <v>2272.5429158731545</v>
      </c>
      <c r="AG113" s="763">
        <f t="shared" ca="1" si="78"/>
        <v>2856.4607480049017</v>
      </c>
      <c r="AH113" s="763">
        <f t="shared" ca="1" si="78"/>
        <v>4276.9420367538578</v>
      </c>
      <c r="AI113" s="763">
        <f t="shared" ca="1" si="78"/>
        <v>4979.7672155085302</v>
      </c>
      <c r="AJ113" s="763">
        <f t="shared" ca="1" si="78"/>
        <v>5451.0904634120916</v>
      </c>
      <c r="AK113" s="763">
        <f t="shared" ca="1" si="78"/>
        <v>3963.4515409010105</v>
      </c>
      <c r="AL113" s="763">
        <f t="shared" ca="1" si="78"/>
        <v>4009.022233373516</v>
      </c>
      <c r="AM113" s="763">
        <f t="shared" ca="1" si="78"/>
        <v>3991.0432424070054</v>
      </c>
      <c r="AN113" s="763">
        <f t="shared" ca="1" si="78"/>
        <v>4609.2428586854076</v>
      </c>
      <c r="AO113" s="763">
        <f t="shared" ca="1" si="78"/>
        <v>4588.1004538391244</v>
      </c>
      <c r="AP113" s="763">
        <f t="shared" ca="1" si="78"/>
        <v>4785.9291973446288</v>
      </c>
      <c r="AQ113" s="763">
        <f t="shared" ca="1" si="78"/>
        <v>4999.883485051344</v>
      </c>
      <c r="AR113" s="763">
        <f t="shared" ca="1" si="78"/>
        <v>5238.4337100235443</v>
      </c>
      <c r="AS113" s="763">
        <f t="shared" ca="1" si="78"/>
        <v>5528.7524072434926</v>
      </c>
      <c r="AT113" s="763">
        <f t="shared" ca="1" si="78"/>
        <v>5713.0370784820298</v>
      </c>
      <c r="AU113" s="763">
        <f t="shared" ca="1" si="78"/>
        <v>5848.2026900947449</v>
      </c>
      <c r="AV113" s="763">
        <f t="shared" ca="1" si="78"/>
        <v>5971.7383899760689</v>
      </c>
      <c r="AW113" s="763">
        <f t="shared" ca="1" si="78"/>
        <v>5916.3742097078966</v>
      </c>
      <c r="AX113" s="763">
        <f t="shared" ca="1" si="78"/>
        <v>5896.9381675719551</v>
      </c>
      <c r="AY113" s="763">
        <f t="shared" ca="1" si="78"/>
        <v>5821.0961409768333</v>
      </c>
      <c r="AZ113" s="763">
        <f t="shared" ca="1" si="78"/>
        <v>610821.96829535428</v>
      </c>
      <c r="BA113" s="763">
        <f t="shared" ca="1" si="78"/>
        <v>0</v>
      </c>
      <c r="BB113" s="763">
        <f t="shared" ca="1" si="78"/>
        <v>0</v>
      </c>
      <c r="BC113" s="763">
        <f t="shared" ca="1" si="78"/>
        <v>0</v>
      </c>
      <c r="BD113" s="763">
        <f t="shared" ca="1" si="78"/>
        <v>0</v>
      </c>
      <c r="BE113" s="763">
        <f t="shared" ca="1" si="78"/>
        <v>0</v>
      </c>
      <c r="BF113" s="763">
        <f t="shared" ca="1" si="78"/>
        <v>0</v>
      </c>
      <c r="BG113" s="763">
        <f t="shared" ca="1" si="78"/>
        <v>0</v>
      </c>
      <c r="BH113" s="763">
        <f t="shared" ca="1" si="78"/>
        <v>0</v>
      </c>
      <c r="BI113" s="763">
        <f t="shared" ca="1" si="78"/>
        <v>0</v>
      </c>
      <c r="BJ113" s="763">
        <f t="shared" ca="1" si="78"/>
        <v>0</v>
      </c>
      <c r="BK113" s="763">
        <f t="shared" ca="1" si="78"/>
        <v>0</v>
      </c>
      <c r="BL113" s="763">
        <f t="shared" ca="1" si="78"/>
        <v>0</v>
      </c>
    </row>
    <row r="114" spans="1:64">
      <c r="A114" s="781" t="s">
        <v>650</v>
      </c>
      <c r="B114" s="701">
        <f t="shared" ca="1" si="75"/>
        <v>221217.2663392759</v>
      </c>
      <c r="C114" s="701"/>
      <c r="D114" s="763">
        <f t="shared" ref="D114:AI114" si="79">D60</f>
        <v>0</v>
      </c>
      <c r="E114" s="763">
        <f t="shared" ca="1" si="79"/>
        <v>0</v>
      </c>
      <c r="F114" s="763">
        <f t="shared" ca="1" si="79"/>
        <v>0</v>
      </c>
      <c r="G114" s="763">
        <f t="shared" ca="1" si="79"/>
        <v>0</v>
      </c>
      <c r="H114" s="763">
        <f t="shared" ca="1" si="79"/>
        <v>0</v>
      </c>
      <c r="I114" s="763">
        <f t="shared" ca="1" si="79"/>
        <v>0</v>
      </c>
      <c r="J114" s="763">
        <f t="shared" ca="1" si="79"/>
        <v>0</v>
      </c>
      <c r="K114" s="763">
        <f t="shared" ca="1" si="79"/>
        <v>0</v>
      </c>
      <c r="L114" s="763">
        <f t="shared" ca="1" si="79"/>
        <v>0</v>
      </c>
      <c r="M114" s="763">
        <f t="shared" ca="1" si="79"/>
        <v>0</v>
      </c>
      <c r="N114" s="763">
        <f t="shared" ca="1" si="79"/>
        <v>0</v>
      </c>
      <c r="O114" s="763">
        <f t="shared" ca="1" si="79"/>
        <v>0</v>
      </c>
      <c r="P114" s="763">
        <f t="shared" ca="1" si="79"/>
        <v>0</v>
      </c>
      <c r="Q114" s="763">
        <f t="shared" ca="1" si="79"/>
        <v>0</v>
      </c>
      <c r="R114" s="763">
        <f t="shared" ca="1" si="79"/>
        <v>-5.594995720347472E-3</v>
      </c>
      <c r="S114" s="763">
        <f t="shared" ca="1" si="79"/>
        <v>0</v>
      </c>
      <c r="T114" s="763">
        <f t="shared" ca="1" si="79"/>
        <v>0</v>
      </c>
      <c r="U114" s="763">
        <f t="shared" ca="1" si="79"/>
        <v>0</v>
      </c>
      <c r="V114" s="763">
        <f t="shared" ca="1" si="79"/>
        <v>0</v>
      </c>
      <c r="W114" s="763">
        <f t="shared" ca="1" si="79"/>
        <v>0</v>
      </c>
      <c r="X114" s="763">
        <f t="shared" ca="1" si="79"/>
        <v>0</v>
      </c>
      <c r="Y114" s="763">
        <f t="shared" ca="1" si="79"/>
        <v>0</v>
      </c>
      <c r="Z114" s="763">
        <f t="shared" ca="1" si="79"/>
        <v>0</v>
      </c>
      <c r="AA114" s="763">
        <f t="shared" ca="1" si="79"/>
        <v>0</v>
      </c>
      <c r="AB114" s="763">
        <f t="shared" ca="1" si="79"/>
        <v>0</v>
      </c>
      <c r="AC114" s="763">
        <f t="shared" ca="1" si="79"/>
        <v>-7.8994603125424662E-4</v>
      </c>
      <c r="AD114" s="763">
        <f t="shared" ca="1" si="79"/>
        <v>-5.5949957224565149E-3</v>
      </c>
      <c r="AE114" s="763">
        <f t="shared" ca="1" si="79"/>
        <v>-2.3311424499402851E-3</v>
      </c>
      <c r="AF114" s="763">
        <f t="shared" ca="1" si="79"/>
        <v>-3.1682381897214832E-3</v>
      </c>
      <c r="AG114" s="763">
        <f t="shared" ca="1" si="79"/>
        <v>-3.9712177923538353E-3</v>
      </c>
      <c r="AH114" s="763">
        <f t="shared" ca="1" si="79"/>
        <v>-5.5949957219292544E-3</v>
      </c>
      <c r="AI114" s="763">
        <f t="shared" ca="1" si="79"/>
        <v>-5.5949957219292544E-3</v>
      </c>
      <c r="AJ114" s="763">
        <f t="shared" ref="AJ114:BL114" ca="1" si="80">AJ60</f>
        <v>-5.5949957224565149E-3</v>
      </c>
      <c r="AK114" s="763">
        <f t="shared" ca="1" si="80"/>
        <v>-5.523052966476821E-3</v>
      </c>
      <c r="AL114" s="763">
        <f t="shared" ca="1" si="80"/>
        <v>-5.5860933889528711E-3</v>
      </c>
      <c r="AM114" s="763">
        <f t="shared" ca="1" si="80"/>
        <v>-5.5609848837953795E-3</v>
      </c>
      <c r="AN114" s="763">
        <f t="shared" ca="1" si="80"/>
        <v>-5.5949957219292544E-3</v>
      </c>
      <c r="AO114" s="763">
        <f t="shared" ca="1" si="80"/>
        <v>-5.5949957219292544E-3</v>
      </c>
      <c r="AP114" s="763">
        <f t="shared" ca="1" si="80"/>
        <v>-5.5949957219292544E-3</v>
      </c>
      <c r="AQ114" s="763">
        <f t="shared" ca="1" si="80"/>
        <v>-5.5949957219292544E-3</v>
      </c>
      <c r="AR114" s="763">
        <f t="shared" ca="1" si="80"/>
        <v>-5.594995721401993E-3</v>
      </c>
      <c r="AS114" s="763">
        <f t="shared" ca="1" si="80"/>
        <v>-5.594995721401993E-3</v>
      </c>
      <c r="AT114" s="763">
        <f t="shared" ca="1" si="80"/>
        <v>-5.594995721401993E-3</v>
      </c>
      <c r="AU114" s="763">
        <f t="shared" ca="1" si="80"/>
        <v>-5.5949957224565149E-3</v>
      </c>
      <c r="AV114" s="763">
        <f t="shared" ca="1" si="80"/>
        <v>-5.5949957224565149E-3</v>
      </c>
      <c r="AW114" s="763">
        <f t="shared" ca="1" si="80"/>
        <v>-5.5949957224565149E-3</v>
      </c>
      <c r="AX114" s="763">
        <f t="shared" ca="1" si="80"/>
        <v>-5.5949957224565149E-3</v>
      </c>
      <c r="AY114" s="763">
        <f t="shared" ca="1" si="80"/>
        <v>-5.5949957224565149E-3</v>
      </c>
      <c r="AZ114" s="763">
        <f t="shared" ca="1" si="80"/>
        <v>221217.38838456926</v>
      </c>
      <c r="BA114" s="763">
        <f t="shared" ca="1" si="80"/>
        <v>0</v>
      </c>
      <c r="BB114" s="763">
        <f t="shared" ca="1" si="80"/>
        <v>0</v>
      </c>
      <c r="BC114" s="763">
        <f t="shared" ca="1" si="80"/>
        <v>0</v>
      </c>
      <c r="BD114" s="763">
        <f t="shared" ca="1" si="80"/>
        <v>0</v>
      </c>
      <c r="BE114" s="763">
        <f t="shared" ca="1" si="80"/>
        <v>0</v>
      </c>
      <c r="BF114" s="763">
        <f t="shared" ca="1" si="80"/>
        <v>0</v>
      </c>
      <c r="BG114" s="763">
        <f t="shared" ca="1" si="80"/>
        <v>0</v>
      </c>
      <c r="BH114" s="763">
        <f t="shared" ca="1" si="80"/>
        <v>0</v>
      </c>
      <c r="BI114" s="763">
        <f t="shared" ca="1" si="80"/>
        <v>0</v>
      </c>
      <c r="BJ114" s="763">
        <f t="shared" ca="1" si="80"/>
        <v>0</v>
      </c>
      <c r="BK114" s="763">
        <f t="shared" ca="1" si="80"/>
        <v>0</v>
      </c>
      <c r="BL114" s="763">
        <f t="shared" ca="1" si="80"/>
        <v>0</v>
      </c>
    </row>
    <row r="115" spans="1:64">
      <c r="A115" s="781" t="s">
        <v>654</v>
      </c>
      <c r="B115" s="701">
        <f t="shared" ca="1" si="75"/>
        <v>498755.58629345131</v>
      </c>
      <c r="C115" s="701"/>
      <c r="D115" s="763">
        <f t="shared" ref="D115:AI115" ca="1" si="81">D62</f>
        <v>0</v>
      </c>
      <c r="E115" s="763">
        <f t="shared" ca="1" si="81"/>
        <v>0</v>
      </c>
      <c r="F115" s="763">
        <f t="shared" ca="1" si="81"/>
        <v>0</v>
      </c>
      <c r="G115" s="763">
        <f t="shared" ca="1" si="81"/>
        <v>0</v>
      </c>
      <c r="H115" s="763">
        <f t="shared" ca="1" si="81"/>
        <v>0</v>
      </c>
      <c r="I115" s="763">
        <f t="shared" ca="1" si="81"/>
        <v>0</v>
      </c>
      <c r="J115" s="763">
        <f t="shared" ca="1" si="81"/>
        <v>0</v>
      </c>
      <c r="K115" s="763">
        <f t="shared" ca="1" si="81"/>
        <v>0</v>
      </c>
      <c r="L115" s="763">
        <f t="shared" ca="1" si="81"/>
        <v>0</v>
      </c>
      <c r="M115" s="763">
        <f t="shared" ca="1" si="81"/>
        <v>0</v>
      </c>
      <c r="N115" s="763">
        <f t="shared" ca="1" si="81"/>
        <v>0</v>
      </c>
      <c r="O115" s="763">
        <f t="shared" ca="1" si="81"/>
        <v>0</v>
      </c>
      <c r="P115" s="763">
        <f t="shared" ca="1" si="81"/>
        <v>0</v>
      </c>
      <c r="Q115" s="763">
        <f t="shared" ca="1" si="81"/>
        <v>0</v>
      </c>
      <c r="R115" s="763">
        <f t="shared" ca="1" si="81"/>
        <v>-1.2614455539521289E-2</v>
      </c>
      <c r="S115" s="763">
        <f t="shared" ca="1" si="81"/>
        <v>0</v>
      </c>
      <c r="T115" s="763">
        <f t="shared" ca="1" si="81"/>
        <v>0</v>
      </c>
      <c r="U115" s="763">
        <f t="shared" ca="1" si="81"/>
        <v>0</v>
      </c>
      <c r="V115" s="763">
        <f t="shared" ca="1" si="81"/>
        <v>0</v>
      </c>
      <c r="W115" s="763">
        <f t="shared" ca="1" si="81"/>
        <v>0</v>
      </c>
      <c r="X115" s="763">
        <f t="shared" ca="1" si="81"/>
        <v>0</v>
      </c>
      <c r="Y115" s="763">
        <f t="shared" ca="1" si="81"/>
        <v>0</v>
      </c>
      <c r="Z115" s="763">
        <f t="shared" ca="1" si="81"/>
        <v>0</v>
      </c>
      <c r="AA115" s="763">
        <f t="shared" ca="1" si="81"/>
        <v>0</v>
      </c>
      <c r="AB115" s="763">
        <f t="shared" ca="1" si="81"/>
        <v>0</v>
      </c>
      <c r="AC115" s="763">
        <f t="shared" ca="1" si="81"/>
        <v>-1.7810092425341731E-3</v>
      </c>
      <c r="AD115" s="763">
        <f t="shared" ca="1" si="81"/>
        <v>-1.2614455544276331E-2</v>
      </c>
      <c r="AE115" s="763">
        <f t="shared" ca="1" si="81"/>
        <v>-5.2557846798918064E-3</v>
      </c>
      <c r="AF115" s="763">
        <f t="shared" ca="1" si="81"/>
        <v>-7.1430974714620597E-3</v>
      </c>
      <c r="AG115" s="763">
        <f t="shared" ca="1" si="81"/>
        <v>-8.9534921532151354E-3</v>
      </c>
      <c r="AH115" s="763">
        <f t="shared" ca="1" si="81"/>
        <v>-1.2614455543087572E-2</v>
      </c>
      <c r="AI115" s="763">
        <f t="shared" ca="1" si="81"/>
        <v>-1.2614455543087572E-2</v>
      </c>
      <c r="AJ115" s="763">
        <f t="shared" ref="AJ115:BL115" ca="1" si="82">AJ62</f>
        <v>-1.2614455544276331E-2</v>
      </c>
      <c r="AK115" s="763">
        <f t="shared" ca="1" si="82"/>
        <v>-1.2452253687106703E-2</v>
      </c>
      <c r="AL115" s="763">
        <f t="shared" ca="1" si="82"/>
        <v>-1.259438437786394E-2</v>
      </c>
      <c r="AM115" s="763">
        <f t="shared" ca="1" si="82"/>
        <v>-1.2537774840019051E-2</v>
      </c>
      <c r="AN115" s="763">
        <f t="shared" ca="1" si="82"/>
        <v>-1.2614455543087572E-2</v>
      </c>
      <c r="AO115" s="763">
        <f t="shared" ca="1" si="82"/>
        <v>-1.2614455543087572E-2</v>
      </c>
      <c r="AP115" s="763">
        <f t="shared" ca="1" si="82"/>
        <v>-1.2614455543087572E-2</v>
      </c>
      <c r="AQ115" s="763">
        <f t="shared" ca="1" si="82"/>
        <v>-1.2614455543087572E-2</v>
      </c>
      <c r="AR115" s="763">
        <f t="shared" ca="1" si="82"/>
        <v>-1.2614455541898811E-2</v>
      </c>
      <c r="AS115" s="763">
        <f t="shared" ca="1" si="82"/>
        <v>-1.2614455541898811E-2</v>
      </c>
      <c r="AT115" s="763">
        <f t="shared" ca="1" si="82"/>
        <v>-1.2614455541898811E-2</v>
      </c>
      <c r="AU115" s="763">
        <f t="shared" ca="1" si="82"/>
        <v>-1.2614455544276331E-2</v>
      </c>
      <c r="AV115" s="763">
        <f t="shared" ca="1" si="82"/>
        <v>-1.2614455544276331E-2</v>
      </c>
      <c r="AW115" s="763">
        <f t="shared" ca="1" si="82"/>
        <v>-1.2614455544276331E-2</v>
      </c>
      <c r="AX115" s="763">
        <f t="shared" ca="1" si="82"/>
        <v>-1.2614455544276331E-2</v>
      </c>
      <c r="AY115" s="763">
        <f t="shared" ca="1" si="82"/>
        <v>-1.2614455544276331E-2</v>
      </c>
      <c r="AZ115" s="763">
        <f t="shared" ca="1" si="82"/>
        <v>498755.86145629064</v>
      </c>
      <c r="BA115" s="763">
        <f t="shared" ca="1" si="82"/>
        <v>0</v>
      </c>
      <c r="BB115" s="763">
        <f t="shared" ca="1" si="82"/>
        <v>0</v>
      </c>
      <c r="BC115" s="763">
        <f t="shared" ca="1" si="82"/>
        <v>0</v>
      </c>
      <c r="BD115" s="763">
        <f t="shared" ca="1" si="82"/>
        <v>0</v>
      </c>
      <c r="BE115" s="763">
        <f t="shared" ca="1" si="82"/>
        <v>0</v>
      </c>
      <c r="BF115" s="763">
        <f t="shared" ca="1" si="82"/>
        <v>0</v>
      </c>
      <c r="BG115" s="763">
        <f t="shared" ca="1" si="82"/>
        <v>0</v>
      </c>
      <c r="BH115" s="763">
        <f t="shared" ca="1" si="82"/>
        <v>0</v>
      </c>
      <c r="BI115" s="763">
        <f t="shared" ca="1" si="82"/>
        <v>0</v>
      </c>
      <c r="BJ115" s="763">
        <f t="shared" ca="1" si="82"/>
        <v>0</v>
      </c>
      <c r="BK115" s="763">
        <f t="shared" ca="1" si="82"/>
        <v>0</v>
      </c>
      <c r="BL115" s="763">
        <f t="shared" ca="1" si="82"/>
        <v>0</v>
      </c>
    </row>
    <row r="116" spans="1:64">
      <c r="A116" s="781" t="s">
        <v>651</v>
      </c>
      <c r="B116" s="701">
        <f t="shared" ca="1" si="75"/>
        <v>185783.08784344257</v>
      </c>
      <c r="C116" s="701"/>
      <c r="D116" s="763">
        <f t="shared" ref="D116:BL116" si="83">D80</f>
        <v>0</v>
      </c>
      <c r="E116" s="763">
        <f t="shared" ca="1" si="83"/>
        <v>0</v>
      </c>
      <c r="F116" s="763">
        <f t="shared" ca="1" si="83"/>
        <v>0</v>
      </c>
      <c r="G116" s="763">
        <f t="shared" ca="1" si="83"/>
        <v>0</v>
      </c>
      <c r="H116" s="763">
        <f t="shared" ca="1" si="83"/>
        <v>0</v>
      </c>
      <c r="I116" s="763">
        <f t="shared" ca="1" si="83"/>
        <v>0</v>
      </c>
      <c r="J116" s="763">
        <f t="shared" ca="1" si="83"/>
        <v>0</v>
      </c>
      <c r="K116" s="763">
        <f t="shared" ca="1" si="83"/>
        <v>0</v>
      </c>
      <c r="L116" s="763">
        <f t="shared" ca="1" si="83"/>
        <v>0</v>
      </c>
      <c r="M116" s="763">
        <f t="shared" ca="1" si="83"/>
        <v>0</v>
      </c>
      <c r="N116" s="763">
        <f t="shared" ca="1" si="83"/>
        <v>0</v>
      </c>
      <c r="O116" s="763">
        <f t="shared" ca="1" si="83"/>
        <v>0</v>
      </c>
      <c r="P116" s="763">
        <f t="shared" ca="1" si="83"/>
        <v>0</v>
      </c>
      <c r="Q116" s="763">
        <f t="shared" ca="1" si="83"/>
        <v>0</v>
      </c>
      <c r="R116" s="763">
        <f t="shared" ca="1" si="83"/>
        <v>0</v>
      </c>
      <c r="S116" s="763">
        <f t="shared" ca="1" si="83"/>
        <v>0</v>
      </c>
      <c r="T116" s="763">
        <f t="shared" ca="1" si="83"/>
        <v>0</v>
      </c>
      <c r="U116" s="763">
        <f t="shared" ca="1" si="83"/>
        <v>0</v>
      </c>
      <c r="V116" s="763">
        <f t="shared" ca="1" si="83"/>
        <v>0</v>
      </c>
      <c r="W116" s="763">
        <f t="shared" ca="1" si="83"/>
        <v>0</v>
      </c>
      <c r="X116" s="763">
        <f t="shared" ca="1" si="83"/>
        <v>0</v>
      </c>
      <c r="Y116" s="763">
        <f t="shared" ca="1" si="83"/>
        <v>0</v>
      </c>
      <c r="Z116" s="763">
        <f t="shared" ca="1" si="83"/>
        <v>0</v>
      </c>
      <c r="AA116" s="763">
        <f t="shared" ca="1" si="83"/>
        <v>0</v>
      </c>
      <c r="AB116" s="763">
        <f t="shared" ca="1" si="83"/>
        <v>0</v>
      </c>
      <c r="AC116" s="763">
        <f t="shared" ca="1" si="83"/>
        <v>0</v>
      </c>
      <c r="AD116" s="763">
        <f t="shared" ca="1" si="83"/>
        <v>0</v>
      </c>
      <c r="AE116" s="763">
        <f t="shared" ca="1" si="83"/>
        <v>0</v>
      </c>
      <c r="AF116" s="763">
        <f t="shared" ca="1" si="83"/>
        <v>0</v>
      </c>
      <c r="AG116" s="763">
        <f t="shared" ca="1" si="83"/>
        <v>0</v>
      </c>
      <c r="AH116" s="763">
        <f t="shared" ca="1" si="83"/>
        <v>0</v>
      </c>
      <c r="AI116" s="763">
        <f t="shared" ca="1" si="83"/>
        <v>0</v>
      </c>
      <c r="AJ116" s="763">
        <f t="shared" ca="1" si="83"/>
        <v>0</v>
      </c>
      <c r="AK116" s="763">
        <f t="shared" ca="1" si="83"/>
        <v>0</v>
      </c>
      <c r="AL116" s="763">
        <f t="shared" ca="1" si="83"/>
        <v>0</v>
      </c>
      <c r="AM116" s="763">
        <f t="shared" ca="1" si="83"/>
        <v>0</v>
      </c>
      <c r="AN116" s="763">
        <f t="shared" ca="1" si="83"/>
        <v>0</v>
      </c>
      <c r="AO116" s="763">
        <f t="shared" ca="1" si="83"/>
        <v>0</v>
      </c>
      <c r="AP116" s="763">
        <f t="shared" ca="1" si="83"/>
        <v>0</v>
      </c>
      <c r="AQ116" s="763">
        <f t="shared" ca="1" si="83"/>
        <v>0</v>
      </c>
      <c r="AR116" s="763">
        <f t="shared" ca="1" si="83"/>
        <v>0</v>
      </c>
      <c r="AS116" s="763">
        <f t="shared" ca="1" si="83"/>
        <v>0</v>
      </c>
      <c r="AT116" s="763">
        <f t="shared" ca="1" si="83"/>
        <v>0</v>
      </c>
      <c r="AU116" s="763">
        <f t="shared" ca="1" si="83"/>
        <v>0</v>
      </c>
      <c r="AV116" s="763">
        <f t="shared" ca="1" si="83"/>
        <v>0</v>
      </c>
      <c r="AW116" s="763">
        <f t="shared" ca="1" si="83"/>
        <v>0</v>
      </c>
      <c r="AX116" s="763">
        <f t="shared" ca="1" si="83"/>
        <v>0</v>
      </c>
      <c r="AY116" s="763">
        <f t="shared" ca="1" si="83"/>
        <v>0</v>
      </c>
      <c r="AZ116" s="763">
        <f t="shared" ca="1" si="83"/>
        <v>185783.08784319568</v>
      </c>
      <c r="BA116" s="763">
        <f t="shared" ca="1" si="83"/>
        <v>0</v>
      </c>
      <c r="BB116" s="763">
        <f t="shared" ca="1" si="83"/>
        <v>0</v>
      </c>
      <c r="BC116" s="763">
        <f t="shared" ca="1" si="83"/>
        <v>0</v>
      </c>
      <c r="BD116" s="763">
        <f t="shared" ca="1" si="83"/>
        <v>0</v>
      </c>
      <c r="BE116" s="763">
        <f t="shared" ca="1" si="83"/>
        <v>0</v>
      </c>
      <c r="BF116" s="763">
        <f t="shared" ca="1" si="83"/>
        <v>0</v>
      </c>
      <c r="BG116" s="763">
        <f t="shared" ca="1" si="83"/>
        <v>0</v>
      </c>
      <c r="BH116" s="763">
        <f t="shared" ca="1" si="83"/>
        <v>0</v>
      </c>
      <c r="BI116" s="763">
        <f t="shared" ca="1" si="83"/>
        <v>0</v>
      </c>
      <c r="BJ116" s="763">
        <f t="shared" ca="1" si="83"/>
        <v>0</v>
      </c>
      <c r="BK116" s="763">
        <f t="shared" ca="1" si="83"/>
        <v>0</v>
      </c>
      <c r="BL116" s="763">
        <f t="shared" ca="1" si="83"/>
        <v>0</v>
      </c>
    </row>
    <row r="117" spans="1:64">
      <c r="A117" s="781" t="s">
        <v>655</v>
      </c>
      <c r="B117" s="701">
        <f t="shared" ca="1" si="75"/>
        <v>869198.88884893619</v>
      </c>
      <c r="C117" s="701"/>
      <c r="D117" s="763">
        <f t="shared" ref="D117:BL117" ca="1" si="84">D82</f>
        <v>0</v>
      </c>
      <c r="E117" s="763">
        <f t="shared" ca="1" si="84"/>
        <v>0</v>
      </c>
      <c r="F117" s="763">
        <f t="shared" ca="1" si="84"/>
        <v>0</v>
      </c>
      <c r="G117" s="763">
        <f t="shared" ca="1" si="84"/>
        <v>0</v>
      </c>
      <c r="H117" s="763">
        <f t="shared" ca="1" si="84"/>
        <v>0</v>
      </c>
      <c r="I117" s="763">
        <f t="shared" ca="1" si="84"/>
        <v>0</v>
      </c>
      <c r="J117" s="763">
        <f t="shared" ca="1" si="84"/>
        <v>0</v>
      </c>
      <c r="K117" s="763">
        <f t="shared" ca="1" si="84"/>
        <v>0</v>
      </c>
      <c r="L117" s="763">
        <f t="shared" ca="1" si="84"/>
        <v>0</v>
      </c>
      <c r="M117" s="763">
        <f t="shared" ca="1" si="84"/>
        <v>0</v>
      </c>
      <c r="N117" s="763">
        <f t="shared" ca="1" si="84"/>
        <v>0</v>
      </c>
      <c r="O117" s="763">
        <f t="shared" ca="1" si="84"/>
        <v>0</v>
      </c>
      <c r="P117" s="763">
        <f t="shared" ca="1" si="84"/>
        <v>0</v>
      </c>
      <c r="Q117" s="763">
        <f t="shared" ca="1" si="84"/>
        <v>0</v>
      </c>
      <c r="R117" s="763">
        <f t="shared" ca="1" si="84"/>
        <v>0</v>
      </c>
      <c r="S117" s="763">
        <f t="shared" ca="1" si="84"/>
        <v>0</v>
      </c>
      <c r="T117" s="763">
        <f t="shared" ca="1" si="84"/>
        <v>0</v>
      </c>
      <c r="U117" s="763">
        <f t="shared" ca="1" si="84"/>
        <v>0</v>
      </c>
      <c r="V117" s="763">
        <f t="shared" ca="1" si="84"/>
        <v>0</v>
      </c>
      <c r="W117" s="763">
        <f t="shared" ca="1" si="84"/>
        <v>0</v>
      </c>
      <c r="X117" s="763">
        <f t="shared" ca="1" si="84"/>
        <v>0</v>
      </c>
      <c r="Y117" s="763">
        <f t="shared" ca="1" si="84"/>
        <v>0</v>
      </c>
      <c r="Z117" s="763">
        <f t="shared" ca="1" si="84"/>
        <v>0</v>
      </c>
      <c r="AA117" s="763">
        <f t="shared" ca="1" si="84"/>
        <v>0</v>
      </c>
      <c r="AB117" s="763">
        <f t="shared" ca="1" si="84"/>
        <v>0</v>
      </c>
      <c r="AC117" s="763">
        <f t="shared" ca="1" si="84"/>
        <v>0</v>
      </c>
      <c r="AD117" s="763">
        <f t="shared" ca="1" si="84"/>
        <v>0</v>
      </c>
      <c r="AE117" s="763">
        <f t="shared" ca="1" si="84"/>
        <v>0</v>
      </c>
      <c r="AF117" s="763">
        <f t="shared" ca="1" si="84"/>
        <v>0</v>
      </c>
      <c r="AG117" s="763">
        <f t="shared" ca="1" si="84"/>
        <v>0</v>
      </c>
      <c r="AH117" s="763">
        <f t="shared" ca="1" si="84"/>
        <v>0</v>
      </c>
      <c r="AI117" s="763">
        <f t="shared" ca="1" si="84"/>
        <v>0</v>
      </c>
      <c r="AJ117" s="763">
        <f t="shared" ca="1" si="84"/>
        <v>0</v>
      </c>
      <c r="AK117" s="763">
        <f t="shared" ca="1" si="84"/>
        <v>0</v>
      </c>
      <c r="AL117" s="763">
        <f t="shared" ca="1" si="84"/>
        <v>0</v>
      </c>
      <c r="AM117" s="763">
        <f t="shared" ca="1" si="84"/>
        <v>0</v>
      </c>
      <c r="AN117" s="763">
        <f t="shared" ca="1" si="84"/>
        <v>0</v>
      </c>
      <c r="AO117" s="763">
        <f t="shared" ca="1" si="84"/>
        <v>0</v>
      </c>
      <c r="AP117" s="763">
        <f t="shared" ca="1" si="84"/>
        <v>0</v>
      </c>
      <c r="AQ117" s="763">
        <f t="shared" ca="1" si="84"/>
        <v>0</v>
      </c>
      <c r="AR117" s="763">
        <f t="shared" ca="1" si="84"/>
        <v>0</v>
      </c>
      <c r="AS117" s="763">
        <f t="shared" ca="1" si="84"/>
        <v>0</v>
      </c>
      <c r="AT117" s="763">
        <f t="shared" ca="1" si="84"/>
        <v>0</v>
      </c>
      <c r="AU117" s="763">
        <f t="shared" ca="1" si="84"/>
        <v>0</v>
      </c>
      <c r="AV117" s="763">
        <f t="shared" ca="1" si="84"/>
        <v>0</v>
      </c>
      <c r="AW117" s="763">
        <f t="shared" ca="1" si="84"/>
        <v>0</v>
      </c>
      <c r="AX117" s="763">
        <f t="shared" ca="1" si="84"/>
        <v>0</v>
      </c>
      <c r="AY117" s="763">
        <f t="shared" ca="1" si="84"/>
        <v>0</v>
      </c>
      <c r="AZ117" s="763">
        <f t="shared" ca="1" si="84"/>
        <v>869198.88884777576</v>
      </c>
      <c r="BA117" s="763">
        <f t="shared" ca="1" si="84"/>
        <v>0</v>
      </c>
      <c r="BB117" s="763">
        <f t="shared" ca="1" si="84"/>
        <v>0</v>
      </c>
      <c r="BC117" s="763">
        <f t="shared" ca="1" si="84"/>
        <v>0</v>
      </c>
      <c r="BD117" s="763">
        <f t="shared" ca="1" si="84"/>
        <v>0</v>
      </c>
      <c r="BE117" s="763">
        <f t="shared" ca="1" si="84"/>
        <v>0</v>
      </c>
      <c r="BF117" s="763">
        <f t="shared" ca="1" si="84"/>
        <v>0</v>
      </c>
      <c r="BG117" s="763">
        <f t="shared" ca="1" si="84"/>
        <v>0</v>
      </c>
      <c r="BH117" s="763">
        <f t="shared" ca="1" si="84"/>
        <v>0</v>
      </c>
      <c r="BI117" s="763">
        <f t="shared" ca="1" si="84"/>
        <v>0</v>
      </c>
      <c r="BJ117" s="763">
        <f t="shared" ca="1" si="84"/>
        <v>0</v>
      </c>
      <c r="BK117" s="763">
        <f t="shared" ca="1" si="84"/>
        <v>0</v>
      </c>
      <c r="BL117" s="763">
        <f t="shared" ca="1" si="84"/>
        <v>0</v>
      </c>
    </row>
    <row r="118" spans="1:64">
      <c r="A118" s="781" t="s">
        <v>652</v>
      </c>
      <c r="B118" s="701">
        <f t="shared" ca="1" si="75"/>
        <v>382593.24283699022</v>
      </c>
      <c r="C118" s="701"/>
      <c r="D118" s="763">
        <f t="shared" ref="D118:BL119" ca="1" si="85">D90</f>
        <v>0</v>
      </c>
      <c r="E118" s="763">
        <f t="shared" ca="1" si="85"/>
        <v>0</v>
      </c>
      <c r="F118" s="763">
        <f t="shared" ca="1" si="85"/>
        <v>0</v>
      </c>
      <c r="G118" s="763">
        <f t="shared" ca="1" si="85"/>
        <v>0</v>
      </c>
      <c r="H118" s="763">
        <f t="shared" ca="1" si="85"/>
        <v>0</v>
      </c>
      <c r="I118" s="763">
        <f t="shared" ca="1" si="85"/>
        <v>0</v>
      </c>
      <c r="J118" s="763">
        <f t="shared" ca="1" si="85"/>
        <v>0</v>
      </c>
      <c r="K118" s="763">
        <f t="shared" ca="1" si="85"/>
        <v>0</v>
      </c>
      <c r="L118" s="763">
        <f t="shared" ca="1" si="85"/>
        <v>0</v>
      </c>
      <c r="M118" s="763">
        <f t="shared" ca="1" si="85"/>
        <v>0</v>
      </c>
      <c r="N118" s="763">
        <f t="shared" ca="1" si="85"/>
        <v>0</v>
      </c>
      <c r="O118" s="763">
        <f t="shared" ca="1" si="85"/>
        <v>0</v>
      </c>
      <c r="P118" s="763">
        <f t="shared" ca="1" si="85"/>
        <v>0</v>
      </c>
      <c r="Q118" s="763">
        <f t="shared" ca="1" si="85"/>
        <v>0</v>
      </c>
      <c r="R118" s="763">
        <f t="shared" ca="1" si="85"/>
        <v>0</v>
      </c>
      <c r="S118" s="763">
        <f t="shared" ca="1" si="85"/>
        <v>0</v>
      </c>
      <c r="T118" s="763">
        <f t="shared" ca="1" si="85"/>
        <v>0</v>
      </c>
      <c r="U118" s="763">
        <f t="shared" ca="1" si="85"/>
        <v>0</v>
      </c>
      <c r="V118" s="763">
        <f t="shared" ca="1" si="85"/>
        <v>0</v>
      </c>
      <c r="W118" s="763">
        <f t="shared" ca="1" si="85"/>
        <v>0</v>
      </c>
      <c r="X118" s="763">
        <f t="shared" ca="1" si="85"/>
        <v>0</v>
      </c>
      <c r="Y118" s="763">
        <f t="shared" ca="1" si="85"/>
        <v>0</v>
      </c>
      <c r="Z118" s="763">
        <f t="shared" ca="1" si="85"/>
        <v>0</v>
      </c>
      <c r="AA118" s="763">
        <f t="shared" ca="1" si="85"/>
        <v>0</v>
      </c>
      <c r="AB118" s="763">
        <f t="shared" ca="1" si="85"/>
        <v>0</v>
      </c>
      <c r="AC118" s="763">
        <f t="shared" ca="1" si="85"/>
        <v>0</v>
      </c>
      <c r="AD118" s="763">
        <f t="shared" ca="1" si="85"/>
        <v>0</v>
      </c>
      <c r="AE118" s="763">
        <f t="shared" ca="1" si="85"/>
        <v>0</v>
      </c>
      <c r="AF118" s="763">
        <f t="shared" ca="1" si="85"/>
        <v>0</v>
      </c>
      <c r="AG118" s="763">
        <f t="shared" ca="1" si="85"/>
        <v>0</v>
      </c>
      <c r="AH118" s="763">
        <f t="shared" ca="1" si="85"/>
        <v>0</v>
      </c>
      <c r="AI118" s="763">
        <f t="shared" ca="1" si="85"/>
        <v>0</v>
      </c>
      <c r="AJ118" s="763">
        <f t="shared" ca="1" si="85"/>
        <v>0</v>
      </c>
      <c r="AK118" s="763">
        <f t="shared" ca="1" si="85"/>
        <v>0</v>
      </c>
      <c r="AL118" s="763">
        <f t="shared" ca="1" si="85"/>
        <v>0</v>
      </c>
      <c r="AM118" s="763">
        <f t="shared" ca="1" si="85"/>
        <v>0</v>
      </c>
      <c r="AN118" s="763">
        <f t="shared" ca="1" si="85"/>
        <v>0</v>
      </c>
      <c r="AO118" s="763">
        <f t="shared" ca="1" si="85"/>
        <v>0</v>
      </c>
      <c r="AP118" s="763">
        <f t="shared" ca="1" si="85"/>
        <v>0</v>
      </c>
      <c r="AQ118" s="763">
        <f t="shared" ca="1" si="85"/>
        <v>0</v>
      </c>
      <c r="AR118" s="763">
        <f t="shared" ca="1" si="85"/>
        <v>0</v>
      </c>
      <c r="AS118" s="763">
        <f t="shared" ca="1" si="85"/>
        <v>0</v>
      </c>
      <c r="AT118" s="763">
        <f t="shared" ca="1" si="85"/>
        <v>0</v>
      </c>
      <c r="AU118" s="763">
        <f t="shared" ca="1" si="85"/>
        <v>0</v>
      </c>
      <c r="AV118" s="763">
        <f t="shared" ca="1" si="85"/>
        <v>0</v>
      </c>
      <c r="AW118" s="763">
        <f t="shared" ca="1" si="85"/>
        <v>0</v>
      </c>
      <c r="AX118" s="763">
        <f t="shared" ca="1" si="85"/>
        <v>0</v>
      </c>
      <c r="AY118" s="763">
        <f t="shared" ca="1" si="85"/>
        <v>0</v>
      </c>
      <c r="AZ118" s="763">
        <f t="shared" ca="1" si="85"/>
        <v>382593.2428375007</v>
      </c>
      <c r="BA118" s="763">
        <f t="shared" ca="1" si="85"/>
        <v>0</v>
      </c>
      <c r="BB118" s="763">
        <f t="shared" ca="1" si="85"/>
        <v>0</v>
      </c>
      <c r="BC118" s="763">
        <f t="shared" ca="1" si="85"/>
        <v>0</v>
      </c>
      <c r="BD118" s="763">
        <f t="shared" ca="1" si="85"/>
        <v>0</v>
      </c>
      <c r="BE118" s="763">
        <f t="shared" ca="1" si="85"/>
        <v>0</v>
      </c>
      <c r="BF118" s="763">
        <f t="shared" ca="1" si="85"/>
        <v>0</v>
      </c>
      <c r="BG118" s="763">
        <f t="shared" ca="1" si="85"/>
        <v>0</v>
      </c>
      <c r="BH118" s="763">
        <f t="shared" ca="1" si="85"/>
        <v>0</v>
      </c>
      <c r="BI118" s="763">
        <f t="shared" ca="1" si="85"/>
        <v>0</v>
      </c>
      <c r="BJ118" s="763">
        <f t="shared" ca="1" si="85"/>
        <v>0</v>
      </c>
      <c r="BK118" s="763">
        <f t="shared" ca="1" si="85"/>
        <v>0</v>
      </c>
      <c r="BL118" s="763">
        <f t="shared" ca="1" si="85"/>
        <v>0</v>
      </c>
    </row>
    <row r="119" spans="1:64">
      <c r="A119" s="781" t="s">
        <v>656</v>
      </c>
      <c r="B119" s="701">
        <f t="shared" ca="1" si="75"/>
        <v>3112613.7929311637</v>
      </c>
      <c r="C119" s="701"/>
      <c r="D119" s="763">
        <f t="shared" ca="1" si="85"/>
        <v>0</v>
      </c>
      <c r="E119" s="763">
        <f t="shared" ca="1" si="85"/>
        <v>0</v>
      </c>
      <c r="F119" s="763">
        <f t="shared" ca="1" si="85"/>
        <v>0</v>
      </c>
      <c r="G119" s="763">
        <f t="shared" ca="1" si="85"/>
        <v>0</v>
      </c>
      <c r="H119" s="763">
        <f t="shared" ca="1" si="85"/>
        <v>0</v>
      </c>
      <c r="I119" s="763">
        <f t="shared" ca="1" si="85"/>
        <v>0</v>
      </c>
      <c r="J119" s="763">
        <f t="shared" ca="1" si="85"/>
        <v>0</v>
      </c>
      <c r="K119" s="763">
        <f t="shared" ca="1" si="85"/>
        <v>0</v>
      </c>
      <c r="L119" s="763">
        <f t="shared" ca="1" si="85"/>
        <v>0</v>
      </c>
      <c r="M119" s="763">
        <f t="shared" ca="1" si="85"/>
        <v>0</v>
      </c>
      <c r="N119" s="763">
        <f t="shared" ca="1" si="85"/>
        <v>0</v>
      </c>
      <c r="O119" s="763">
        <f t="shared" ca="1" si="85"/>
        <v>0</v>
      </c>
      <c r="P119" s="763">
        <f t="shared" ca="1" si="85"/>
        <v>0</v>
      </c>
      <c r="Q119" s="763">
        <f t="shared" ca="1" si="85"/>
        <v>0</v>
      </c>
      <c r="R119" s="763">
        <f t="shared" ca="1" si="85"/>
        <v>0</v>
      </c>
      <c r="S119" s="763">
        <f t="shared" ca="1" si="85"/>
        <v>0</v>
      </c>
      <c r="T119" s="763">
        <f t="shared" ca="1" si="85"/>
        <v>0</v>
      </c>
      <c r="U119" s="763">
        <f t="shared" ca="1" si="85"/>
        <v>0</v>
      </c>
      <c r="V119" s="763">
        <f t="shared" ca="1" si="85"/>
        <v>0</v>
      </c>
      <c r="W119" s="763">
        <f t="shared" ca="1" si="85"/>
        <v>0</v>
      </c>
      <c r="X119" s="763">
        <f t="shared" ca="1" si="85"/>
        <v>0</v>
      </c>
      <c r="Y119" s="763">
        <f t="shared" ca="1" si="85"/>
        <v>0</v>
      </c>
      <c r="Z119" s="763">
        <f t="shared" ca="1" si="85"/>
        <v>0</v>
      </c>
      <c r="AA119" s="763">
        <f t="shared" ca="1" si="85"/>
        <v>0</v>
      </c>
      <c r="AB119" s="763">
        <f t="shared" ca="1" si="85"/>
        <v>0</v>
      </c>
      <c r="AC119" s="763">
        <f t="shared" ca="1" si="85"/>
        <v>0</v>
      </c>
      <c r="AD119" s="763">
        <f t="shared" ca="1" si="85"/>
        <v>0</v>
      </c>
      <c r="AE119" s="763">
        <f t="shared" ca="1" si="85"/>
        <v>0</v>
      </c>
      <c r="AF119" s="763">
        <f t="shared" ca="1" si="85"/>
        <v>0</v>
      </c>
      <c r="AG119" s="763">
        <f t="shared" ca="1" si="85"/>
        <v>0</v>
      </c>
      <c r="AH119" s="763">
        <f t="shared" ca="1" si="85"/>
        <v>0</v>
      </c>
      <c r="AI119" s="763">
        <f t="shared" ca="1" si="85"/>
        <v>0</v>
      </c>
      <c r="AJ119" s="763">
        <f t="shared" ca="1" si="85"/>
        <v>0</v>
      </c>
      <c r="AK119" s="763">
        <f t="shared" ca="1" si="85"/>
        <v>0</v>
      </c>
      <c r="AL119" s="763">
        <f t="shared" ca="1" si="85"/>
        <v>0</v>
      </c>
      <c r="AM119" s="763">
        <f t="shared" ca="1" si="85"/>
        <v>0</v>
      </c>
      <c r="AN119" s="763">
        <f t="shared" ca="1" si="85"/>
        <v>0</v>
      </c>
      <c r="AO119" s="763">
        <f t="shared" ca="1" si="85"/>
        <v>0</v>
      </c>
      <c r="AP119" s="763">
        <f t="shared" ca="1" si="85"/>
        <v>0</v>
      </c>
      <c r="AQ119" s="763">
        <f t="shared" ca="1" si="85"/>
        <v>0</v>
      </c>
      <c r="AR119" s="763">
        <f t="shared" ca="1" si="85"/>
        <v>0</v>
      </c>
      <c r="AS119" s="763">
        <f t="shared" ca="1" si="85"/>
        <v>0</v>
      </c>
      <c r="AT119" s="763">
        <f t="shared" ca="1" si="85"/>
        <v>0</v>
      </c>
      <c r="AU119" s="763">
        <f t="shared" ca="1" si="85"/>
        <v>0</v>
      </c>
      <c r="AV119" s="763">
        <f t="shared" ca="1" si="85"/>
        <v>0</v>
      </c>
      <c r="AW119" s="763">
        <f t="shared" ca="1" si="85"/>
        <v>0</v>
      </c>
      <c r="AX119" s="763">
        <f t="shared" ca="1" si="85"/>
        <v>0</v>
      </c>
      <c r="AY119" s="763">
        <f t="shared" ca="1" si="85"/>
        <v>0</v>
      </c>
      <c r="AZ119" s="763">
        <f t="shared" ca="1" si="85"/>
        <v>3112613.7929352983</v>
      </c>
      <c r="BA119" s="763">
        <f t="shared" ca="1" si="85"/>
        <v>0</v>
      </c>
      <c r="BB119" s="763">
        <f t="shared" ca="1" si="85"/>
        <v>0</v>
      </c>
      <c r="BC119" s="763">
        <f t="shared" ca="1" si="85"/>
        <v>0</v>
      </c>
      <c r="BD119" s="763">
        <f t="shared" ca="1" si="85"/>
        <v>0</v>
      </c>
      <c r="BE119" s="763">
        <f t="shared" ca="1" si="85"/>
        <v>0</v>
      </c>
      <c r="BF119" s="763">
        <f t="shared" ca="1" si="85"/>
        <v>0</v>
      </c>
      <c r="BG119" s="763">
        <f t="shared" ca="1" si="85"/>
        <v>0</v>
      </c>
      <c r="BH119" s="763">
        <f t="shared" ca="1" si="85"/>
        <v>0</v>
      </c>
      <c r="BI119" s="763">
        <f t="shared" ca="1" si="85"/>
        <v>0</v>
      </c>
      <c r="BJ119" s="763">
        <f t="shared" ca="1" si="85"/>
        <v>0</v>
      </c>
      <c r="BK119" s="763">
        <f t="shared" ca="1" si="85"/>
        <v>0</v>
      </c>
      <c r="BL119" s="763">
        <f t="shared" ca="1" si="85"/>
        <v>0</v>
      </c>
    </row>
    <row r="120" spans="1:64">
      <c r="A120" s="782" t="s">
        <v>702</v>
      </c>
      <c r="B120" s="754">
        <f t="shared" ca="1" si="75"/>
        <v>9461722.0303797349</v>
      </c>
      <c r="C120" s="701"/>
      <c r="D120" s="764">
        <f t="shared" ref="D120:BL120" ca="1" si="86">SUM(D107:D119)</f>
        <v>-534505.07346667291</v>
      </c>
      <c r="E120" s="764">
        <f t="shared" ca="1" si="86"/>
        <v>706293.44077840215</v>
      </c>
      <c r="F120" s="764">
        <f t="shared" ca="1" si="86"/>
        <v>43788.36731173085</v>
      </c>
      <c r="G120" s="764">
        <f t="shared" ca="1" si="86"/>
        <v>43788.36731173085</v>
      </c>
      <c r="H120" s="764">
        <f t="shared" ca="1" si="86"/>
        <v>43788.36731173085</v>
      </c>
      <c r="I120" s="764">
        <f t="shared" ca="1" si="86"/>
        <v>43788.36731173085</v>
      </c>
      <c r="J120" s="764">
        <f t="shared" ca="1" si="86"/>
        <v>43788.36731173085</v>
      </c>
      <c r="K120" s="764">
        <f t="shared" ca="1" si="86"/>
        <v>43788.36731173085</v>
      </c>
      <c r="L120" s="764">
        <f t="shared" ca="1" si="86"/>
        <v>43788.36731173085</v>
      </c>
      <c r="M120" s="764">
        <f t="shared" ca="1" si="86"/>
        <v>43788.367311729235</v>
      </c>
      <c r="N120" s="764">
        <f t="shared" ca="1" si="86"/>
        <v>43788.367311729235</v>
      </c>
      <c r="O120" s="764">
        <f t="shared" ca="1" si="86"/>
        <v>43788.367311729235</v>
      </c>
      <c r="P120" s="764">
        <f t="shared" ca="1" si="86"/>
        <v>43788.367311729235</v>
      </c>
      <c r="Q120" s="764">
        <f t="shared" ca="1" si="86"/>
        <v>43788.367311729235</v>
      </c>
      <c r="R120" s="764">
        <f t="shared" ca="1" si="86"/>
        <v>54280.497098131302</v>
      </c>
      <c r="S120" s="764">
        <f t="shared" ca="1" si="86"/>
        <v>9592.605754684022</v>
      </c>
      <c r="T120" s="764">
        <f t="shared" ca="1" si="86"/>
        <v>9592.605754684022</v>
      </c>
      <c r="U120" s="764">
        <f t="shared" ca="1" si="86"/>
        <v>9592.605754684022</v>
      </c>
      <c r="V120" s="764">
        <f t="shared" ca="1" si="86"/>
        <v>9592.605754684022</v>
      </c>
      <c r="W120" s="764">
        <f t="shared" ca="1" si="86"/>
        <v>9592.605754684022</v>
      </c>
      <c r="X120" s="764">
        <f t="shared" ca="1" si="86"/>
        <v>9592.605754684022</v>
      </c>
      <c r="Y120" s="764">
        <f t="shared" ca="1" si="86"/>
        <v>9592.605754684022</v>
      </c>
      <c r="Z120" s="764">
        <f t="shared" ca="1" si="86"/>
        <v>9592.605754684022</v>
      </c>
      <c r="AA120" s="764">
        <f t="shared" ca="1" si="86"/>
        <v>9592.605754684022</v>
      </c>
      <c r="AB120" s="764">
        <f t="shared" ca="1" si="86"/>
        <v>9592.605754684022</v>
      </c>
      <c r="AC120" s="764">
        <f t="shared" ca="1" si="86"/>
        <v>10162.709821712189</v>
      </c>
      <c r="AD120" s="764">
        <f t="shared" ca="1" si="86"/>
        <v>23291.497671002347</v>
      </c>
      <c r="AE120" s="764">
        <f t="shared" ca="1" si="86"/>
        <v>11258.448943997004</v>
      </c>
      <c r="AF120" s="764">
        <f t="shared" ca="1" si="86"/>
        <v>11865.138359221515</v>
      </c>
      <c r="AG120" s="764">
        <f t="shared" ca="1" si="86"/>
        <v>12449.053577978977</v>
      </c>
      <c r="AH120" s="764">
        <f t="shared" ca="1" si="86"/>
        <v>13869.529581986613</v>
      </c>
      <c r="AI120" s="764">
        <f t="shared" ca="1" si="86"/>
        <v>14572.354760741286</v>
      </c>
      <c r="AJ120" s="764">
        <f t="shared" ca="1" si="86"/>
        <v>15043.678008644847</v>
      </c>
      <c r="AK120" s="764">
        <f t="shared" ca="1" si="86"/>
        <v>13556.03932027838</v>
      </c>
      <c r="AL120" s="764">
        <f t="shared" ca="1" si="86"/>
        <v>13601.609807579773</v>
      </c>
      <c r="AM120" s="764">
        <f t="shared" ca="1" si="86"/>
        <v>13583.630898331303</v>
      </c>
      <c r="AN120" s="764">
        <f t="shared" ca="1" si="86"/>
        <v>14201.830403918164</v>
      </c>
      <c r="AO120" s="764">
        <f t="shared" ca="1" si="86"/>
        <v>14180.687999071881</v>
      </c>
      <c r="AP120" s="764">
        <f t="shared" ca="1" si="86"/>
        <v>14378.516742577385</v>
      </c>
      <c r="AQ120" s="764">
        <f t="shared" ca="1" si="86"/>
        <v>14592.471030284099</v>
      </c>
      <c r="AR120" s="764">
        <f t="shared" ca="1" si="86"/>
        <v>14831.021255256303</v>
      </c>
      <c r="AS120" s="764">
        <f t="shared" ca="1" si="86"/>
        <v>15121.33995247625</v>
      </c>
      <c r="AT120" s="764">
        <f t="shared" ca="1" si="86"/>
        <v>15305.624623714788</v>
      </c>
      <c r="AU120" s="764">
        <f t="shared" ca="1" si="86"/>
        <v>15440.7902353275</v>
      </c>
      <c r="AV120" s="764">
        <f t="shared" ca="1" si="86"/>
        <v>15564.325935208826</v>
      </c>
      <c r="AW120" s="764">
        <f t="shared" ca="1" si="86"/>
        <v>15508.961754940652</v>
      </c>
      <c r="AX120" s="764">
        <f t="shared" ca="1" si="86"/>
        <v>15489.525712804711</v>
      </c>
      <c r="AY120" s="764">
        <f t="shared" ca="1" si="86"/>
        <v>15413.68368620959</v>
      </c>
      <c r="AZ120" s="764">
        <f t="shared" ca="1" si="86"/>
        <v>8280984.2305999845</v>
      </c>
      <c r="BA120" s="764">
        <f t="shared" ca="1" si="86"/>
        <v>0</v>
      </c>
      <c r="BB120" s="764">
        <f t="shared" ca="1" si="86"/>
        <v>0</v>
      </c>
      <c r="BC120" s="764">
        <f t="shared" ca="1" si="86"/>
        <v>0</v>
      </c>
      <c r="BD120" s="764">
        <f t="shared" ca="1" si="86"/>
        <v>0</v>
      </c>
      <c r="BE120" s="764">
        <f t="shared" ca="1" si="86"/>
        <v>0</v>
      </c>
      <c r="BF120" s="764">
        <f t="shared" ca="1" si="86"/>
        <v>0</v>
      </c>
      <c r="BG120" s="764">
        <f t="shared" ca="1" si="86"/>
        <v>0</v>
      </c>
      <c r="BH120" s="764">
        <f t="shared" ca="1" si="86"/>
        <v>0</v>
      </c>
      <c r="BI120" s="764">
        <f t="shared" ca="1" si="86"/>
        <v>0</v>
      </c>
      <c r="BJ120" s="764">
        <f t="shared" ca="1" si="86"/>
        <v>0</v>
      </c>
      <c r="BK120" s="764">
        <f t="shared" ca="1" si="86"/>
        <v>0</v>
      </c>
      <c r="BL120" s="764">
        <f t="shared" ca="1" si="86"/>
        <v>0</v>
      </c>
    </row>
    <row r="121" spans="1:64">
      <c r="A121" s="787">
        <f ca="1">(1+IRR(D120:BL120,0.01))^12-1</f>
        <v>117.27919972224187</v>
      </c>
      <c r="B121" s="762"/>
      <c r="C121" s="762"/>
      <c r="D121" s="762"/>
      <c r="E121" s="762"/>
      <c r="F121" s="762"/>
      <c r="G121" s="762"/>
      <c r="H121" s="762"/>
      <c r="I121" s="762"/>
      <c r="J121" s="762"/>
      <c r="K121" s="762"/>
      <c r="L121" s="762"/>
      <c r="M121" s="762"/>
      <c r="N121" s="762"/>
      <c r="O121" s="762"/>
      <c r="P121" s="762"/>
      <c r="Q121" s="762"/>
      <c r="R121" s="762"/>
      <c r="S121" s="762"/>
      <c r="T121" s="762"/>
      <c r="U121" s="762"/>
      <c r="V121" s="762"/>
      <c r="W121" s="762"/>
      <c r="X121" s="762"/>
      <c r="Y121" s="762"/>
      <c r="Z121" s="762"/>
      <c r="AA121" s="762"/>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row>
    <row r="122" spans="1:64">
      <c r="A122" s="788">
        <f ca="1">SUM(D120:BL120)</f>
        <v>9461722.0303807128</v>
      </c>
      <c r="B122" s="762"/>
      <c r="C122" s="762"/>
      <c r="D122" s="762"/>
      <c r="E122" s="762"/>
      <c r="F122" s="762"/>
      <c r="G122" s="762"/>
      <c r="H122" s="762"/>
      <c r="I122" s="762"/>
      <c r="J122" s="762"/>
      <c r="K122" s="762"/>
      <c r="L122" s="762"/>
      <c r="M122" s="762"/>
      <c r="N122" s="762"/>
      <c r="O122" s="762"/>
      <c r="P122" s="762"/>
      <c r="Q122" s="762"/>
      <c r="R122" s="762"/>
      <c r="S122" s="762"/>
      <c r="T122" s="762"/>
      <c r="U122" s="762"/>
      <c r="V122" s="762"/>
      <c r="W122" s="762"/>
      <c r="X122" s="762"/>
      <c r="Y122" s="762"/>
      <c r="Z122" s="762"/>
      <c r="AA122" s="762"/>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row>
    <row r="123" spans="1:64">
      <c r="A123" s="789">
        <f ca="1">SUM(D108:BL119)/-SUM(D107:BL107)</f>
        <v>16.769536717301477</v>
      </c>
      <c r="B123" s="762"/>
      <c r="C123" s="762"/>
      <c r="D123" s="762"/>
      <c r="E123" s="762"/>
      <c r="F123" s="762"/>
      <c r="G123" s="762"/>
      <c r="H123" s="762"/>
      <c r="I123" s="762"/>
      <c r="J123" s="762"/>
      <c r="K123" s="762"/>
      <c r="L123" s="762"/>
      <c r="M123" s="762"/>
      <c r="N123" s="762"/>
      <c r="O123" s="762"/>
      <c r="P123" s="762"/>
      <c r="Q123" s="762"/>
      <c r="R123" s="762"/>
      <c r="S123" s="762"/>
      <c r="T123" s="762"/>
      <c r="U123" s="762"/>
      <c r="V123" s="762"/>
      <c r="W123" s="762"/>
      <c r="X123" s="762"/>
      <c r="Y123" s="762"/>
      <c r="Z123" s="762"/>
      <c r="AA123" s="762"/>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row>
    <row r="124" spans="1:64">
      <c r="A124" s="767"/>
      <c r="B124" s="762"/>
      <c r="C124" s="762"/>
      <c r="D124" s="762"/>
      <c r="E124" s="762"/>
      <c r="F124" s="762"/>
      <c r="G124" s="762"/>
      <c r="H124" s="762"/>
      <c r="I124" s="762"/>
      <c r="J124" s="762"/>
      <c r="K124" s="762"/>
      <c r="L124" s="762"/>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2"/>
      <c r="AJ124" s="762"/>
      <c r="AK124" s="762"/>
      <c r="AL124" s="762"/>
      <c r="AM124" s="762"/>
      <c r="AN124" s="762"/>
      <c r="AO124" s="762"/>
      <c r="AP124" s="762"/>
      <c r="AQ124" s="762"/>
      <c r="AR124" s="762"/>
      <c r="AS124" s="762"/>
      <c r="AT124" s="762"/>
      <c r="AU124" s="762"/>
      <c r="AV124" s="762"/>
      <c r="AW124" s="762"/>
      <c r="AX124" s="762"/>
      <c r="AY124" s="762"/>
      <c r="AZ124" s="762"/>
      <c r="BA124" s="762"/>
      <c r="BB124" s="762"/>
      <c r="BC124" s="762"/>
      <c r="BD124" s="762"/>
      <c r="BE124" s="762"/>
      <c r="BF124" s="762"/>
      <c r="BG124" s="762"/>
      <c r="BH124" s="762"/>
      <c r="BI124" s="762"/>
      <c r="BJ124" s="762"/>
      <c r="BK124" s="762"/>
      <c r="BL124" s="762"/>
    </row>
    <row r="125" spans="1:64">
      <c r="A125" s="814" t="s">
        <v>703</v>
      </c>
      <c r="B125" s="762"/>
      <c r="C125" s="762"/>
      <c r="D125" s="762"/>
      <c r="E125" s="762"/>
      <c r="F125" s="762"/>
      <c r="G125" s="762"/>
      <c r="H125" s="762"/>
      <c r="I125" s="762"/>
      <c r="J125" s="762"/>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2"/>
      <c r="AJ125" s="762"/>
      <c r="AK125" s="762"/>
      <c r="AL125" s="762"/>
      <c r="AM125" s="762"/>
      <c r="AN125" s="762"/>
      <c r="AO125" s="762"/>
      <c r="AP125" s="762"/>
      <c r="AQ125" s="762"/>
      <c r="AR125" s="762"/>
      <c r="AS125" s="762"/>
      <c r="AT125" s="762"/>
      <c r="AU125" s="762"/>
      <c r="AV125" s="762"/>
      <c r="AW125" s="762"/>
      <c r="AX125" s="762"/>
      <c r="AY125" s="762"/>
      <c r="AZ125" s="762"/>
      <c r="BA125" s="762"/>
      <c r="BB125" s="762"/>
      <c r="BC125" s="762"/>
      <c r="BD125" s="762"/>
      <c r="BE125" s="762"/>
      <c r="BF125" s="762"/>
      <c r="BG125" s="762"/>
      <c r="BH125" s="762"/>
      <c r="BI125" s="762"/>
      <c r="BJ125" s="762"/>
      <c r="BK125" s="762"/>
      <c r="BL125" s="762"/>
    </row>
    <row r="126" spans="1:64">
      <c r="A126" s="811" t="s">
        <v>704</v>
      </c>
      <c r="B126" s="762"/>
      <c r="C126" s="762"/>
      <c r="D126" s="763">
        <f ca="1">D107</f>
        <v>-534505.07346667291</v>
      </c>
      <c r="E126" s="763">
        <f t="shared" ref="E126:BL126" ca="1" si="87">E107</f>
        <v>-65494.926533327045</v>
      </c>
      <c r="F126" s="763">
        <f t="shared" ca="1" si="87"/>
        <v>1.6133862035746707E-9</v>
      </c>
      <c r="G126" s="763">
        <f t="shared" ca="1" si="87"/>
        <v>1.6133862035746707E-9</v>
      </c>
      <c r="H126" s="763">
        <f t="shared" ca="1" si="87"/>
        <v>1.6133862035746707E-9</v>
      </c>
      <c r="I126" s="763">
        <f t="shared" ca="1" si="87"/>
        <v>1.6133862035746707E-9</v>
      </c>
      <c r="J126" s="763">
        <f t="shared" ca="1" si="87"/>
        <v>1.6133862035746707E-9</v>
      </c>
      <c r="K126" s="763">
        <f t="shared" ca="1" si="87"/>
        <v>1.6133862035746707E-9</v>
      </c>
      <c r="L126" s="763">
        <f t="shared" ca="1" si="87"/>
        <v>1.6133862035746707E-9</v>
      </c>
      <c r="M126" s="763">
        <f t="shared" ca="1" si="87"/>
        <v>0</v>
      </c>
      <c r="N126" s="763">
        <f t="shared" ca="1" si="87"/>
        <v>0</v>
      </c>
      <c r="O126" s="763">
        <f t="shared" ca="1" si="87"/>
        <v>0</v>
      </c>
      <c r="P126" s="763">
        <f t="shared" ca="1" si="87"/>
        <v>0</v>
      </c>
      <c r="Q126" s="763">
        <f t="shared" ca="1" si="87"/>
        <v>0</v>
      </c>
      <c r="R126" s="763">
        <f t="shared" ca="1" si="87"/>
        <v>0</v>
      </c>
      <c r="S126" s="763">
        <f t="shared" ca="1" si="87"/>
        <v>0</v>
      </c>
      <c r="T126" s="763">
        <f t="shared" ca="1" si="87"/>
        <v>0</v>
      </c>
      <c r="U126" s="763">
        <f t="shared" ca="1" si="87"/>
        <v>0</v>
      </c>
      <c r="V126" s="763">
        <f t="shared" ca="1" si="87"/>
        <v>0</v>
      </c>
      <c r="W126" s="763">
        <f t="shared" ca="1" si="87"/>
        <v>0</v>
      </c>
      <c r="X126" s="763">
        <f t="shared" ca="1" si="87"/>
        <v>0</v>
      </c>
      <c r="Y126" s="763">
        <f t="shared" ca="1" si="87"/>
        <v>0</v>
      </c>
      <c r="Z126" s="763">
        <f t="shared" ca="1" si="87"/>
        <v>0</v>
      </c>
      <c r="AA126" s="763">
        <f t="shared" ca="1" si="87"/>
        <v>0</v>
      </c>
      <c r="AB126" s="763">
        <f t="shared" ca="1" si="87"/>
        <v>0</v>
      </c>
      <c r="AC126" s="763">
        <f t="shared" ca="1" si="87"/>
        <v>0</v>
      </c>
      <c r="AD126" s="763">
        <f t="shared" ca="1" si="87"/>
        <v>0</v>
      </c>
      <c r="AE126" s="763">
        <f t="shared" ca="1" si="87"/>
        <v>0</v>
      </c>
      <c r="AF126" s="763">
        <f t="shared" ca="1" si="87"/>
        <v>0</v>
      </c>
      <c r="AG126" s="763">
        <f t="shared" ca="1" si="87"/>
        <v>0</v>
      </c>
      <c r="AH126" s="763">
        <f t="shared" ca="1" si="87"/>
        <v>0</v>
      </c>
      <c r="AI126" s="763">
        <f t="shared" ca="1" si="87"/>
        <v>0</v>
      </c>
      <c r="AJ126" s="763">
        <f t="shared" ca="1" si="87"/>
        <v>0</v>
      </c>
      <c r="AK126" s="763">
        <f t="shared" ca="1" si="87"/>
        <v>0</v>
      </c>
      <c r="AL126" s="763">
        <f t="shared" ca="1" si="87"/>
        <v>0</v>
      </c>
      <c r="AM126" s="763">
        <f t="shared" ca="1" si="87"/>
        <v>0</v>
      </c>
      <c r="AN126" s="763">
        <f t="shared" ca="1" si="87"/>
        <v>0</v>
      </c>
      <c r="AO126" s="763">
        <f t="shared" ca="1" si="87"/>
        <v>0</v>
      </c>
      <c r="AP126" s="763">
        <f t="shared" ca="1" si="87"/>
        <v>0</v>
      </c>
      <c r="AQ126" s="763">
        <f t="shared" ca="1" si="87"/>
        <v>0</v>
      </c>
      <c r="AR126" s="763">
        <f t="shared" ca="1" si="87"/>
        <v>0</v>
      </c>
      <c r="AS126" s="763">
        <f t="shared" ca="1" si="87"/>
        <v>0</v>
      </c>
      <c r="AT126" s="763">
        <f t="shared" ca="1" si="87"/>
        <v>0</v>
      </c>
      <c r="AU126" s="763">
        <f t="shared" ca="1" si="87"/>
        <v>0</v>
      </c>
      <c r="AV126" s="763">
        <f t="shared" ca="1" si="87"/>
        <v>0</v>
      </c>
      <c r="AW126" s="763">
        <f t="shared" ca="1" si="87"/>
        <v>0</v>
      </c>
      <c r="AX126" s="763">
        <f t="shared" ca="1" si="87"/>
        <v>0</v>
      </c>
      <c r="AY126" s="763">
        <f t="shared" ca="1" si="87"/>
        <v>0</v>
      </c>
      <c r="AZ126" s="763">
        <f t="shared" ca="1" si="87"/>
        <v>0</v>
      </c>
      <c r="BA126" s="763">
        <f t="shared" ca="1" si="87"/>
        <v>0</v>
      </c>
      <c r="BB126" s="763">
        <f t="shared" ca="1" si="87"/>
        <v>0</v>
      </c>
      <c r="BC126" s="763">
        <f t="shared" ca="1" si="87"/>
        <v>0</v>
      </c>
      <c r="BD126" s="763">
        <f t="shared" ca="1" si="87"/>
        <v>0</v>
      </c>
      <c r="BE126" s="763">
        <f t="shared" ca="1" si="87"/>
        <v>0</v>
      </c>
      <c r="BF126" s="763">
        <f t="shared" ca="1" si="87"/>
        <v>0</v>
      </c>
      <c r="BG126" s="763">
        <f t="shared" ca="1" si="87"/>
        <v>0</v>
      </c>
      <c r="BH126" s="763">
        <f t="shared" ca="1" si="87"/>
        <v>0</v>
      </c>
      <c r="BI126" s="763">
        <f t="shared" ca="1" si="87"/>
        <v>0</v>
      </c>
      <c r="BJ126" s="763">
        <f t="shared" ca="1" si="87"/>
        <v>0</v>
      </c>
      <c r="BK126" s="763">
        <f t="shared" ca="1" si="87"/>
        <v>0</v>
      </c>
      <c r="BL126" s="763">
        <f t="shared" ca="1" si="87"/>
        <v>0</v>
      </c>
    </row>
    <row r="127" spans="1:64">
      <c r="A127" s="811" t="s">
        <v>705</v>
      </c>
      <c r="B127" s="762"/>
      <c r="C127" s="762"/>
      <c r="D127" s="763">
        <f ca="1">SUM(D110,D113:D119)</f>
        <v>0</v>
      </c>
      <c r="E127" s="763">
        <f t="shared" ref="E127:BL127" ca="1" si="88">SUM(E110,E113:E119)</f>
        <v>0</v>
      </c>
      <c r="F127" s="763">
        <f t="shared" ca="1" si="88"/>
        <v>0</v>
      </c>
      <c r="G127" s="763">
        <f t="shared" ca="1" si="88"/>
        <v>0</v>
      </c>
      <c r="H127" s="763">
        <f t="shared" ca="1" si="88"/>
        <v>0</v>
      </c>
      <c r="I127" s="763">
        <f t="shared" ca="1" si="88"/>
        <v>0</v>
      </c>
      <c r="J127" s="763">
        <f t="shared" ca="1" si="88"/>
        <v>0</v>
      </c>
      <c r="K127" s="763">
        <f t="shared" ca="1" si="88"/>
        <v>0</v>
      </c>
      <c r="L127" s="763">
        <f t="shared" ca="1" si="88"/>
        <v>0</v>
      </c>
      <c r="M127" s="763">
        <f t="shared" ca="1" si="88"/>
        <v>0</v>
      </c>
      <c r="N127" s="763">
        <f t="shared" ca="1" si="88"/>
        <v>0</v>
      </c>
      <c r="O127" s="763">
        <f t="shared" ca="1" si="88"/>
        <v>0</v>
      </c>
      <c r="P127" s="763">
        <f t="shared" ca="1" si="88"/>
        <v>0</v>
      </c>
      <c r="Q127" s="763">
        <f t="shared" ca="1" si="88"/>
        <v>0</v>
      </c>
      <c r="R127" s="763">
        <f t="shared" ca="1" si="88"/>
        <v>10492.129786402065</v>
      </c>
      <c r="S127" s="763">
        <f t="shared" ca="1" si="88"/>
        <v>0</v>
      </c>
      <c r="T127" s="763">
        <f t="shared" ca="1" si="88"/>
        <v>0</v>
      </c>
      <c r="U127" s="763">
        <f t="shared" ca="1" si="88"/>
        <v>0</v>
      </c>
      <c r="V127" s="763">
        <f t="shared" ca="1" si="88"/>
        <v>0</v>
      </c>
      <c r="W127" s="763">
        <f t="shared" ca="1" si="88"/>
        <v>0</v>
      </c>
      <c r="X127" s="763">
        <f t="shared" ca="1" si="88"/>
        <v>0</v>
      </c>
      <c r="Y127" s="763">
        <f t="shared" ca="1" si="88"/>
        <v>0</v>
      </c>
      <c r="Z127" s="763">
        <f t="shared" ca="1" si="88"/>
        <v>0</v>
      </c>
      <c r="AA127" s="763">
        <f t="shared" ca="1" si="88"/>
        <v>0</v>
      </c>
      <c r="AB127" s="763">
        <f t="shared" ca="1" si="88"/>
        <v>0</v>
      </c>
      <c r="AC127" s="763">
        <f t="shared" ca="1" si="88"/>
        <v>570.10406702816783</v>
      </c>
      <c r="AD127" s="763">
        <f t="shared" ca="1" si="88"/>
        <v>13698.891916318327</v>
      </c>
      <c r="AE127" s="763">
        <f t="shared" ca="1" si="88"/>
        <v>1665.8431893129821</v>
      </c>
      <c r="AF127" s="763">
        <f t="shared" ca="1" si="88"/>
        <v>2272.5326045374936</v>
      </c>
      <c r="AG127" s="763">
        <f t="shared" ca="1" si="88"/>
        <v>2856.4478232949564</v>
      </c>
      <c r="AH127" s="763">
        <f t="shared" ca="1" si="88"/>
        <v>4276.9238273025921</v>
      </c>
      <c r="AI127" s="763">
        <f t="shared" ca="1" si="88"/>
        <v>4979.7490060572645</v>
      </c>
      <c r="AJ127" s="763">
        <f t="shared" ca="1" si="88"/>
        <v>5451.072253960825</v>
      </c>
      <c r="AK127" s="763">
        <f t="shared" ca="1" si="88"/>
        <v>3963.4335655943569</v>
      </c>
      <c r="AL127" s="763">
        <f t="shared" ca="1" si="88"/>
        <v>4009.0040528957493</v>
      </c>
      <c r="AM127" s="763">
        <f t="shared" ca="1" si="88"/>
        <v>3991.0251436472818</v>
      </c>
      <c r="AN127" s="763">
        <f t="shared" ca="1" si="88"/>
        <v>4609.2246492341419</v>
      </c>
      <c r="AO127" s="763">
        <f t="shared" ca="1" si="88"/>
        <v>4588.0822443878587</v>
      </c>
      <c r="AP127" s="763">
        <f t="shared" ca="1" si="88"/>
        <v>4785.9109878933632</v>
      </c>
      <c r="AQ127" s="763">
        <f t="shared" ca="1" si="88"/>
        <v>4999.8652756000783</v>
      </c>
      <c r="AR127" s="763">
        <f t="shared" ca="1" si="88"/>
        <v>5238.4155005722814</v>
      </c>
      <c r="AS127" s="763">
        <f t="shared" ca="1" si="88"/>
        <v>5528.7341977922297</v>
      </c>
      <c r="AT127" s="763">
        <f t="shared" ca="1" si="88"/>
        <v>5713.0188690307668</v>
      </c>
      <c r="AU127" s="763">
        <f t="shared" ca="1" si="88"/>
        <v>5848.1844806434783</v>
      </c>
      <c r="AV127" s="763">
        <f t="shared" ca="1" si="88"/>
        <v>5971.7201805248023</v>
      </c>
      <c r="AW127" s="763">
        <f t="shared" ca="1" si="88"/>
        <v>5916.3560002566301</v>
      </c>
      <c r="AX127" s="763">
        <f t="shared" ca="1" si="88"/>
        <v>5896.9199581206885</v>
      </c>
      <c r="AY127" s="763">
        <f t="shared" ca="1" si="88"/>
        <v>5821.0779315255668</v>
      </c>
      <c r="AZ127" s="763">
        <f ca="1">SUM(AZ110,AZ113:AZ119)</f>
        <v>8280984.2305999845</v>
      </c>
      <c r="BA127" s="763">
        <f t="shared" ca="1" si="88"/>
        <v>0</v>
      </c>
      <c r="BB127" s="763">
        <f t="shared" ca="1" si="88"/>
        <v>0</v>
      </c>
      <c r="BC127" s="763">
        <f t="shared" ca="1" si="88"/>
        <v>0</v>
      </c>
      <c r="BD127" s="763">
        <f t="shared" ca="1" si="88"/>
        <v>0</v>
      </c>
      <c r="BE127" s="763">
        <f t="shared" ca="1" si="88"/>
        <v>0</v>
      </c>
      <c r="BF127" s="763">
        <f t="shared" ca="1" si="88"/>
        <v>0</v>
      </c>
      <c r="BG127" s="763">
        <f t="shared" ca="1" si="88"/>
        <v>0</v>
      </c>
      <c r="BH127" s="763">
        <f t="shared" ca="1" si="88"/>
        <v>0</v>
      </c>
      <c r="BI127" s="763">
        <f t="shared" ca="1" si="88"/>
        <v>0</v>
      </c>
      <c r="BJ127" s="763">
        <f t="shared" ca="1" si="88"/>
        <v>0</v>
      </c>
      <c r="BK127" s="763">
        <f t="shared" ca="1" si="88"/>
        <v>0</v>
      </c>
      <c r="BL127" s="763">
        <f t="shared" ca="1" si="88"/>
        <v>0</v>
      </c>
    </row>
    <row r="128" spans="1:64">
      <c r="A128" s="811" t="s">
        <v>706</v>
      </c>
      <c r="B128" s="762"/>
      <c r="C128" s="762"/>
      <c r="D128" s="812">
        <f ca="1">SUM(D126:D127)</f>
        <v>-534505.07346667291</v>
      </c>
      <c r="E128" s="812">
        <f t="shared" ref="E128:BL128" ca="1" si="89">SUM(E126:E127)</f>
        <v>-65494.926533327045</v>
      </c>
      <c r="F128" s="812">
        <f t="shared" ca="1" si="89"/>
        <v>1.6133862035746707E-9</v>
      </c>
      <c r="G128" s="812">
        <f t="shared" ca="1" si="89"/>
        <v>1.6133862035746707E-9</v>
      </c>
      <c r="H128" s="812">
        <f t="shared" ca="1" si="89"/>
        <v>1.6133862035746707E-9</v>
      </c>
      <c r="I128" s="812">
        <f t="shared" ca="1" si="89"/>
        <v>1.6133862035746707E-9</v>
      </c>
      <c r="J128" s="812">
        <f t="shared" ca="1" si="89"/>
        <v>1.6133862035746707E-9</v>
      </c>
      <c r="K128" s="812">
        <f t="shared" ca="1" si="89"/>
        <v>1.6133862035746707E-9</v>
      </c>
      <c r="L128" s="812">
        <f t="shared" ca="1" si="89"/>
        <v>1.6133862035746707E-9</v>
      </c>
      <c r="M128" s="812">
        <f t="shared" ca="1" si="89"/>
        <v>0</v>
      </c>
      <c r="N128" s="812">
        <f t="shared" ca="1" si="89"/>
        <v>0</v>
      </c>
      <c r="O128" s="812">
        <f t="shared" ca="1" si="89"/>
        <v>0</v>
      </c>
      <c r="P128" s="812">
        <f t="shared" ca="1" si="89"/>
        <v>0</v>
      </c>
      <c r="Q128" s="812">
        <f t="shared" ca="1" si="89"/>
        <v>0</v>
      </c>
      <c r="R128" s="812">
        <f t="shared" ca="1" si="89"/>
        <v>10492.129786402065</v>
      </c>
      <c r="S128" s="812">
        <f t="shared" ca="1" si="89"/>
        <v>0</v>
      </c>
      <c r="T128" s="812">
        <f t="shared" ca="1" si="89"/>
        <v>0</v>
      </c>
      <c r="U128" s="812">
        <f t="shared" ca="1" si="89"/>
        <v>0</v>
      </c>
      <c r="V128" s="812">
        <f t="shared" ca="1" si="89"/>
        <v>0</v>
      </c>
      <c r="W128" s="812">
        <f t="shared" ca="1" si="89"/>
        <v>0</v>
      </c>
      <c r="X128" s="812">
        <f t="shared" ca="1" si="89"/>
        <v>0</v>
      </c>
      <c r="Y128" s="812">
        <f t="shared" ca="1" si="89"/>
        <v>0</v>
      </c>
      <c r="Z128" s="812">
        <f t="shared" ca="1" si="89"/>
        <v>0</v>
      </c>
      <c r="AA128" s="812">
        <f t="shared" ca="1" si="89"/>
        <v>0</v>
      </c>
      <c r="AB128" s="812">
        <f t="shared" ca="1" si="89"/>
        <v>0</v>
      </c>
      <c r="AC128" s="812">
        <f t="shared" ca="1" si="89"/>
        <v>570.10406702816783</v>
      </c>
      <c r="AD128" s="812">
        <f t="shared" ca="1" si="89"/>
        <v>13698.891916318327</v>
      </c>
      <c r="AE128" s="812">
        <f t="shared" ca="1" si="89"/>
        <v>1665.8431893129821</v>
      </c>
      <c r="AF128" s="812">
        <f t="shared" ca="1" si="89"/>
        <v>2272.5326045374936</v>
      </c>
      <c r="AG128" s="812">
        <f t="shared" ca="1" si="89"/>
        <v>2856.4478232949564</v>
      </c>
      <c r="AH128" s="812">
        <f t="shared" ca="1" si="89"/>
        <v>4276.9238273025921</v>
      </c>
      <c r="AI128" s="812">
        <f t="shared" ca="1" si="89"/>
        <v>4979.7490060572645</v>
      </c>
      <c r="AJ128" s="812">
        <f t="shared" ca="1" si="89"/>
        <v>5451.072253960825</v>
      </c>
      <c r="AK128" s="812">
        <f t="shared" ca="1" si="89"/>
        <v>3963.4335655943569</v>
      </c>
      <c r="AL128" s="812">
        <f t="shared" ca="1" si="89"/>
        <v>4009.0040528957493</v>
      </c>
      <c r="AM128" s="812">
        <f t="shared" ca="1" si="89"/>
        <v>3991.0251436472818</v>
      </c>
      <c r="AN128" s="812">
        <f t="shared" ca="1" si="89"/>
        <v>4609.2246492341419</v>
      </c>
      <c r="AO128" s="812">
        <f t="shared" ca="1" si="89"/>
        <v>4588.0822443878587</v>
      </c>
      <c r="AP128" s="812">
        <f t="shared" ca="1" si="89"/>
        <v>4785.9109878933632</v>
      </c>
      <c r="AQ128" s="812">
        <f t="shared" ca="1" si="89"/>
        <v>4999.8652756000783</v>
      </c>
      <c r="AR128" s="812">
        <f t="shared" ca="1" si="89"/>
        <v>5238.4155005722814</v>
      </c>
      <c r="AS128" s="812">
        <f t="shared" ca="1" si="89"/>
        <v>5528.7341977922297</v>
      </c>
      <c r="AT128" s="812">
        <f t="shared" ca="1" si="89"/>
        <v>5713.0188690307668</v>
      </c>
      <c r="AU128" s="812">
        <f t="shared" ca="1" si="89"/>
        <v>5848.1844806434783</v>
      </c>
      <c r="AV128" s="812">
        <f t="shared" ca="1" si="89"/>
        <v>5971.7201805248023</v>
      </c>
      <c r="AW128" s="812">
        <f t="shared" ca="1" si="89"/>
        <v>5916.3560002566301</v>
      </c>
      <c r="AX128" s="812">
        <f t="shared" ca="1" si="89"/>
        <v>5896.9199581206885</v>
      </c>
      <c r="AY128" s="812">
        <f t="shared" ca="1" si="89"/>
        <v>5821.0779315255668</v>
      </c>
      <c r="AZ128" s="812">
        <f t="shared" ca="1" si="89"/>
        <v>8280984.2305999845</v>
      </c>
      <c r="BA128" s="812">
        <f t="shared" ca="1" si="89"/>
        <v>0</v>
      </c>
      <c r="BB128" s="812">
        <f t="shared" ca="1" si="89"/>
        <v>0</v>
      </c>
      <c r="BC128" s="812">
        <f t="shared" ca="1" si="89"/>
        <v>0</v>
      </c>
      <c r="BD128" s="812">
        <f t="shared" ca="1" si="89"/>
        <v>0</v>
      </c>
      <c r="BE128" s="812">
        <f t="shared" ca="1" si="89"/>
        <v>0</v>
      </c>
      <c r="BF128" s="812">
        <f t="shared" ca="1" si="89"/>
        <v>0</v>
      </c>
      <c r="BG128" s="812">
        <f t="shared" ca="1" si="89"/>
        <v>0</v>
      </c>
      <c r="BH128" s="812">
        <f t="shared" ca="1" si="89"/>
        <v>0</v>
      </c>
      <c r="BI128" s="812">
        <f t="shared" ca="1" si="89"/>
        <v>0</v>
      </c>
      <c r="BJ128" s="812">
        <f t="shared" ca="1" si="89"/>
        <v>0</v>
      </c>
      <c r="BK128" s="812">
        <f t="shared" ca="1" si="89"/>
        <v>0</v>
      </c>
      <c r="BL128" s="812">
        <f t="shared" ca="1" si="89"/>
        <v>0</v>
      </c>
    </row>
    <row r="129" spans="1:64">
      <c r="A129" s="787">
        <f ca="1">(1+IRR(D128:BL128,0.01))^12-1</f>
        <v>0.9472809484799678</v>
      </c>
      <c r="B129" s="762"/>
      <c r="C129" s="762"/>
      <c r="D129" s="762"/>
      <c r="E129" s="762"/>
      <c r="F129" s="762"/>
      <c r="G129" s="762"/>
      <c r="H129" s="762"/>
      <c r="I129" s="762"/>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2"/>
      <c r="AJ129" s="762"/>
      <c r="AK129" s="762"/>
      <c r="AL129" s="762"/>
      <c r="AM129" s="762"/>
      <c r="AN129" s="762"/>
      <c r="AO129" s="762"/>
      <c r="AP129" s="762"/>
      <c r="AQ129" s="762"/>
      <c r="AR129" s="762"/>
      <c r="AS129" s="762"/>
      <c r="AT129" s="762"/>
      <c r="AU129" s="762"/>
      <c r="AV129" s="762"/>
      <c r="AW129" s="762"/>
      <c r="AX129" s="762"/>
      <c r="AY129" s="762"/>
      <c r="AZ129" s="762"/>
      <c r="BA129" s="762"/>
      <c r="BB129" s="762"/>
      <c r="BC129" s="762"/>
      <c r="BD129" s="762"/>
      <c r="BE129" s="762"/>
      <c r="BF129" s="762"/>
      <c r="BG129" s="762"/>
      <c r="BH129" s="762"/>
      <c r="BI129" s="762"/>
      <c r="BJ129" s="762"/>
      <c r="BK129" s="762"/>
      <c r="BL129" s="762"/>
    </row>
    <row r="130" spans="1:64">
      <c r="A130" s="788">
        <f ca="1">SUM(D128:BL128)</f>
        <v>7804128.8981119301</v>
      </c>
      <c r="B130" s="762"/>
      <c r="C130" s="762"/>
      <c r="D130" s="762"/>
      <c r="E130" s="762"/>
      <c r="F130" s="762"/>
      <c r="G130" s="762"/>
      <c r="H130" s="762"/>
      <c r="I130" s="762"/>
      <c r="J130" s="762"/>
      <c r="K130" s="762"/>
      <c r="L130" s="762"/>
      <c r="M130" s="762"/>
      <c r="N130" s="762"/>
      <c r="O130" s="762"/>
      <c r="P130" s="762"/>
      <c r="Q130" s="762"/>
      <c r="R130" s="762"/>
      <c r="S130" s="762"/>
      <c r="T130" s="762"/>
      <c r="U130" s="762"/>
      <c r="V130" s="762"/>
      <c r="W130" s="762"/>
      <c r="X130" s="762"/>
      <c r="Y130" s="762"/>
      <c r="Z130" s="762"/>
      <c r="AA130" s="762"/>
      <c r="AB130" s="762"/>
      <c r="AC130" s="762"/>
      <c r="AD130" s="762"/>
      <c r="AE130" s="762"/>
      <c r="AF130" s="762"/>
      <c r="AG130" s="762"/>
      <c r="AH130" s="762"/>
      <c r="AI130" s="762"/>
      <c r="AJ130" s="762"/>
      <c r="AK130" s="762"/>
      <c r="AL130" s="762"/>
      <c r="AM130" s="762"/>
      <c r="AN130" s="762"/>
      <c r="AO130" s="762"/>
      <c r="AP130" s="762"/>
      <c r="AQ130" s="762"/>
      <c r="AR130" s="762"/>
      <c r="AS130" s="762"/>
      <c r="AT130" s="762"/>
      <c r="AU130" s="762"/>
      <c r="AV130" s="762"/>
      <c r="AW130" s="762"/>
      <c r="AX130" s="762"/>
      <c r="AY130" s="762"/>
      <c r="AZ130" s="762"/>
      <c r="BA130" s="762"/>
      <c r="BB130" s="762"/>
      <c r="BC130" s="762"/>
      <c r="BD130" s="762"/>
      <c r="BE130" s="762"/>
      <c r="BF130" s="762"/>
      <c r="BG130" s="762"/>
      <c r="BH130" s="762"/>
      <c r="BI130" s="762"/>
      <c r="BJ130" s="762"/>
      <c r="BK130" s="762"/>
      <c r="BL130" s="762"/>
    </row>
    <row r="131" spans="1:64">
      <c r="A131" s="789">
        <f ca="1">SUM(D127:BL127)/-SUM(D126:BL126)</f>
        <v>14.006881496853465</v>
      </c>
      <c r="B131" s="762"/>
      <c r="C131" s="762"/>
      <c r="D131" s="762"/>
      <c r="E131" s="762"/>
      <c r="F131" s="762"/>
      <c r="G131" s="762"/>
      <c r="H131" s="762"/>
      <c r="I131" s="762"/>
      <c r="J131" s="762"/>
      <c r="K131" s="762"/>
      <c r="L131" s="762"/>
      <c r="M131" s="762"/>
      <c r="N131" s="762"/>
      <c r="O131" s="762"/>
      <c r="P131" s="762"/>
      <c r="Q131" s="762"/>
      <c r="R131" s="762"/>
      <c r="S131" s="762"/>
      <c r="T131" s="762"/>
      <c r="U131" s="762"/>
      <c r="V131" s="762"/>
      <c r="W131" s="762"/>
      <c r="X131" s="762"/>
      <c r="Y131" s="762"/>
      <c r="Z131" s="762"/>
      <c r="AA131" s="762"/>
      <c r="AB131" s="762"/>
      <c r="AC131" s="762"/>
      <c r="AD131" s="762"/>
      <c r="AE131" s="762"/>
      <c r="AF131" s="762"/>
      <c r="AG131" s="762"/>
      <c r="AH131" s="762"/>
      <c r="AI131" s="762"/>
      <c r="AJ131" s="762"/>
      <c r="AK131" s="762"/>
      <c r="AL131" s="762"/>
      <c r="AM131" s="762"/>
      <c r="AN131" s="762"/>
      <c r="AO131" s="762"/>
      <c r="AP131" s="762"/>
      <c r="AQ131" s="762"/>
      <c r="AR131" s="762"/>
      <c r="AS131" s="762"/>
      <c r="AT131" s="762"/>
      <c r="AU131" s="762"/>
      <c r="AV131" s="762"/>
      <c r="AW131" s="762"/>
      <c r="AX131" s="762"/>
      <c r="AY131" s="762"/>
      <c r="AZ131" s="762"/>
      <c r="BA131" s="762"/>
      <c r="BB131" s="762"/>
      <c r="BC131" s="762"/>
      <c r="BD131" s="762"/>
      <c r="BE131" s="762"/>
      <c r="BF131" s="762"/>
      <c r="BG131" s="762"/>
      <c r="BH131" s="762"/>
      <c r="BI131" s="762"/>
      <c r="BJ131" s="762"/>
      <c r="BK131" s="762"/>
      <c r="BL131" s="762"/>
    </row>
    <row r="132" spans="1:64">
      <c r="A132" s="811"/>
      <c r="B132" s="762"/>
      <c r="C132" s="762"/>
      <c r="D132" s="762"/>
      <c r="E132" s="762"/>
      <c r="F132" s="762"/>
      <c r="G132" s="762"/>
      <c r="H132" s="762"/>
      <c r="I132" s="762"/>
      <c r="J132" s="762"/>
      <c r="K132" s="762"/>
      <c r="L132" s="762"/>
      <c r="M132" s="762"/>
      <c r="N132" s="762"/>
      <c r="O132" s="762"/>
      <c r="P132" s="762"/>
      <c r="Q132" s="762"/>
      <c r="R132" s="762"/>
      <c r="S132" s="762"/>
      <c r="T132" s="762"/>
      <c r="U132" s="762"/>
      <c r="V132" s="762"/>
      <c r="W132" s="762"/>
      <c r="X132" s="762"/>
      <c r="Y132" s="762"/>
      <c r="Z132" s="762"/>
      <c r="AA132" s="762"/>
      <c r="AB132" s="762"/>
      <c r="AC132" s="762"/>
      <c r="AD132" s="762"/>
      <c r="AE132" s="762"/>
      <c r="AF132" s="762"/>
      <c r="AG132" s="762"/>
      <c r="AH132" s="762"/>
      <c r="AI132" s="762"/>
      <c r="AJ132" s="762"/>
      <c r="AK132" s="762"/>
      <c r="AL132" s="762"/>
      <c r="AM132" s="762"/>
      <c r="AN132" s="762"/>
      <c r="AO132" s="762"/>
      <c r="AP132" s="762"/>
      <c r="AQ132" s="762"/>
      <c r="AR132" s="762"/>
      <c r="AS132" s="762"/>
      <c r="AT132" s="762"/>
      <c r="AU132" s="762"/>
      <c r="AV132" s="762"/>
      <c r="AW132" s="762"/>
      <c r="AX132" s="762"/>
      <c r="AY132" s="762"/>
      <c r="AZ132" s="762"/>
      <c r="BA132" s="762"/>
      <c r="BB132" s="762"/>
      <c r="BC132" s="762"/>
      <c r="BD132" s="762"/>
      <c r="BE132" s="762"/>
      <c r="BF132" s="762"/>
      <c r="BG132" s="762"/>
      <c r="BH132" s="762"/>
      <c r="BI132" s="762"/>
      <c r="BJ132" s="762"/>
      <c r="BK132" s="762"/>
      <c r="BL132" s="762"/>
    </row>
    <row r="133" spans="1:64">
      <c r="A133" s="767"/>
      <c r="B133" s="762"/>
      <c r="C133" s="762"/>
      <c r="D133" s="762"/>
      <c r="E133" s="762"/>
      <c r="F133" s="762"/>
      <c r="G133" s="762"/>
      <c r="H133" s="762"/>
      <c r="I133" s="762"/>
      <c r="J133" s="762"/>
      <c r="K133" s="762"/>
      <c r="L133" s="762"/>
      <c r="M133" s="762"/>
      <c r="N133" s="762"/>
      <c r="O133" s="762"/>
      <c r="P133" s="762"/>
      <c r="Q133" s="762"/>
      <c r="R133" s="762"/>
      <c r="S133" s="762"/>
      <c r="T133" s="762"/>
      <c r="U133" s="762"/>
      <c r="V133" s="762"/>
      <c r="W133" s="762"/>
      <c r="X133" s="762"/>
      <c r="Y133" s="762"/>
      <c r="Z133" s="762"/>
      <c r="AA133" s="762"/>
      <c r="AB133" s="762"/>
      <c r="AC133" s="762"/>
      <c r="AD133" s="762"/>
      <c r="AE133" s="762"/>
      <c r="AF133" s="762"/>
      <c r="AG133" s="762"/>
      <c r="AH133" s="762"/>
      <c r="AI133" s="762"/>
      <c r="AJ133" s="762"/>
      <c r="AK133" s="762"/>
      <c r="AL133" s="762"/>
      <c r="AM133" s="762"/>
      <c r="AN133" s="762"/>
      <c r="AO133" s="762"/>
      <c r="AP133" s="762"/>
      <c r="AQ133" s="762"/>
      <c r="AR133" s="762"/>
      <c r="AS133" s="762"/>
      <c r="AT133" s="762"/>
      <c r="AU133" s="762"/>
      <c r="AV133" s="762"/>
      <c r="AW133" s="762"/>
      <c r="AX133" s="762"/>
      <c r="AY133" s="762"/>
      <c r="AZ133" s="762"/>
      <c r="BA133" s="762"/>
      <c r="BB133" s="762"/>
      <c r="BC133" s="762"/>
      <c r="BD133" s="762"/>
      <c r="BE133" s="762"/>
      <c r="BF133" s="762"/>
      <c r="BG133" s="762"/>
      <c r="BH133" s="762"/>
      <c r="BI133" s="762"/>
      <c r="BJ133" s="762"/>
      <c r="BK133" s="762"/>
      <c r="BL133" s="762"/>
    </row>
    <row r="134" spans="1:64">
      <c r="A134" s="759" t="s">
        <v>657</v>
      </c>
      <c r="B134" s="759"/>
    </row>
    <row r="135" spans="1:64" s="772" customFormat="1">
      <c r="A135" s="815" t="s">
        <v>645</v>
      </c>
      <c r="B135" s="762"/>
      <c r="C135" s="762"/>
      <c r="D135" s="763">
        <f ca="1">D95+D126</f>
        <v>-6170830.5186084136</v>
      </c>
      <c r="E135" s="763">
        <f t="shared" ref="E135:BL135" ca="1" si="90">E95+E126</f>
        <v>-756135.18286102917</v>
      </c>
      <c r="F135" s="763">
        <f t="shared" ca="1" si="90"/>
        <v>1.862645149230957E-8</v>
      </c>
      <c r="G135" s="763">
        <f t="shared" ca="1" si="90"/>
        <v>1.862645149230957E-8</v>
      </c>
      <c r="H135" s="763">
        <f t="shared" ca="1" si="90"/>
        <v>1.862645149230957E-8</v>
      </c>
      <c r="I135" s="763">
        <f t="shared" ca="1" si="90"/>
        <v>1.862645149230957E-8</v>
      </c>
      <c r="J135" s="763">
        <f t="shared" ca="1" si="90"/>
        <v>1.862645149230957E-8</v>
      </c>
      <c r="K135" s="763">
        <f t="shared" ca="1" si="90"/>
        <v>1.862645149230957E-8</v>
      </c>
      <c r="L135" s="763">
        <f t="shared" ca="1" si="90"/>
        <v>1.862645149230957E-8</v>
      </c>
      <c r="M135" s="763">
        <f t="shared" ca="1" si="90"/>
        <v>0</v>
      </c>
      <c r="N135" s="763">
        <f t="shared" ca="1" si="90"/>
        <v>0</v>
      </c>
      <c r="O135" s="763">
        <f t="shared" ca="1" si="90"/>
        <v>0</v>
      </c>
      <c r="P135" s="763">
        <f t="shared" ca="1" si="90"/>
        <v>0</v>
      </c>
      <c r="Q135" s="763">
        <f t="shared" ca="1" si="90"/>
        <v>0</v>
      </c>
      <c r="R135" s="763">
        <f t="shared" ca="1" si="90"/>
        <v>0</v>
      </c>
      <c r="S135" s="763">
        <f t="shared" ca="1" si="90"/>
        <v>0</v>
      </c>
      <c r="T135" s="763">
        <f t="shared" ca="1" si="90"/>
        <v>0</v>
      </c>
      <c r="U135" s="763">
        <f t="shared" ca="1" si="90"/>
        <v>0</v>
      </c>
      <c r="V135" s="763">
        <f t="shared" ca="1" si="90"/>
        <v>0</v>
      </c>
      <c r="W135" s="763">
        <f t="shared" ca="1" si="90"/>
        <v>0</v>
      </c>
      <c r="X135" s="763">
        <f t="shared" ca="1" si="90"/>
        <v>0</v>
      </c>
      <c r="Y135" s="763">
        <f t="shared" ca="1" si="90"/>
        <v>0</v>
      </c>
      <c r="Z135" s="763">
        <f t="shared" ca="1" si="90"/>
        <v>0</v>
      </c>
      <c r="AA135" s="763">
        <f t="shared" ca="1" si="90"/>
        <v>0</v>
      </c>
      <c r="AB135" s="763">
        <f t="shared" ca="1" si="90"/>
        <v>0</v>
      </c>
      <c r="AC135" s="763">
        <f t="shared" ca="1" si="90"/>
        <v>0</v>
      </c>
      <c r="AD135" s="763">
        <f t="shared" ca="1" si="90"/>
        <v>0</v>
      </c>
      <c r="AE135" s="763">
        <f t="shared" ca="1" si="90"/>
        <v>0</v>
      </c>
      <c r="AF135" s="763">
        <f t="shared" ca="1" si="90"/>
        <v>0</v>
      </c>
      <c r="AG135" s="763">
        <f t="shared" ca="1" si="90"/>
        <v>0</v>
      </c>
      <c r="AH135" s="763">
        <f t="shared" ca="1" si="90"/>
        <v>0</v>
      </c>
      <c r="AI135" s="763">
        <f t="shared" ca="1" si="90"/>
        <v>0</v>
      </c>
      <c r="AJ135" s="763">
        <f t="shared" ca="1" si="90"/>
        <v>0</v>
      </c>
      <c r="AK135" s="763">
        <f t="shared" ca="1" si="90"/>
        <v>0</v>
      </c>
      <c r="AL135" s="763">
        <f t="shared" ca="1" si="90"/>
        <v>0</v>
      </c>
      <c r="AM135" s="763">
        <f t="shared" ca="1" si="90"/>
        <v>0</v>
      </c>
      <c r="AN135" s="763">
        <f t="shared" ca="1" si="90"/>
        <v>0</v>
      </c>
      <c r="AO135" s="763">
        <f t="shared" ca="1" si="90"/>
        <v>0</v>
      </c>
      <c r="AP135" s="763">
        <f t="shared" ca="1" si="90"/>
        <v>0</v>
      </c>
      <c r="AQ135" s="763">
        <f t="shared" ca="1" si="90"/>
        <v>0</v>
      </c>
      <c r="AR135" s="763">
        <f t="shared" ca="1" si="90"/>
        <v>0</v>
      </c>
      <c r="AS135" s="763">
        <f t="shared" ca="1" si="90"/>
        <v>0</v>
      </c>
      <c r="AT135" s="763">
        <f t="shared" ca="1" si="90"/>
        <v>0</v>
      </c>
      <c r="AU135" s="763">
        <f t="shared" ca="1" si="90"/>
        <v>0</v>
      </c>
      <c r="AV135" s="763">
        <f t="shared" ca="1" si="90"/>
        <v>0</v>
      </c>
      <c r="AW135" s="763">
        <f t="shared" ca="1" si="90"/>
        <v>0</v>
      </c>
      <c r="AX135" s="763">
        <f t="shared" ca="1" si="90"/>
        <v>0</v>
      </c>
      <c r="AY135" s="763">
        <f t="shared" ca="1" si="90"/>
        <v>0</v>
      </c>
      <c r="AZ135" s="763">
        <f t="shared" ca="1" si="90"/>
        <v>0</v>
      </c>
      <c r="BA135" s="763">
        <f t="shared" ca="1" si="90"/>
        <v>0</v>
      </c>
      <c r="BB135" s="763">
        <f t="shared" ca="1" si="90"/>
        <v>0</v>
      </c>
      <c r="BC135" s="763">
        <f t="shared" ca="1" si="90"/>
        <v>0</v>
      </c>
      <c r="BD135" s="763">
        <f t="shared" ca="1" si="90"/>
        <v>0</v>
      </c>
      <c r="BE135" s="763">
        <f t="shared" ca="1" si="90"/>
        <v>0</v>
      </c>
      <c r="BF135" s="763">
        <f t="shared" ca="1" si="90"/>
        <v>0</v>
      </c>
      <c r="BG135" s="763">
        <f t="shared" ca="1" si="90"/>
        <v>0</v>
      </c>
      <c r="BH135" s="763">
        <f t="shared" ca="1" si="90"/>
        <v>0</v>
      </c>
      <c r="BI135" s="763">
        <f t="shared" ca="1" si="90"/>
        <v>0</v>
      </c>
      <c r="BJ135" s="763">
        <f t="shared" ca="1" si="90"/>
        <v>0</v>
      </c>
      <c r="BK135" s="763">
        <f t="shared" ca="1" si="90"/>
        <v>0</v>
      </c>
      <c r="BL135" s="763">
        <f t="shared" ca="1" si="90"/>
        <v>0</v>
      </c>
    </row>
    <row r="136" spans="1:64" s="772" customFormat="1">
      <c r="A136" s="815" t="s">
        <v>49</v>
      </c>
      <c r="B136" s="762"/>
      <c r="C136" s="762"/>
      <c r="D136" s="763">
        <f ca="1">SUM(D96:D99,D127)</f>
        <v>0</v>
      </c>
      <c r="E136" s="763">
        <f t="shared" ref="E136:BL136" ca="1" si="91">SUM(E96:E99,E127)</f>
        <v>0</v>
      </c>
      <c r="F136" s="763">
        <f t="shared" ca="1" si="91"/>
        <v>0</v>
      </c>
      <c r="G136" s="763">
        <f t="shared" ca="1" si="91"/>
        <v>0</v>
      </c>
      <c r="H136" s="763">
        <f t="shared" ca="1" si="91"/>
        <v>0</v>
      </c>
      <c r="I136" s="763">
        <f t="shared" ca="1" si="91"/>
        <v>0</v>
      </c>
      <c r="J136" s="763">
        <f t="shared" ca="1" si="91"/>
        <v>0</v>
      </c>
      <c r="K136" s="763">
        <f t="shared" ca="1" si="91"/>
        <v>0</v>
      </c>
      <c r="L136" s="763">
        <f t="shared" ca="1" si="91"/>
        <v>0</v>
      </c>
      <c r="M136" s="763">
        <f t="shared" ca="1" si="91"/>
        <v>0</v>
      </c>
      <c r="N136" s="763">
        <f t="shared" ca="1" si="91"/>
        <v>0</v>
      </c>
      <c r="O136" s="763">
        <f t="shared" ca="1" si="91"/>
        <v>0</v>
      </c>
      <c r="P136" s="763">
        <f t="shared" ca="1" si="91"/>
        <v>0</v>
      </c>
      <c r="Q136" s="763">
        <f t="shared" ca="1" si="91"/>
        <v>0</v>
      </c>
      <c r="R136" s="763">
        <f t="shared" ca="1" si="91"/>
        <v>131623.31962418763</v>
      </c>
      <c r="S136" s="763">
        <f t="shared" ca="1" si="91"/>
        <v>0</v>
      </c>
      <c r="T136" s="763">
        <f t="shared" ca="1" si="91"/>
        <v>0</v>
      </c>
      <c r="U136" s="763">
        <f t="shared" ca="1" si="91"/>
        <v>0</v>
      </c>
      <c r="V136" s="763">
        <f t="shared" ca="1" si="91"/>
        <v>0</v>
      </c>
      <c r="W136" s="763">
        <f t="shared" ca="1" si="91"/>
        <v>0</v>
      </c>
      <c r="X136" s="763">
        <f t="shared" ca="1" si="91"/>
        <v>0</v>
      </c>
      <c r="Y136" s="763">
        <f t="shared" ca="1" si="91"/>
        <v>0</v>
      </c>
      <c r="Z136" s="763">
        <f t="shared" ca="1" si="91"/>
        <v>0</v>
      </c>
      <c r="AA136" s="763">
        <f t="shared" ca="1" si="91"/>
        <v>0</v>
      </c>
      <c r="AB136" s="763">
        <f t="shared" ca="1" si="91"/>
        <v>0</v>
      </c>
      <c r="AC136" s="763">
        <f t="shared" ca="1" si="91"/>
        <v>7151.9442829113541</v>
      </c>
      <c r="AD136" s="763">
        <f t="shared" ca="1" si="91"/>
        <v>171851.96723193899</v>
      </c>
      <c r="AE136" s="763">
        <f t="shared" ca="1" si="91"/>
        <v>20897.970592184949</v>
      </c>
      <c r="AF136" s="763">
        <f t="shared" ca="1" si="91"/>
        <v>28508.877251264727</v>
      </c>
      <c r="AG136" s="763">
        <f t="shared" ca="1" si="91"/>
        <v>35834.08199540319</v>
      </c>
      <c r="AH136" s="763">
        <f t="shared" ca="1" si="91"/>
        <v>53653.916154670602</v>
      </c>
      <c r="AI136" s="763">
        <f t="shared" ca="1" si="91"/>
        <v>62470.817845696518</v>
      </c>
      <c r="AJ136" s="763">
        <f t="shared" ca="1" si="91"/>
        <v>68383.541047821986</v>
      </c>
      <c r="AK136" s="763">
        <f t="shared" ca="1" si="91"/>
        <v>49721.196797412413</v>
      </c>
      <c r="AL136" s="763">
        <f t="shared" ca="1" si="91"/>
        <v>50292.877659538244</v>
      </c>
      <c r="AM136" s="763">
        <f t="shared" ca="1" si="91"/>
        <v>50067.332592104118</v>
      </c>
      <c r="AN136" s="763">
        <f t="shared" ca="1" si="91"/>
        <v>57822.610970085407</v>
      </c>
      <c r="AO136" s="763">
        <f t="shared" ca="1" si="91"/>
        <v>57557.380709877812</v>
      </c>
      <c r="AP136" s="763">
        <f t="shared" ca="1" si="91"/>
        <v>60039.130988429024</v>
      </c>
      <c r="AQ136" s="763">
        <f t="shared" ca="1" si="91"/>
        <v>62723.175297180314</v>
      </c>
      <c r="AR136" s="763">
        <f t="shared" ca="1" si="91"/>
        <v>65715.774232919604</v>
      </c>
      <c r="AS136" s="763">
        <f t="shared" ca="1" si="91"/>
        <v>69357.805693702685</v>
      </c>
      <c r="AT136" s="763">
        <f t="shared" ca="1" si="91"/>
        <v>71669.646359901075</v>
      </c>
      <c r="AU136" s="763">
        <f t="shared" ca="1" si="91"/>
        <v>73365.291230946154</v>
      </c>
      <c r="AV136" s="763">
        <f t="shared" ca="1" si="91"/>
        <v>74915.039524135733</v>
      </c>
      <c r="AW136" s="763">
        <f t="shared" ca="1" si="91"/>
        <v>74220.49904752156</v>
      </c>
      <c r="AX136" s="763">
        <f t="shared" ca="1" si="91"/>
        <v>73976.675009972314</v>
      </c>
      <c r="AY136" s="763">
        <f t="shared" ca="1" si="91"/>
        <v>73025.241121786617</v>
      </c>
      <c r="AZ136" s="763">
        <f t="shared" ca="1" si="91"/>
        <v>23659109.568446018</v>
      </c>
      <c r="BA136" s="763">
        <f t="shared" ca="1" si="91"/>
        <v>0</v>
      </c>
      <c r="BB136" s="763">
        <f t="shared" ca="1" si="91"/>
        <v>0</v>
      </c>
      <c r="BC136" s="763">
        <f t="shared" ca="1" si="91"/>
        <v>0</v>
      </c>
      <c r="BD136" s="763">
        <f t="shared" ca="1" si="91"/>
        <v>0</v>
      </c>
      <c r="BE136" s="763">
        <f t="shared" ca="1" si="91"/>
        <v>0</v>
      </c>
      <c r="BF136" s="763">
        <f t="shared" ca="1" si="91"/>
        <v>0</v>
      </c>
      <c r="BG136" s="763">
        <f t="shared" ca="1" si="91"/>
        <v>0</v>
      </c>
      <c r="BH136" s="763">
        <f t="shared" ca="1" si="91"/>
        <v>0</v>
      </c>
      <c r="BI136" s="763">
        <f t="shared" ca="1" si="91"/>
        <v>0</v>
      </c>
      <c r="BJ136" s="763">
        <f t="shared" ca="1" si="91"/>
        <v>0</v>
      </c>
      <c r="BK136" s="763">
        <f t="shared" ca="1" si="91"/>
        <v>0</v>
      </c>
      <c r="BL136" s="763">
        <f t="shared" ca="1" si="91"/>
        <v>0</v>
      </c>
    </row>
    <row r="137" spans="1:64" s="772" customFormat="1">
      <c r="A137" s="816" t="s">
        <v>708</v>
      </c>
      <c r="B137" s="759"/>
      <c r="C137" s="759"/>
      <c r="D137" s="768">
        <f ca="1">SUM(D135:D136)</f>
        <v>-6170830.5186084136</v>
      </c>
      <c r="E137" s="768">
        <f t="shared" ref="E137:BL137" ca="1" si="92">SUM(E135:E136)</f>
        <v>-756135.18286102917</v>
      </c>
      <c r="F137" s="768">
        <f t="shared" ca="1" si="92"/>
        <v>1.862645149230957E-8</v>
      </c>
      <c r="G137" s="768">
        <f t="shared" ca="1" si="92"/>
        <v>1.862645149230957E-8</v>
      </c>
      <c r="H137" s="768">
        <f t="shared" ca="1" si="92"/>
        <v>1.862645149230957E-8</v>
      </c>
      <c r="I137" s="768">
        <f t="shared" ca="1" si="92"/>
        <v>1.862645149230957E-8</v>
      </c>
      <c r="J137" s="768">
        <f t="shared" ca="1" si="92"/>
        <v>1.862645149230957E-8</v>
      </c>
      <c r="K137" s="768">
        <f t="shared" ca="1" si="92"/>
        <v>1.862645149230957E-8</v>
      </c>
      <c r="L137" s="768">
        <f t="shared" ca="1" si="92"/>
        <v>1.862645149230957E-8</v>
      </c>
      <c r="M137" s="768">
        <f t="shared" ca="1" si="92"/>
        <v>0</v>
      </c>
      <c r="N137" s="768">
        <f t="shared" ca="1" si="92"/>
        <v>0</v>
      </c>
      <c r="O137" s="768">
        <f t="shared" ca="1" si="92"/>
        <v>0</v>
      </c>
      <c r="P137" s="768">
        <f t="shared" ca="1" si="92"/>
        <v>0</v>
      </c>
      <c r="Q137" s="768">
        <f t="shared" ca="1" si="92"/>
        <v>0</v>
      </c>
      <c r="R137" s="768">
        <f t="shared" ca="1" si="92"/>
        <v>131623.31962418763</v>
      </c>
      <c r="S137" s="768">
        <f t="shared" ca="1" si="92"/>
        <v>0</v>
      </c>
      <c r="T137" s="768">
        <f t="shared" ca="1" si="92"/>
        <v>0</v>
      </c>
      <c r="U137" s="768">
        <f t="shared" ca="1" si="92"/>
        <v>0</v>
      </c>
      <c r="V137" s="768">
        <f t="shared" ca="1" si="92"/>
        <v>0</v>
      </c>
      <c r="W137" s="768">
        <f t="shared" ca="1" si="92"/>
        <v>0</v>
      </c>
      <c r="X137" s="768">
        <f t="shared" ca="1" si="92"/>
        <v>0</v>
      </c>
      <c r="Y137" s="768">
        <f t="shared" ca="1" si="92"/>
        <v>0</v>
      </c>
      <c r="Z137" s="768">
        <f t="shared" ca="1" si="92"/>
        <v>0</v>
      </c>
      <c r="AA137" s="768">
        <f t="shared" ca="1" si="92"/>
        <v>0</v>
      </c>
      <c r="AB137" s="768">
        <f t="shared" ca="1" si="92"/>
        <v>0</v>
      </c>
      <c r="AC137" s="768">
        <f t="shared" ca="1" si="92"/>
        <v>7151.9442829113541</v>
      </c>
      <c r="AD137" s="768">
        <f t="shared" ca="1" si="92"/>
        <v>171851.96723193899</v>
      </c>
      <c r="AE137" s="768">
        <f t="shared" ca="1" si="92"/>
        <v>20897.970592184949</v>
      </c>
      <c r="AF137" s="768">
        <f t="shared" ca="1" si="92"/>
        <v>28508.877251264727</v>
      </c>
      <c r="AG137" s="768">
        <f t="shared" ca="1" si="92"/>
        <v>35834.08199540319</v>
      </c>
      <c r="AH137" s="768">
        <f t="shared" ca="1" si="92"/>
        <v>53653.916154670602</v>
      </c>
      <c r="AI137" s="768">
        <f t="shared" ca="1" si="92"/>
        <v>62470.817845696518</v>
      </c>
      <c r="AJ137" s="768">
        <f t="shared" ca="1" si="92"/>
        <v>68383.541047821986</v>
      </c>
      <c r="AK137" s="768">
        <f t="shared" ca="1" si="92"/>
        <v>49721.196797412413</v>
      </c>
      <c r="AL137" s="768">
        <f t="shared" ca="1" si="92"/>
        <v>50292.877659538244</v>
      </c>
      <c r="AM137" s="768">
        <f t="shared" ca="1" si="92"/>
        <v>50067.332592104118</v>
      </c>
      <c r="AN137" s="768">
        <f t="shared" ca="1" si="92"/>
        <v>57822.610970085407</v>
      </c>
      <c r="AO137" s="768">
        <f t="shared" ca="1" si="92"/>
        <v>57557.380709877812</v>
      </c>
      <c r="AP137" s="768">
        <f t="shared" ca="1" si="92"/>
        <v>60039.130988429024</v>
      </c>
      <c r="AQ137" s="768">
        <f t="shared" ca="1" si="92"/>
        <v>62723.175297180314</v>
      </c>
      <c r="AR137" s="768">
        <f t="shared" ca="1" si="92"/>
        <v>65715.774232919604</v>
      </c>
      <c r="AS137" s="768">
        <f t="shared" ca="1" si="92"/>
        <v>69357.805693702685</v>
      </c>
      <c r="AT137" s="768">
        <f t="shared" ca="1" si="92"/>
        <v>71669.646359901075</v>
      </c>
      <c r="AU137" s="768">
        <f t="shared" ca="1" si="92"/>
        <v>73365.291230946154</v>
      </c>
      <c r="AV137" s="768">
        <f t="shared" ca="1" si="92"/>
        <v>74915.039524135733</v>
      </c>
      <c r="AW137" s="768">
        <f t="shared" ca="1" si="92"/>
        <v>74220.49904752156</v>
      </c>
      <c r="AX137" s="768">
        <f t="shared" ca="1" si="92"/>
        <v>73976.675009972314</v>
      </c>
      <c r="AY137" s="768">
        <f t="shared" ca="1" si="92"/>
        <v>73025.241121786617</v>
      </c>
      <c r="AZ137" s="768">
        <f t="shared" ca="1" si="92"/>
        <v>23659109.568446018</v>
      </c>
      <c r="BA137" s="768">
        <f t="shared" ca="1" si="92"/>
        <v>0</v>
      </c>
      <c r="BB137" s="768">
        <f t="shared" ca="1" si="92"/>
        <v>0</v>
      </c>
      <c r="BC137" s="768">
        <f t="shared" ca="1" si="92"/>
        <v>0</v>
      </c>
      <c r="BD137" s="768">
        <f t="shared" ca="1" si="92"/>
        <v>0</v>
      </c>
      <c r="BE137" s="768">
        <f t="shared" ca="1" si="92"/>
        <v>0</v>
      </c>
      <c r="BF137" s="768">
        <f t="shared" ca="1" si="92"/>
        <v>0</v>
      </c>
      <c r="BG137" s="768">
        <f t="shared" ca="1" si="92"/>
        <v>0</v>
      </c>
      <c r="BH137" s="768">
        <f t="shared" ca="1" si="92"/>
        <v>0</v>
      </c>
      <c r="BI137" s="768">
        <f t="shared" ca="1" si="92"/>
        <v>0</v>
      </c>
      <c r="BJ137" s="768">
        <f t="shared" ca="1" si="92"/>
        <v>0</v>
      </c>
      <c r="BK137" s="768">
        <f t="shared" ca="1" si="92"/>
        <v>0</v>
      </c>
      <c r="BL137" s="768">
        <f t="shared" ca="1" si="92"/>
        <v>0</v>
      </c>
    </row>
    <row r="138" spans="1:64">
      <c r="A138" s="817">
        <f ca="1">(1+IRR(D137:BL137,0.01))^12-1</f>
        <v>0.39235673530016579</v>
      </c>
      <c r="B138" s="701"/>
      <c r="C138" s="762"/>
      <c r="D138" s="701"/>
      <c r="E138" s="701"/>
      <c r="F138" s="701"/>
      <c r="G138" s="701"/>
      <c r="H138" s="701"/>
      <c r="I138" s="701"/>
      <c r="J138" s="701"/>
      <c r="K138" s="701"/>
      <c r="L138" s="701"/>
      <c r="M138" s="701"/>
      <c r="N138" s="701"/>
      <c r="O138" s="701"/>
      <c r="P138" s="701"/>
      <c r="Q138" s="701"/>
      <c r="R138" s="701"/>
      <c r="S138" s="701"/>
      <c r="T138" s="701"/>
      <c r="U138" s="701"/>
      <c r="V138" s="701"/>
      <c r="W138" s="701"/>
      <c r="X138" s="701"/>
      <c r="Y138" s="701"/>
      <c r="Z138" s="701"/>
      <c r="AA138" s="701"/>
      <c r="AB138" s="701"/>
      <c r="AC138" s="701"/>
      <c r="AD138" s="701"/>
      <c r="AE138" s="701"/>
      <c r="AF138" s="701"/>
      <c r="AG138" s="701"/>
      <c r="AH138" s="701"/>
      <c r="AI138" s="701"/>
      <c r="AJ138" s="701"/>
      <c r="AK138" s="701"/>
      <c r="AL138" s="701"/>
      <c r="AM138" s="701"/>
      <c r="AN138" s="701"/>
      <c r="AO138" s="701"/>
      <c r="AP138" s="701"/>
      <c r="AQ138" s="701"/>
      <c r="AR138" s="701"/>
      <c r="AS138" s="701"/>
      <c r="AT138" s="701"/>
      <c r="AU138" s="701"/>
      <c r="AV138" s="701"/>
      <c r="AW138" s="701"/>
      <c r="AX138" s="701"/>
      <c r="AY138" s="701"/>
      <c r="AZ138" s="701"/>
      <c r="BA138" s="701"/>
      <c r="BB138" s="701"/>
      <c r="BC138" s="701"/>
      <c r="BD138" s="701"/>
      <c r="BE138" s="701"/>
      <c r="BF138" s="701"/>
      <c r="BG138" s="701"/>
      <c r="BH138" s="701"/>
      <c r="BI138" s="701"/>
      <c r="BJ138" s="701"/>
      <c r="BK138" s="701"/>
      <c r="BL138" s="701"/>
    </row>
    <row r="139" spans="1:64">
      <c r="A139" s="818">
        <f ca="1">SUM(D137:BL137)</f>
        <v>18276989.9802383</v>
      </c>
      <c r="B139" s="701"/>
      <c r="C139" s="701"/>
      <c r="D139" s="701"/>
      <c r="E139" s="701"/>
      <c r="F139" s="701"/>
      <c r="G139" s="701"/>
      <c r="H139" s="701"/>
      <c r="I139" s="701"/>
      <c r="J139" s="701"/>
      <c r="K139" s="701"/>
      <c r="L139" s="701"/>
      <c r="M139" s="701"/>
      <c r="N139" s="701"/>
      <c r="O139" s="701"/>
      <c r="P139" s="701"/>
      <c r="Q139" s="701"/>
      <c r="R139" s="701"/>
      <c r="S139" s="701"/>
      <c r="T139" s="701"/>
      <c r="U139" s="701"/>
      <c r="V139" s="701"/>
      <c r="W139" s="701"/>
      <c r="X139" s="701"/>
      <c r="Y139" s="701"/>
      <c r="Z139" s="701"/>
      <c r="AA139" s="701"/>
      <c r="AB139" s="701"/>
      <c r="AC139" s="701"/>
      <c r="AD139" s="701"/>
      <c r="AE139" s="701"/>
      <c r="AF139" s="701"/>
      <c r="AG139" s="701"/>
      <c r="AH139" s="701"/>
      <c r="AI139" s="701"/>
      <c r="AJ139" s="701"/>
      <c r="AK139" s="701"/>
      <c r="AL139" s="701"/>
      <c r="AM139" s="701"/>
      <c r="AN139" s="701"/>
      <c r="AO139" s="701"/>
      <c r="AP139" s="701"/>
      <c r="AQ139" s="701"/>
      <c r="AR139" s="701"/>
      <c r="AS139" s="701"/>
      <c r="AT139" s="701"/>
      <c r="AU139" s="701"/>
      <c r="AV139" s="701"/>
      <c r="AW139" s="701"/>
      <c r="AX139" s="701"/>
      <c r="AY139" s="701"/>
      <c r="AZ139" s="701"/>
      <c r="BA139" s="701"/>
      <c r="BB139" s="701"/>
      <c r="BC139" s="701"/>
      <c r="BD139" s="701"/>
      <c r="BE139" s="701"/>
      <c r="BF139" s="701"/>
      <c r="BG139" s="701"/>
      <c r="BH139" s="701"/>
      <c r="BI139" s="701"/>
      <c r="BJ139" s="701"/>
      <c r="BK139" s="701"/>
      <c r="BL139" s="701"/>
    </row>
    <row r="140" spans="1:64">
      <c r="A140" s="819">
        <f ca="1">SUM(I137:BL137)/-SUM(D137:H137)</f>
        <v>3.6385275700674078</v>
      </c>
      <c r="B140" s="701"/>
      <c r="C140" s="701"/>
      <c r="D140" s="701"/>
      <c r="E140" s="701"/>
      <c r="F140" s="701"/>
      <c r="G140" s="701"/>
      <c r="H140" s="701"/>
      <c r="I140" s="701"/>
      <c r="J140" s="701"/>
      <c r="K140" s="701"/>
      <c r="L140" s="701"/>
      <c r="M140" s="701"/>
      <c r="N140" s="701"/>
      <c r="O140" s="701"/>
      <c r="P140" s="701"/>
      <c r="Q140" s="701"/>
      <c r="R140" s="701"/>
      <c r="S140" s="701"/>
      <c r="T140" s="701"/>
      <c r="U140" s="701"/>
      <c r="V140" s="701"/>
      <c r="W140" s="701"/>
      <c r="X140" s="701"/>
      <c r="Y140" s="701"/>
      <c r="Z140" s="701"/>
      <c r="AA140" s="701"/>
      <c r="AB140" s="701"/>
      <c r="AC140" s="701"/>
      <c r="AD140" s="701"/>
      <c r="AE140" s="701"/>
      <c r="AF140" s="701"/>
      <c r="AG140" s="701"/>
      <c r="AH140" s="701"/>
      <c r="AI140" s="701"/>
      <c r="AJ140" s="701"/>
      <c r="AK140" s="701"/>
      <c r="AL140" s="701"/>
      <c r="AM140" s="701"/>
      <c r="AN140" s="701"/>
      <c r="AO140" s="701"/>
      <c r="AP140" s="701"/>
      <c r="AQ140" s="701"/>
      <c r="AR140" s="701"/>
      <c r="AS140" s="701"/>
      <c r="AT140" s="701"/>
      <c r="AU140" s="701"/>
      <c r="AV140" s="701"/>
      <c r="AW140" s="701"/>
      <c r="AX140" s="701"/>
      <c r="AY140" s="701"/>
      <c r="AZ140" s="701"/>
      <c r="BA140" s="701"/>
      <c r="BB140" s="701"/>
      <c r="BC140" s="701"/>
      <c r="BD140" s="701"/>
      <c r="BE140" s="701"/>
      <c r="BF140" s="701"/>
      <c r="BG140" s="701"/>
      <c r="BH140" s="701"/>
      <c r="BI140" s="701"/>
      <c r="BJ140" s="701"/>
      <c r="BK140" s="701"/>
      <c r="BL140" s="701"/>
    </row>
    <row r="142" spans="1:64">
      <c r="B142" s="714"/>
    </row>
    <row r="143" spans="1:64">
      <c r="A143" s="713" t="s">
        <v>118</v>
      </c>
      <c r="B143" s="714">
        <f ca="1">A139-C20</f>
        <v>-69603.69957382232</v>
      </c>
    </row>
    <row r="144" spans="1:64">
      <c r="B144" s="714"/>
    </row>
    <row r="145" spans="2:2">
      <c r="B145" s="714"/>
    </row>
    <row r="146" spans="2:2">
      <c r="B146" s="714"/>
    </row>
    <row r="147" spans="2:2">
      <c r="B147" s="714"/>
    </row>
    <row r="148" spans="2:2">
      <c r="B148" s="714"/>
    </row>
    <row r="149" spans="2:2">
      <c r="B149" s="714"/>
    </row>
    <row r="150" spans="2:2">
      <c r="B150" s="714"/>
    </row>
    <row r="151" spans="2:2">
      <c r="B151" s="714"/>
    </row>
    <row r="152" spans="2:2">
      <c r="B152" s="714"/>
    </row>
    <row r="153" spans="2:2">
      <c r="B153" s="714"/>
    </row>
    <row r="154" spans="2:2">
      <c r="B154" s="714"/>
    </row>
    <row r="155" spans="2:2">
      <c r="B155" s="714"/>
    </row>
    <row r="156" spans="2:2">
      <c r="B156" s="714"/>
    </row>
    <row r="157" spans="2:2">
      <c r="B157" s="714"/>
    </row>
    <row r="158" spans="2:2">
      <c r="B158" s="714"/>
    </row>
    <row r="159" spans="2:2">
      <c r="B159" s="714"/>
    </row>
    <row r="160" spans="2:2">
      <c r="B160" s="714"/>
    </row>
    <row r="161" spans="2:2">
      <c r="B161" s="714"/>
    </row>
  </sheetData>
  <mergeCells count="3">
    <mergeCell ref="J7:K7"/>
    <mergeCell ref="L7:M7"/>
    <mergeCell ref="N7:O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F154-361D-4C6D-980E-35BFEC25408C}">
  <dimension ref="A1:BL171"/>
  <sheetViews>
    <sheetView zoomScaleNormal="100" workbookViewId="0">
      <pane xSplit="2" ySplit="16" topLeftCell="C32" activePane="bottomRight" state="frozen"/>
      <selection pane="topRight" activeCell="C1" sqref="C1"/>
      <selection pane="bottomLeft" activeCell="A11" sqref="A11"/>
      <selection pane="bottomRight" activeCell="A2" sqref="A2"/>
    </sheetView>
  </sheetViews>
  <sheetFormatPr defaultColWidth="9.08984375" defaultRowHeight="12"/>
  <cols>
    <col min="1" max="1" width="32.81640625" style="713" bestFit="1" customWidth="1"/>
    <col min="2" max="2" width="11.7265625" style="713" bestFit="1" customWidth="1"/>
    <col min="3" max="63" width="11.6328125" style="713" customWidth="1"/>
    <col min="64" max="64" width="10.26953125" style="713" bestFit="1" customWidth="1"/>
    <col min="65" max="16384" width="9.08984375" style="713"/>
  </cols>
  <sheetData>
    <row r="1" spans="1:64" ht="18.5">
      <c r="A1" s="698" t="s">
        <v>1025</v>
      </c>
    </row>
    <row r="2" spans="1:64">
      <c r="A2" s="713" t="s">
        <v>684</v>
      </c>
      <c r="C2" s="714">
        <f>'Sources &amp; Uses'!D12</f>
        <v>600000</v>
      </c>
      <c r="D2" s="715">
        <f ca="1">C2/$C$5</f>
        <v>8.6618012252135113E-2</v>
      </c>
    </row>
    <row r="3" spans="1:64">
      <c r="A3" s="713" t="s">
        <v>698</v>
      </c>
      <c r="C3" s="808">
        <f>'Sources &amp; Uses'!M7</f>
        <v>2400000</v>
      </c>
      <c r="D3" s="715"/>
    </row>
    <row r="4" spans="1:64">
      <c r="A4" s="713" t="s">
        <v>593</v>
      </c>
      <c r="C4" s="714">
        <f ca="1">'Sources &amp; Uses'!D16+'Sources &amp; Uses'!D13</f>
        <v>6326965.7014694288</v>
      </c>
      <c r="D4" s="715">
        <f ca="1">C4/$C$5</f>
        <v>0.91338198774786272</v>
      </c>
    </row>
    <row r="5" spans="1:64">
      <c r="A5" s="713" t="s">
        <v>128</v>
      </c>
      <c r="C5" s="769">
        <f ca="1">C2+C4</f>
        <v>6926965.7014694288</v>
      </c>
      <c r="D5" s="770">
        <f ca="1">SUM(D2:D4)</f>
        <v>0.99999999999999778</v>
      </c>
    </row>
    <row r="6" spans="1:64">
      <c r="C6" s="714">
        <f ca="1">SUM(C2:C4)</f>
        <v>9326965.7014694288</v>
      </c>
      <c r="D6" s="715"/>
    </row>
    <row r="7" spans="1:64" ht="25.5" customHeight="1" thickBot="1">
      <c r="B7" s="716"/>
      <c r="D7" s="717" t="s">
        <v>663</v>
      </c>
      <c r="E7" s="718" t="s">
        <v>630</v>
      </c>
      <c r="F7" s="718" t="s">
        <v>628</v>
      </c>
      <c r="G7" s="717" t="s">
        <v>683</v>
      </c>
      <c r="H7" s="807" t="s">
        <v>697</v>
      </c>
      <c r="J7" s="1224" t="s">
        <v>630</v>
      </c>
      <c r="K7" s="1224"/>
      <c r="L7" s="1224" t="s">
        <v>628</v>
      </c>
      <c r="M7" s="1224"/>
      <c r="N7" s="1224" t="s">
        <v>664</v>
      </c>
      <c r="O7" s="1224"/>
    </row>
    <row r="8" spans="1:64">
      <c r="B8" s="719" t="s">
        <v>668</v>
      </c>
      <c r="D8" s="720">
        <v>0.15</v>
      </c>
      <c r="E8" s="721">
        <v>1</v>
      </c>
      <c r="F8" s="722">
        <f>1-E8</f>
        <v>0</v>
      </c>
      <c r="G8" s="720">
        <v>0</v>
      </c>
      <c r="H8" s="803"/>
      <c r="J8" s="724" t="s">
        <v>666</v>
      </c>
      <c r="K8" s="728">
        <f ca="1">A111</f>
        <v>0.30396309985865044</v>
      </c>
      <c r="L8" s="725" t="s">
        <v>667</v>
      </c>
      <c r="M8" s="726">
        <f ca="1">A139</f>
        <v>0.8890277460768905</v>
      </c>
      <c r="N8" s="727" t="s">
        <v>349</v>
      </c>
      <c r="O8" s="728">
        <f ca="1">A148</f>
        <v>0.39339794100241154</v>
      </c>
    </row>
    <row r="9" spans="1:64">
      <c r="B9" s="719" t="s">
        <v>665</v>
      </c>
      <c r="D9" s="729">
        <v>0.15</v>
      </c>
      <c r="E9" s="730">
        <v>0</v>
      </c>
      <c r="F9" s="731">
        <f>1-E9</f>
        <v>1</v>
      </c>
      <c r="G9" s="729">
        <v>0</v>
      </c>
      <c r="H9" s="804"/>
      <c r="J9" s="732" t="s">
        <v>669</v>
      </c>
      <c r="K9" s="736">
        <f ca="1">A112</f>
        <v>11349448.278170865</v>
      </c>
      <c r="L9" s="733" t="s">
        <v>670</v>
      </c>
      <c r="M9" s="734">
        <f ca="1">A140</f>
        <v>6997145.4016412646</v>
      </c>
      <c r="N9" s="735" t="s">
        <v>350</v>
      </c>
      <c r="O9" s="736">
        <f ca="1">A149</f>
        <v>18346593.679812122</v>
      </c>
    </row>
    <row r="10" spans="1:64" ht="12.5" thickBot="1">
      <c r="B10" s="719" t="s">
        <v>629</v>
      </c>
      <c r="D10" s="729">
        <v>0.2</v>
      </c>
      <c r="E10" s="737">
        <f ca="1">B27</f>
        <v>0.91338198774786505</v>
      </c>
      <c r="F10" s="731">
        <f ca="1">1-E10</f>
        <v>8.6618012252134946E-2</v>
      </c>
      <c r="G10" s="729">
        <f ca="1">0.25-D2</f>
        <v>0.16338198774786489</v>
      </c>
      <c r="H10" s="805">
        <f ca="1">G10+$D$2</f>
        <v>0.25</v>
      </c>
      <c r="J10" s="738" t="s">
        <v>671</v>
      </c>
      <c r="K10" s="742">
        <f ca="1">A113</f>
        <v>2.7938216854147067</v>
      </c>
      <c r="L10" s="739" t="s">
        <v>672</v>
      </c>
      <c r="M10" s="740">
        <f ca="1">A141</f>
        <v>12.661909002735742</v>
      </c>
      <c r="N10" s="741" t="s">
        <v>351</v>
      </c>
      <c r="O10" s="742">
        <f ca="1">A150</f>
        <v>3.6485757935715415</v>
      </c>
    </row>
    <row r="11" spans="1:64">
      <c r="B11" s="719" t="s">
        <v>631</v>
      </c>
      <c r="D11" s="729">
        <v>0.25</v>
      </c>
      <c r="E11" s="737">
        <f ca="1">E10</f>
        <v>0.91338198774786505</v>
      </c>
      <c r="F11" s="731">
        <f ca="1">1-E11</f>
        <v>8.6618012252134946E-2</v>
      </c>
      <c r="G11" s="729">
        <f ca="1">0.375-D2</f>
        <v>0.28838198774786489</v>
      </c>
      <c r="H11" s="805">
        <f t="shared" ref="H11:H12" ca="1" si="0">G11+$D$2</f>
        <v>0.375</v>
      </c>
      <c r="J11" s="712"/>
      <c r="M11" s="792"/>
    </row>
    <row r="12" spans="1:64">
      <c r="B12" s="719" t="s">
        <v>632</v>
      </c>
      <c r="D12" s="743" t="s">
        <v>673</v>
      </c>
      <c r="E12" s="744">
        <f ca="1">E11</f>
        <v>0.91338198774786505</v>
      </c>
      <c r="F12" s="745">
        <f ca="1">1-E12</f>
        <v>8.6618012252134946E-2</v>
      </c>
      <c r="G12" s="771">
        <f ca="1">50%-D2</f>
        <v>0.41338198774786489</v>
      </c>
      <c r="H12" s="806">
        <f t="shared" ca="1" si="0"/>
        <v>0.5</v>
      </c>
      <c r="I12" s="712"/>
    </row>
    <row r="13" spans="1:64">
      <c r="G13" s="723"/>
      <c r="H13" s="712"/>
      <c r="I13" s="712"/>
    </row>
    <row r="14" spans="1:64">
      <c r="A14" s="746"/>
      <c r="B14" s="701"/>
      <c r="C14" s="701"/>
      <c r="D14" s="701"/>
      <c r="E14" s="701"/>
      <c r="F14" s="701"/>
      <c r="G14" s="701"/>
      <c r="H14" s="701"/>
      <c r="I14" s="701"/>
    </row>
    <row r="15" spans="1:64">
      <c r="A15" s="746"/>
      <c r="B15" s="701"/>
      <c r="C15" s="701"/>
      <c r="D15" s="747">
        <v>411049</v>
      </c>
      <c r="E15" s="747">
        <f>EOMONTH(D15,1)</f>
        <v>411080</v>
      </c>
      <c r="F15" s="747">
        <f t="shared" ref="F15:BL15" si="1">EOMONTH(E15,1)</f>
        <v>411111</v>
      </c>
      <c r="G15" s="747">
        <f>EOMONTH(F15,1)</f>
        <v>411142</v>
      </c>
      <c r="H15" s="747">
        <f t="shared" si="1"/>
        <v>411172</v>
      </c>
      <c r="I15" s="747">
        <f t="shared" si="1"/>
        <v>411203</v>
      </c>
      <c r="J15" s="747">
        <f t="shared" si="1"/>
        <v>411233</v>
      </c>
      <c r="K15" s="747">
        <f t="shared" si="1"/>
        <v>411264</v>
      </c>
      <c r="L15" s="747">
        <f t="shared" si="1"/>
        <v>411295</v>
      </c>
      <c r="M15" s="747">
        <f t="shared" si="1"/>
        <v>411323</v>
      </c>
      <c r="N15" s="747">
        <f t="shared" si="1"/>
        <v>411354</v>
      </c>
      <c r="O15" s="747">
        <f t="shared" si="1"/>
        <v>411384</v>
      </c>
      <c r="P15" s="747">
        <f t="shared" si="1"/>
        <v>411415</v>
      </c>
      <c r="Q15" s="747">
        <f t="shared" si="1"/>
        <v>411445</v>
      </c>
      <c r="R15" s="747">
        <f t="shared" si="1"/>
        <v>411476</v>
      </c>
      <c r="S15" s="747">
        <f t="shared" si="1"/>
        <v>411507</v>
      </c>
      <c r="T15" s="747">
        <f t="shared" si="1"/>
        <v>411537</v>
      </c>
      <c r="U15" s="747">
        <f t="shared" si="1"/>
        <v>411568</v>
      </c>
      <c r="V15" s="747">
        <f t="shared" si="1"/>
        <v>411598</v>
      </c>
      <c r="W15" s="747">
        <f t="shared" si="1"/>
        <v>411629</v>
      </c>
      <c r="X15" s="747">
        <f t="shared" si="1"/>
        <v>411660</v>
      </c>
      <c r="Y15" s="747">
        <f t="shared" si="1"/>
        <v>411688</v>
      </c>
      <c r="Z15" s="747">
        <f t="shared" si="1"/>
        <v>411719</v>
      </c>
      <c r="AA15" s="747">
        <f t="shared" si="1"/>
        <v>411749</v>
      </c>
      <c r="AB15" s="747">
        <f t="shared" si="1"/>
        <v>411780</v>
      </c>
      <c r="AC15" s="747">
        <f t="shared" si="1"/>
        <v>411810</v>
      </c>
      <c r="AD15" s="747">
        <f t="shared" si="1"/>
        <v>411841</v>
      </c>
      <c r="AE15" s="747">
        <f t="shared" si="1"/>
        <v>411872</v>
      </c>
      <c r="AF15" s="747">
        <f t="shared" si="1"/>
        <v>411902</v>
      </c>
      <c r="AG15" s="747">
        <f t="shared" si="1"/>
        <v>411933</v>
      </c>
      <c r="AH15" s="747">
        <f t="shared" si="1"/>
        <v>411963</v>
      </c>
      <c r="AI15" s="747">
        <f t="shared" si="1"/>
        <v>411994</v>
      </c>
      <c r="AJ15" s="747">
        <f t="shared" si="1"/>
        <v>412025</v>
      </c>
      <c r="AK15" s="747">
        <f t="shared" si="1"/>
        <v>412054</v>
      </c>
      <c r="AL15" s="747">
        <f t="shared" si="1"/>
        <v>412085</v>
      </c>
      <c r="AM15" s="747">
        <f t="shared" si="1"/>
        <v>412115</v>
      </c>
      <c r="AN15" s="747">
        <f t="shared" si="1"/>
        <v>412146</v>
      </c>
      <c r="AO15" s="747">
        <f t="shared" si="1"/>
        <v>412176</v>
      </c>
      <c r="AP15" s="747">
        <f t="shared" si="1"/>
        <v>412207</v>
      </c>
      <c r="AQ15" s="747">
        <f t="shared" si="1"/>
        <v>412238</v>
      </c>
      <c r="AR15" s="747">
        <f t="shared" si="1"/>
        <v>412268</v>
      </c>
      <c r="AS15" s="747">
        <f t="shared" si="1"/>
        <v>412299</v>
      </c>
      <c r="AT15" s="747">
        <f t="shared" si="1"/>
        <v>412329</v>
      </c>
      <c r="AU15" s="747">
        <f t="shared" si="1"/>
        <v>412360</v>
      </c>
      <c r="AV15" s="747">
        <f t="shared" si="1"/>
        <v>412391</v>
      </c>
      <c r="AW15" s="747">
        <f t="shared" si="1"/>
        <v>412419</v>
      </c>
      <c r="AX15" s="747">
        <f t="shared" si="1"/>
        <v>412450</v>
      </c>
      <c r="AY15" s="747">
        <f t="shared" si="1"/>
        <v>412480</v>
      </c>
      <c r="AZ15" s="747">
        <f t="shared" si="1"/>
        <v>412511</v>
      </c>
      <c r="BA15" s="747">
        <f t="shared" si="1"/>
        <v>412541</v>
      </c>
      <c r="BB15" s="747">
        <f t="shared" si="1"/>
        <v>412572</v>
      </c>
      <c r="BC15" s="747">
        <f t="shared" si="1"/>
        <v>412603</v>
      </c>
      <c r="BD15" s="747">
        <f t="shared" si="1"/>
        <v>412633</v>
      </c>
      <c r="BE15" s="747">
        <f t="shared" si="1"/>
        <v>412664</v>
      </c>
      <c r="BF15" s="747">
        <f t="shared" si="1"/>
        <v>412694</v>
      </c>
      <c r="BG15" s="747">
        <f t="shared" si="1"/>
        <v>412725</v>
      </c>
      <c r="BH15" s="747">
        <f t="shared" si="1"/>
        <v>412756</v>
      </c>
      <c r="BI15" s="747">
        <f t="shared" si="1"/>
        <v>412784</v>
      </c>
      <c r="BJ15" s="747">
        <f t="shared" si="1"/>
        <v>412815</v>
      </c>
      <c r="BK15" s="747">
        <f t="shared" si="1"/>
        <v>412845</v>
      </c>
      <c r="BL15" s="747">
        <f t="shared" si="1"/>
        <v>412876</v>
      </c>
    </row>
    <row r="16" spans="1:64">
      <c r="A16" s="701"/>
      <c r="B16" s="701"/>
      <c r="C16" s="748" t="s">
        <v>386</v>
      </c>
      <c r="D16" s="749" t="s">
        <v>674</v>
      </c>
      <c r="E16" s="750">
        <v>1</v>
      </c>
      <c r="F16" s="750">
        <v>2</v>
      </c>
      <c r="G16" s="750">
        <v>3</v>
      </c>
      <c r="H16" s="750">
        <v>4</v>
      </c>
      <c r="I16" s="750">
        <v>5</v>
      </c>
      <c r="J16" s="750">
        <v>6</v>
      </c>
      <c r="K16" s="750">
        <v>7</v>
      </c>
      <c r="L16" s="750">
        <v>8</v>
      </c>
      <c r="M16" s="750">
        <v>9</v>
      </c>
      <c r="N16" s="750">
        <v>10</v>
      </c>
      <c r="O16" s="750">
        <v>11</v>
      </c>
      <c r="P16" s="750">
        <v>12</v>
      </c>
      <c r="Q16" s="750">
        <v>13</v>
      </c>
      <c r="R16" s="750">
        <v>14</v>
      </c>
      <c r="S16" s="750">
        <v>15</v>
      </c>
      <c r="T16" s="750">
        <v>16</v>
      </c>
      <c r="U16" s="750">
        <v>17</v>
      </c>
      <c r="V16" s="750">
        <v>18</v>
      </c>
      <c r="W16" s="750">
        <v>19</v>
      </c>
      <c r="X16" s="750">
        <v>20</v>
      </c>
      <c r="Y16" s="750">
        <v>21</v>
      </c>
      <c r="Z16" s="750">
        <v>22</v>
      </c>
      <c r="AA16" s="750">
        <v>23</v>
      </c>
      <c r="AB16" s="750">
        <v>24</v>
      </c>
      <c r="AC16" s="750">
        <v>25</v>
      </c>
      <c r="AD16" s="750">
        <v>26</v>
      </c>
      <c r="AE16" s="750">
        <v>27</v>
      </c>
      <c r="AF16" s="750">
        <v>28</v>
      </c>
      <c r="AG16" s="750">
        <v>29</v>
      </c>
      <c r="AH16" s="750">
        <v>30</v>
      </c>
      <c r="AI16" s="750">
        <v>31</v>
      </c>
      <c r="AJ16" s="750">
        <v>32</v>
      </c>
      <c r="AK16" s="750">
        <v>33</v>
      </c>
      <c r="AL16" s="750">
        <v>34</v>
      </c>
      <c r="AM16" s="750">
        <v>35</v>
      </c>
      <c r="AN16" s="750">
        <v>36</v>
      </c>
      <c r="AO16" s="750">
        <v>37</v>
      </c>
      <c r="AP16" s="750">
        <v>38</v>
      </c>
      <c r="AQ16" s="750">
        <v>39</v>
      </c>
      <c r="AR16" s="750">
        <v>40</v>
      </c>
      <c r="AS16" s="750">
        <v>41</v>
      </c>
      <c r="AT16" s="750">
        <v>42</v>
      </c>
      <c r="AU16" s="750">
        <v>43</v>
      </c>
      <c r="AV16" s="750">
        <v>44</v>
      </c>
      <c r="AW16" s="750">
        <v>45</v>
      </c>
      <c r="AX16" s="750">
        <v>46</v>
      </c>
      <c r="AY16" s="750">
        <v>47</v>
      </c>
      <c r="AZ16" s="750">
        <v>48</v>
      </c>
      <c r="BA16" s="750">
        <v>49</v>
      </c>
      <c r="BB16" s="750">
        <v>50</v>
      </c>
      <c r="BC16" s="750">
        <v>51</v>
      </c>
      <c r="BD16" s="750">
        <v>52</v>
      </c>
      <c r="BE16" s="750">
        <v>53</v>
      </c>
      <c r="BF16" s="750">
        <v>54</v>
      </c>
      <c r="BG16" s="750">
        <v>55</v>
      </c>
      <c r="BH16" s="750">
        <v>56</v>
      </c>
      <c r="BI16" s="750">
        <v>57</v>
      </c>
      <c r="BJ16" s="750">
        <v>58</v>
      </c>
      <c r="BK16" s="750">
        <v>59</v>
      </c>
      <c r="BL16" s="750">
        <v>60</v>
      </c>
    </row>
    <row r="17" spans="1:64">
      <c r="A17" s="701"/>
      <c r="B17" s="701"/>
      <c r="C17" s="701"/>
      <c r="D17" s="748"/>
      <c r="E17" s="751"/>
      <c r="F17" s="751"/>
      <c r="G17" s="751"/>
      <c r="H17" s="751"/>
      <c r="I17" s="751"/>
      <c r="J17" s="751"/>
      <c r="K17" s="751"/>
      <c r="L17" s="751"/>
      <c r="M17" s="751"/>
      <c r="N17" s="751"/>
      <c r="O17" s="751"/>
      <c r="P17" s="751"/>
      <c r="Q17" s="751"/>
      <c r="R17" s="751"/>
      <c r="S17" s="751"/>
      <c r="T17" s="751"/>
      <c r="U17" s="751"/>
      <c r="V17" s="751"/>
      <c r="W17" s="751"/>
      <c r="X17" s="751"/>
      <c r="Y17" s="751"/>
      <c r="Z17" s="751"/>
      <c r="AA17" s="751"/>
      <c r="AB17" s="751"/>
      <c r="AC17" s="751"/>
      <c r="AD17" s="751"/>
      <c r="AE17" s="751"/>
      <c r="AF17" s="751"/>
      <c r="AG17" s="751"/>
      <c r="AH17" s="751"/>
      <c r="AI17" s="751"/>
      <c r="AJ17" s="751"/>
      <c r="AK17" s="751"/>
      <c r="AL17" s="751"/>
      <c r="AM17" s="751"/>
      <c r="AN17" s="751"/>
      <c r="AO17" s="751"/>
      <c r="AP17" s="751"/>
      <c r="AQ17" s="751"/>
      <c r="AR17" s="751"/>
      <c r="AS17" s="751"/>
      <c r="AT17" s="751"/>
      <c r="AU17" s="751"/>
      <c r="AV17" s="751"/>
      <c r="AW17" s="751"/>
      <c r="AX17" s="751"/>
      <c r="AY17" s="751"/>
      <c r="AZ17" s="751"/>
      <c r="BA17" s="751"/>
      <c r="BB17" s="751"/>
      <c r="BC17" s="751"/>
      <c r="BD17" s="751"/>
      <c r="BE17" s="751"/>
      <c r="BF17" s="751"/>
      <c r="BG17" s="751"/>
      <c r="BH17" s="751"/>
      <c r="BI17" s="751"/>
      <c r="BJ17" s="751"/>
      <c r="BK17" s="751"/>
      <c r="BL17" s="751"/>
    </row>
    <row r="18" spans="1:64">
      <c r="A18" s="701" t="s">
        <v>680</v>
      </c>
      <c r="B18" s="701"/>
      <c r="C18" s="699">
        <f ca="1">SUM(D18:BL18)</f>
        <v>25273559.381281402</v>
      </c>
      <c r="D18" s="746">
        <f>'Monthly PF Cash Flow'!G177</f>
        <v>0</v>
      </c>
      <c r="E18" s="746">
        <f ca="1">'Monthly PF Cash Flow'!H177</f>
        <v>0</v>
      </c>
      <c r="F18" s="746">
        <f ca="1">'Monthly PF Cash Flow'!I177</f>
        <v>0</v>
      </c>
      <c r="G18" s="746">
        <f ca="1">'Monthly PF Cash Flow'!J177</f>
        <v>0</v>
      </c>
      <c r="H18" s="746">
        <f ca="1">'Monthly PF Cash Flow'!K177</f>
        <v>0</v>
      </c>
      <c r="I18" s="746">
        <f ca="1">'Monthly PF Cash Flow'!L177</f>
        <v>0</v>
      </c>
      <c r="J18" s="746">
        <f ca="1">'Monthly PF Cash Flow'!M177</f>
        <v>0</v>
      </c>
      <c r="K18" s="746">
        <f ca="1">'Monthly PF Cash Flow'!N177</f>
        <v>0</v>
      </c>
      <c r="L18" s="746">
        <f ca="1">'Monthly PF Cash Flow'!O177</f>
        <v>0</v>
      </c>
      <c r="M18" s="746">
        <f ca="1">'Monthly PF Cash Flow'!P177</f>
        <v>0</v>
      </c>
      <c r="N18" s="746">
        <f ca="1">'Monthly PF Cash Flow'!Q177</f>
        <v>0</v>
      </c>
      <c r="O18" s="746">
        <f ca="1">'Monthly PF Cash Flow'!R177</f>
        <v>0</v>
      </c>
      <c r="P18" s="746">
        <f ca="1">'Monthly PF Cash Flow'!S177</f>
        <v>0</v>
      </c>
      <c r="Q18" s="746">
        <f ca="1">'Monthly PF Cash Flow'!T177</f>
        <v>0</v>
      </c>
      <c r="R18" s="746">
        <f ca="1">'Monthly PF Cash Flow'!U177</f>
        <v>132618.31297400931</v>
      </c>
      <c r="S18" s="746">
        <f ca="1">'Monthly PF Cash Flow'!V177</f>
        <v>0</v>
      </c>
      <c r="T18" s="746">
        <f ca="1">'Monthly PF Cash Flow'!W177</f>
        <v>0</v>
      </c>
      <c r="U18" s="746">
        <f ca="1">'Monthly PF Cash Flow'!X177</f>
        <v>0</v>
      </c>
      <c r="V18" s="746">
        <f ca="1">'Monthly PF Cash Flow'!Y177</f>
        <v>0</v>
      </c>
      <c r="W18" s="746">
        <f ca="1">'Monthly PF Cash Flow'!Z177</f>
        <v>0</v>
      </c>
      <c r="X18" s="746">
        <f ca="1">'Monthly PF Cash Flow'!AA177</f>
        <v>0</v>
      </c>
      <c r="Y18" s="746">
        <f ca="1">'Monthly PF Cash Flow'!AB177</f>
        <v>0</v>
      </c>
      <c r="Z18" s="746">
        <f ca="1">'Monthly PF Cash Flow'!AC177</f>
        <v>0</v>
      </c>
      <c r="AA18" s="746">
        <f ca="1">'Monthly PF Cash Flow'!AD177</f>
        <v>0</v>
      </c>
      <c r="AB18" s="746">
        <f ca="1">'Monthly PF Cash Flow'!AE177</f>
        <v>0</v>
      </c>
      <c r="AC18" s="746">
        <f ca="1">'Monthly PF Cash Flow'!AF177</f>
        <v>7206.0087427061371</v>
      </c>
      <c r="AD18" s="746">
        <f ca="1">'Monthly PF Cash Flow'!AG177</f>
        <v>173151.06485049459</v>
      </c>
      <c r="AE18" s="746">
        <f ca="1">'Monthly PF Cash Flow'!AH177</f>
        <v>21055.946865947888</v>
      </c>
      <c r="AF18" s="746">
        <f ca="1">'Monthly PF Cash Flow'!AI177</f>
        <v>28724.387467987923</v>
      </c>
      <c r="AG18" s="746">
        <f ca="1">'Monthly PF Cash Flow'!AJ177</f>
        <v>36104.966417679243</v>
      </c>
      <c r="AH18" s="746">
        <f ca="1">'Monthly PF Cash Flow'!AK177</f>
        <v>54059.507925376165</v>
      </c>
      <c r="AI18" s="746">
        <f ca="1">'Monthly PF Cash Flow'!AL177</f>
        <v>62943.060065788086</v>
      </c>
      <c r="AJ18" s="746">
        <f ca="1">'Monthly PF Cash Flow'!AM177</f>
        <v>68900.47988270261</v>
      </c>
      <c r="AK18" s="746">
        <f ca="1">'Monthly PF Cash Flow'!AN177</f>
        <v>50097.05957852221</v>
      </c>
      <c r="AL18" s="746">
        <f ca="1">'Monthly PF Cash Flow'!AO177</f>
        <v>50673.06200911761</v>
      </c>
      <c r="AM18" s="746">
        <f ca="1">'Monthly PF Cash Flow'!AP177</f>
        <v>50445.81195463457</v>
      </c>
      <c r="AN18" s="746">
        <f ca="1">'Monthly PF Cash Flow'!AQ177</f>
        <v>58259.71555476317</v>
      </c>
      <c r="AO18" s="746">
        <f ca="1">'Monthly PF Cash Flow'!AR177</f>
        <v>57992.480314047338</v>
      </c>
      <c r="AP18" s="746">
        <f ca="1">'Monthly PF Cash Flow'!AS177</f>
        <v>60492.991125167217</v>
      </c>
      <c r="AQ18" s="746">
        <f ca="1">'Monthly PF Cash Flow'!AT177</f>
        <v>63197.325187124254</v>
      </c>
      <c r="AR18" s="746">
        <f ca="1">'Monthly PF Cash Flow'!AU177</f>
        <v>66212.546362612702</v>
      </c>
      <c r="AS18" s="746">
        <f ca="1">'Monthly PF Cash Flow'!AV177</f>
        <v>69882.109380630471</v>
      </c>
      <c r="AT18" s="746">
        <f ca="1">'Monthly PF Cash Flow'!AW177</f>
        <v>72211.426165391909</v>
      </c>
      <c r="AU18" s="746">
        <f ca="1">'Monthly PF Cash Flow'!AX177</f>
        <v>73919.889087109943</v>
      </c>
      <c r="AV18" s="746">
        <f ca="1">'Monthly PF Cash Flow'!AY177</f>
        <v>75481.35254099837</v>
      </c>
      <c r="AW18" s="746">
        <f ca="1">'Monthly PF Cash Flow'!AZ177</f>
        <v>74781.561758040159</v>
      </c>
      <c r="AX18" s="746">
        <f ca="1">'Monthly PF Cash Flow'!BA177</f>
        <v>74535.894558091793</v>
      </c>
      <c r="AY18" s="746">
        <f ca="1">'Monthly PF Cash Flow'!BB177</f>
        <v>73577.268404592178</v>
      </c>
      <c r="AZ18" s="746">
        <f ca="1">'Monthly PF Cash Flow'!BC177</f>
        <v>23717035.152093817</v>
      </c>
      <c r="BA18" s="746">
        <f ca="1">'Monthly PF Cash Flow'!BD177</f>
        <v>0</v>
      </c>
      <c r="BB18" s="746">
        <f ca="1">'Monthly PF Cash Flow'!BE177</f>
        <v>0</v>
      </c>
      <c r="BC18" s="746">
        <f ca="1">'Monthly PF Cash Flow'!BF177</f>
        <v>0</v>
      </c>
      <c r="BD18" s="746">
        <f ca="1">'Monthly PF Cash Flow'!BG177</f>
        <v>0</v>
      </c>
      <c r="BE18" s="746">
        <f ca="1">'Monthly PF Cash Flow'!BH177</f>
        <v>0</v>
      </c>
      <c r="BF18" s="746">
        <f ca="1">'Monthly PF Cash Flow'!BI177</f>
        <v>0</v>
      </c>
      <c r="BG18" s="746">
        <f ca="1">'Monthly PF Cash Flow'!BJ177</f>
        <v>0</v>
      </c>
      <c r="BH18" s="746">
        <f ca="1">'Monthly PF Cash Flow'!BK177</f>
        <v>0</v>
      </c>
      <c r="BI18" s="746">
        <f ca="1">'Monthly PF Cash Flow'!BL177</f>
        <v>0</v>
      </c>
      <c r="BJ18" s="746">
        <f ca="1">'Monthly PF Cash Flow'!BM177</f>
        <v>0</v>
      </c>
      <c r="BK18" s="746">
        <f ca="1">'Monthly PF Cash Flow'!BN177</f>
        <v>0</v>
      </c>
      <c r="BL18" s="746">
        <f ca="1">'Monthly PF Cash Flow'!BO177</f>
        <v>0</v>
      </c>
    </row>
    <row r="19" spans="1:64">
      <c r="A19" s="701" t="s">
        <v>645</v>
      </c>
      <c r="B19" s="701"/>
      <c r="C19" s="699">
        <f ca="1">SUM(D19:BL19)</f>
        <v>-6926965.7014692798</v>
      </c>
      <c r="D19" s="746">
        <f ca="1">'Monthly PF Cash Flow'!G176</f>
        <v>-6170830.5186084146</v>
      </c>
      <c r="E19" s="746">
        <f ca="1">'Monthly PF Cash Flow'!H176</f>
        <v>-756135.18286102917</v>
      </c>
      <c r="F19" s="746">
        <f ca="1">'Monthly PF Cash Flow'!I176</f>
        <v>1.862645149230957E-8</v>
      </c>
      <c r="G19" s="746">
        <f ca="1">'Monthly PF Cash Flow'!J176</f>
        <v>1.862645149230957E-8</v>
      </c>
      <c r="H19" s="746">
        <f ca="1">'Monthly PF Cash Flow'!K176</f>
        <v>1.862645149230957E-8</v>
      </c>
      <c r="I19" s="746">
        <f ca="1">'Monthly PF Cash Flow'!L176</f>
        <v>1.862645149230957E-8</v>
      </c>
      <c r="J19" s="746">
        <f ca="1">'Monthly PF Cash Flow'!M176</f>
        <v>1.862645149230957E-8</v>
      </c>
      <c r="K19" s="746">
        <f ca="1">'Monthly PF Cash Flow'!N176</f>
        <v>1.862645149230957E-8</v>
      </c>
      <c r="L19" s="746">
        <f ca="1">'Monthly PF Cash Flow'!O176</f>
        <v>1.862645149230957E-8</v>
      </c>
      <c r="M19" s="746">
        <f>'Monthly PF Cash Flow'!P176</f>
        <v>0</v>
      </c>
      <c r="N19" s="746">
        <f>'Monthly PF Cash Flow'!Q176</f>
        <v>0</v>
      </c>
      <c r="O19" s="746">
        <f>'Monthly PF Cash Flow'!R176</f>
        <v>0</v>
      </c>
      <c r="P19" s="746">
        <f>'Monthly PF Cash Flow'!S176</f>
        <v>0</v>
      </c>
      <c r="Q19" s="746">
        <f>'Monthly PF Cash Flow'!T176</f>
        <v>0</v>
      </c>
      <c r="R19" s="746">
        <f>'Monthly PF Cash Flow'!U176</f>
        <v>0</v>
      </c>
      <c r="S19" s="746">
        <f>'Monthly PF Cash Flow'!V176</f>
        <v>0</v>
      </c>
      <c r="T19" s="746">
        <f>'Monthly PF Cash Flow'!W176</f>
        <v>0</v>
      </c>
      <c r="U19" s="746">
        <f>'Monthly PF Cash Flow'!X176</f>
        <v>0</v>
      </c>
      <c r="V19" s="746">
        <f>'Monthly PF Cash Flow'!Y176</f>
        <v>0</v>
      </c>
      <c r="W19" s="746">
        <f>'Monthly PF Cash Flow'!Z176</f>
        <v>0</v>
      </c>
      <c r="X19" s="746">
        <f>'Monthly PF Cash Flow'!AA176</f>
        <v>0</v>
      </c>
      <c r="Y19" s="746">
        <f>'Monthly PF Cash Flow'!AB176</f>
        <v>0</v>
      </c>
      <c r="Z19" s="746">
        <f>'Monthly PF Cash Flow'!AC176</f>
        <v>0</v>
      </c>
      <c r="AA19" s="746">
        <f>'Monthly PF Cash Flow'!AD176</f>
        <v>0</v>
      </c>
      <c r="AB19" s="746">
        <f>'Monthly PF Cash Flow'!AE176</f>
        <v>0</v>
      </c>
      <c r="AC19" s="746">
        <f>'Monthly PF Cash Flow'!AF176</f>
        <v>0</v>
      </c>
      <c r="AD19" s="746">
        <f>'Monthly PF Cash Flow'!AG176</f>
        <v>0</v>
      </c>
      <c r="AE19" s="746">
        <f>'Monthly PF Cash Flow'!AH176</f>
        <v>0</v>
      </c>
      <c r="AF19" s="746">
        <f>'Monthly PF Cash Flow'!AI176</f>
        <v>0</v>
      </c>
      <c r="AG19" s="746">
        <f>'Monthly PF Cash Flow'!AJ176</f>
        <v>0</v>
      </c>
      <c r="AH19" s="746">
        <f>'Monthly PF Cash Flow'!AK176</f>
        <v>0</v>
      </c>
      <c r="AI19" s="746">
        <f>'Monthly PF Cash Flow'!AL176</f>
        <v>0</v>
      </c>
      <c r="AJ19" s="746">
        <f>'Monthly PF Cash Flow'!AM176</f>
        <v>0</v>
      </c>
      <c r="AK19" s="746">
        <f>'Monthly PF Cash Flow'!AN176</f>
        <v>0</v>
      </c>
      <c r="AL19" s="746">
        <f>'Monthly PF Cash Flow'!AO176</f>
        <v>0</v>
      </c>
      <c r="AM19" s="746">
        <f>'Monthly PF Cash Flow'!AP176</f>
        <v>0</v>
      </c>
      <c r="AN19" s="746">
        <f>'Monthly PF Cash Flow'!AQ176</f>
        <v>0</v>
      </c>
      <c r="AO19" s="746">
        <f>'Monthly PF Cash Flow'!AR176</f>
        <v>0</v>
      </c>
      <c r="AP19" s="746">
        <f>'Monthly PF Cash Flow'!AS176</f>
        <v>0</v>
      </c>
      <c r="AQ19" s="746">
        <f>'Monthly PF Cash Flow'!AT176</f>
        <v>0</v>
      </c>
      <c r="AR19" s="746">
        <f>'Monthly PF Cash Flow'!AU176</f>
        <v>0</v>
      </c>
      <c r="AS19" s="746">
        <f>'Monthly PF Cash Flow'!AV176</f>
        <v>0</v>
      </c>
      <c r="AT19" s="746">
        <f>'Monthly PF Cash Flow'!AW176</f>
        <v>0</v>
      </c>
      <c r="AU19" s="746">
        <f>'Monthly PF Cash Flow'!AX176</f>
        <v>0</v>
      </c>
      <c r="AV19" s="746">
        <f>'Monthly PF Cash Flow'!AY176</f>
        <v>0</v>
      </c>
      <c r="AW19" s="746">
        <f>'Monthly PF Cash Flow'!AZ176</f>
        <v>0</v>
      </c>
      <c r="AX19" s="746">
        <f>'Monthly PF Cash Flow'!BA176</f>
        <v>0</v>
      </c>
      <c r="AY19" s="746">
        <f>'Monthly PF Cash Flow'!BB176</f>
        <v>0</v>
      </c>
      <c r="AZ19" s="746">
        <f>'Monthly PF Cash Flow'!BC176</f>
        <v>0</v>
      </c>
      <c r="BA19" s="746">
        <f>'Monthly PF Cash Flow'!BD176</f>
        <v>0</v>
      </c>
      <c r="BB19" s="746">
        <f>'Monthly PF Cash Flow'!BE176</f>
        <v>0</v>
      </c>
      <c r="BC19" s="746">
        <f>'Monthly PF Cash Flow'!BF176</f>
        <v>0</v>
      </c>
      <c r="BD19" s="746">
        <f>'Monthly PF Cash Flow'!BG176</f>
        <v>0</v>
      </c>
      <c r="BE19" s="746">
        <f>'Monthly PF Cash Flow'!BH176</f>
        <v>0</v>
      </c>
      <c r="BF19" s="746">
        <f>'Monthly PF Cash Flow'!BI176</f>
        <v>0</v>
      </c>
      <c r="BG19" s="746">
        <f>'Monthly PF Cash Flow'!BJ176</f>
        <v>0</v>
      </c>
      <c r="BH19" s="746">
        <f>'Monthly PF Cash Flow'!BK176</f>
        <v>0</v>
      </c>
      <c r="BI19" s="746">
        <f>'Monthly PF Cash Flow'!BL176</f>
        <v>0</v>
      </c>
      <c r="BJ19" s="746">
        <f>'Monthly PF Cash Flow'!BM176</f>
        <v>0</v>
      </c>
      <c r="BK19" s="746">
        <f>'Monthly PF Cash Flow'!BN176</f>
        <v>0</v>
      </c>
      <c r="BL19" s="746">
        <f>'Monthly PF Cash Flow'!BO176</f>
        <v>0</v>
      </c>
    </row>
    <row r="20" spans="1:64">
      <c r="A20" s="701" t="s">
        <v>354</v>
      </c>
      <c r="B20" s="701"/>
      <c r="C20" s="705">
        <f ca="1">C18+C19</f>
        <v>18346593.679812122</v>
      </c>
      <c r="D20" s="746"/>
      <c r="E20" s="746"/>
      <c r="F20" s="746"/>
      <c r="G20" s="746"/>
      <c r="H20" s="746"/>
      <c r="I20" s="746"/>
      <c r="J20" s="746"/>
      <c r="K20" s="746"/>
      <c r="L20" s="746"/>
      <c r="M20" s="746"/>
      <c r="N20" s="746"/>
      <c r="O20" s="746"/>
      <c r="P20" s="746"/>
      <c r="Q20" s="746"/>
      <c r="R20" s="746"/>
      <c r="S20" s="746"/>
      <c r="T20" s="746"/>
      <c r="U20" s="746"/>
      <c r="V20" s="746"/>
      <c r="W20" s="746"/>
      <c r="X20" s="746"/>
      <c r="Y20" s="746"/>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c r="BC20" s="746"/>
      <c r="BD20" s="746"/>
      <c r="BE20" s="746"/>
      <c r="BF20" s="746"/>
      <c r="BG20" s="746"/>
      <c r="BH20" s="746"/>
      <c r="BI20" s="746"/>
      <c r="BJ20" s="746"/>
      <c r="BK20" s="746"/>
      <c r="BL20" s="746"/>
    </row>
    <row r="21" spans="1:64">
      <c r="A21" s="701"/>
      <c r="B21" s="701"/>
      <c r="C21" s="699"/>
      <c r="D21" s="746"/>
      <c r="E21" s="746"/>
      <c r="F21" s="746"/>
      <c r="G21" s="746"/>
      <c r="H21" s="746"/>
      <c r="I21" s="746"/>
      <c r="J21" s="746"/>
      <c r="K21" s="746"/>
      <c r="L21" s="746"/>
      <c r="M21" s="746"/>
      <c r="N21" s="746"/>
      <c r="O21" s="746"/>
      <c r="P21" s="746"/>
      <c r="Q21" s="746"/>
      <c r="R21" s="746"/>
      <c r="S21" s="746"/>
      <c r="T21" s="746"/>
      <c r="U21" s="746"/>
      <c r="V21" s="746"/>
      <c r="W21" s="746"/>
      <c r="X21" s="746"/>
      <c r="Y21" s="746"/>
      <c r="Z21" s="746"/>
      <c r="AA21" s="746"/>
      <c r="AB21" s="746"/>
      <c r="AC21" s="746"/>
      <c r="AD21" s="746"/>
      <c r="AE21" s="746"/>
      <c r="AF21" s="746"/>
      <c r="AG21" s="746"/>
      <c r="AH21" s="746"/>
      <c r="AI21" s="746"/>
      <c r="AJ21" s="746"/>
      <c r="AK21" s="746"/>
      <c r="AL21" s="746"/>
      <c r="AM21" s="746"/>
      <c r="AN21" s="746"/>
      <c r="AO21" s="746"/>
      <c r="AP21" s="746"/>
      <c r="AQ21" s="746"/>
      <c r="AR21" s="746"/>
      <c r="AS21" s="746"/>
      <c r="AT21" s="746"/>
      <c r="AU21" s="746"/>
      <c r="AV21" s="746"/>
      <c r="AW21" s="746"/>
      <c r="AX21" s="746"/>
      <c r="AY21" s="746"/>
      <c r="AZ21" s="746"/>
      <c r="BA21" s="746"/>
      <c r="BB21" s="746"/>
      <c r="BC21" s="746"/>
      <c r="BD21" s="746"/>
      <c r="BE21" s="746"/>
      <c r="BF21" s="746"/>
      <c r="BG21" s="746"/>
      <c r="BH21" s="746"/>
      <c r="BI21" s="746"/>
      <c r="BJ21" s="746"/>
      <c r="BK21" s="746"/>
      <c r="BL21" s="746"/>
    </row>
    <row r="22" spans="1:64">
      <c r="A22" s="701"/>
      <c r="B22" s="701"/>
      <c r="C22" s="699"/>
      <c r="D22" s="748"/>
      <c r="E22" s="751"/>
      <c r="F22" s="751"/>
      <c r="G22" s="751"/>
      <c r="H22" s="751"/>
      <c r="I22" s="751"/>
      <c r="J22" s="751"/>
      <c r="K22" s="751"/>
      <c r="L22" s="751"/>
      <c r="M22" s="751"/>
      <c r="N22" s="751"/>
      <c r="O22" s="751"/>
      <c r="P22" s="751"/>
      <c r="Q22" s="751"/>
      <c r="R22" s="751"/>
      <c r="S22" s="751"/>
      <c r="T22" s="751"/>
      <c r="U22" s="751"/>
      <c r="V22" s="751"/>
      <c r="W22" s="751"/>
      <c r="X22" s="751"/>
      <c r="Y22" s="751"/>
      <c r="Z22" s="751"/>
      <c r="AA22" s="751"/>
      <c r="AB22" s="751"/>
      <c r="AC22" s="751"/>
      <c r="AD22" s="751"/>
      <c r="AE22" s="751"/>
      <c r="AF22" s="751"/>
      <c r="AG22" s="751"/>
      <c r="AH22" s="751"/>
      <c r="AI22" s="751"/>
      <c r="AJ22" s="751"/>
      <c r="AK22" s="751"/>
      <c r="AL22" s="751"/>
      <c r="AM22" s="751"/>
      <c r="AN22" s="751"/>
      <c r="AO22" s="751"/>
      <c r="AP22" s="751"/>
      <c r="AQ22" s="751"/>
      <c r="AR22" s="751"/>
      <c r="AS22" s="751"/>
      <c r="AT22" s="751"/>
      <c r="AU22" s="751"/>
      <c r="AV22" s="751"/>
      <c r="AW22" s="751"/>
      <c r="AX22" s="751"/>
      <c r="AY22" s="751"/>
      <c r="AZ22" s="751"/>
      <c r="BA22" s="751"/>
      <c r="BB22" s="751"/>
      <c r="BC22" s="751"/>
      <c r="BD22" s="751"/>
      <c r="BE22" s="751"/>
      <c r="BF22" s="751"/>
      <c r="BG22" s="751"/>
      <c r="BH22" s="751"/>
      <c r="BI22" s="751"/>
      <c r="BJ22" s="751"/>
      <c r="BK22" s="751"/>
      <c r="BL22" s="751"/>
    </row>
    <row r="23" spans="1:64">
      <c r="A23" s="700" t="s">
        <v>680</v>
      </c>
      <c r="B23" s="710"/>
      <c r="C23" s="699">
        <f ca="1">SUM(D23:BL23)</f>
        <v>25273559.381281402</v>
      </c>
      <c r="D23" s="711">
        <f>'Monthly PF Cash Flow'!G177</f>
        <v>0</v>
      </c>
      <c r="E23" s="711">
        <f ca="1">'Monthly PF Cash Flow'!H177</f>
        <v>0</v>
      </c>
      <c r="F23" s="711">
        <f ca="1">'Monthly PF Cash Flow'!I177</f>
        <v>0</v>
      </c>
      <c r="G23" s="711">
        <f ca="1">'Monthly PF Cash Flow'!J177</f>
        <v>0</v>
      </c>
      <c r="H23" s="711">
        <f ca="1">'Monthly PF Cash Flow'!K177</f>
        <v>0</v>
      </c>
      <c r="I23" s="711">
        <f ca="1">'Monthly PF Cash Flow'!L177</f>
        <v>0</v>
      </c>
      <c r="J23" s="711">
        <f ca="1">'Monthly PF Cash Flow'!M177</f>
        <v>0</v>
      </c>
      <c r="K23" s="711">
        <f ca="1">'Monthly PF Cash Flow'!N177</f>
        <v>0</v>
      </c>
      <c r="L23" s="711">
        <f ca="1">'Monthly PF Cash Flow'!O177</f>
        <v>0</v>
      </c>
      <c r="M23" s="711">
        <f ca="1">'Monthly PF Cash Flow'!P177</f>
        <v>0</v>
      </c>
      <c r="N23" s="711">
        <f ca="1">'Monthly PF Cash Flow'!Q177</f>
        <v>0</v>
      </c>
      <c r="O23" s="711">
        <f ca="1">'Monthly PF Cash Flow'!R177</f>
        <v>0</v>
      </c>
      <c r="P23" s="711">
        <f ca="1">'Monthly PF Cash Flow'!S177</f>
        <v>0</v>
      </c>
      <c r="Q23" s="711">
        <f ca="1">'Monthly PF Cash Flow'!T177</f>
        <v>0</v>
      </c>
      <c r="R23" s="711">
        <f ca="1">'Monthly PF Cash Flow'!U177</f>
        <v>132618.31297400931</v>
      </c>
      <c r="S23" s="711">
        <f ca="1">'Monthly PF Cash Flow'!V177</f>
        <v>0</v>
      </c>
      <c r="T23" s="711">
        <f ca="1">'Monthly PF Cash Flow'!W177</f>
        <v>0</v>
      </c>
      <c r="U23" s="711">
        <f ca="1">'Monthly PF Cash Flow'!X177</f>
        <v>0</v>
      </c>
      <c r="V23" s="711">
        <f ca="1">'Monthly PF Cash Flow'!Y177</f>
        <v>0</v>
      </c>
      <c r="W23" s="711">
        <f ca="1">'Monthly PF Cash Flow'!Z177</f>
        <v>0</v>
      </c>
      <c r="X23" s="711">
        <f ca="1">'Monthly PF Cash Flow'!AA177</f>
        <v>0</v>
      </c>
      <c r="Y23" s="711">
        <f ca="1">'Monthly PF Cash Flow'!AB177</f>
        <v>0</v>
      </c>
      <c r="Z23" s="711">
        <f ca="1">'Monthly PF Cash Flow'!AC177</f>
        <v>0</v>
      </c>
      <c r="AA23" s="711">
        <f ca="1">'Monthly PF Cash Flow'!AD177</f>
        <v>0</v>
      </c>
      <c r="AB23" s="711">
        <f ca="1">'Monthly PF Cash Flow'!AE177</f>
        <v>0</v>
      </c>
      <c r="AC23" s="711">
        <f ca="1">'Monthly PF Cash Flow'!AF177</f>
        <v>7206.0087427061371</v>
      </c>
      <c r="AD23" s="711">
        <f ca="1">'Monthly PF Cash Flow'!AG177</f>
        <v>173151.06485049459</v>
      </c>
      <c r="AE23" s="711">
        <f ca="1">'Monthly PF Cash Flow'!AH177</f>
        <v>21055.946865947888</v>
      </c>
      <c r="AF23" s="711">
        <f ca="1">'Monthly PF Cash Flow'!AI177</f>
        <v>28724.387467987923</v>
      </c>
      <c r="AG23" s="711">
        <f ca="1">'Monthly PF Cash Flow'!AJ177</f>
        <v>36104.966417679243</v>
      </c>
      <c r="AH23" s="711">
        <f ca="1">'Monthly PF Cash Flow'!AK177</f>
        <v>54059.507925376165</v>
      </c>
      <c r="AI23" s="711">
        <f ca="1">'Monthly PF Cash Flow'!AL177</f>
        <v>62943.060065788086</v>
      </c>
      <c r="AJ23" s="711">
        <f ca="1">'Monthly PF Cash Flow'!AM177</f>
        <v>68900.47988270261</v>
      </c>
      <c r="AK23" s="711">
        <f ca="1">'Monthly PF Cash Flow'!AN177</f>
        <v>50097.05957852221</v>
      </c>
      <c r="AL23" s="711">
        <f ca="1">'Monthly PF Cash Flow'!AO177</f>
        <v>50673.06200911761</v>
      </c>
      <c r="AM23" s="711">
        <f ca="1">'Monthly PF Cash Flow'!AP177</f>
        <v>50445.81195463457</v>
      </c>
      <c r="AN23" s="711">
        <f ca="1">'Monthly PF Cash Flow'!AQ177</f>
        <v>58259.71555476317</v>
      </c>
      <c r="AO23" s="711">
        <f ca="1">'Monthly PF Cash Flow'!AR177</f>
        <v>57992.480314047338</v>
      </c>
      <c r="AP23" s="711">
        <f ca="1">'Monthly PF Cash Flow'!AS177</f>
        <v>60492.991125167217</v>
      </c>
      <c r="AQ23" s="711">
        <f ca="1">'Monthly PF Cash Flow'!AT177</f>
        <v>63197.325187124254</v>
      </c>
      <c r="AR23" s="711">
        <f ca="1">'Monthly PF Cash Flow'!AU177</f>
        <v>66212.546362612702</v>
      </c>
      <c r="AS23" s="711">
        <f ca="1">'Monthly PF Cash Flow'!AV177</f>
        <v>69882.109380630471</v>
      </c>
      <c r="AT23" s="711">
        <f ca="1">'Monthly PF Cash Flow'!AW177</f>
        <v>72211.426165391909</v>
      </c>
      <c r="AU23" s="711">
        <f ca="1">'Monthly PF Cash Flow'!AX177</f>
        <v>73919.889087109943</v>
      </c>
      <c r="AV23" s="711">
        <f ca="1">'Monthly PF Cash Flow'!AY177</f>
        <v>75481.35254099837</v>
      </c>
      <c r="AW23" s="711">
        <f ca="1">'Monthly PF Cash Flow'!AZ177</f>
        <v>74781.561758040159</v>
      </c>
      <c r="AX23" s="711">
        <f ca="1">'Monthly PF Cash Flow'!BA177</f>
        <v>74535.894558091793</v>
      </c>
      <c r="AY23" s="711">
        <f ca="1">'Monthly PF Cash Flow'!BB177</f>
        <v>73577.268404592178</v>
      </c>
      <c r="AZ23" s="711">
        <f ca="1">'Monthly PF Cash Flow'!BC177</f>
        <v>23717035.152093817</v>
      </c>
      <c r="BA23" s="711">
        <f ca="1">'Monthly PF Cash Flow'!BD177</f>
        <v>0</v>
      </c>
      <c r="BB23" s="711">
        <f ca="1">'Monthly PF Cash Flow'!BE177</f>
        <v>0</v>
      </c>
      <c r="BC23" s="711">
        <f ca="1">'Monthly PF Cash Flow'!BF177</f>
        <v>0</v>
      </c>
      <c r="BD23" s="711">
        <f ca="1">'Monthly PF Cash Flow'!BG177</f>
        <v>0</v>
      </c>
      <c r="BE23" s="711">
        <f ca="1">'Monthly PF Cash Flow'!BH177</f>
        <v>0</v>
      </c>
      <c r="BF23" s="711">
        <f ca="1">'Monthly PF Cash Flow'!BI177</f>
        <v>0</v>
      </c>
      <c r="BG23" s="711">
        <f ca="1">'Monthly PF Cash Flow'!BJ177</f>
        <v>0</v>
      </c>
      <c r="BH23" s="711">
        <f ca="1">'Monthly PF Cash Flow'!BK177</f>
        <v>0</v>
      </c>
      <c r="BI23" s="711">
        <f ca="1">'Monthly PF Cash Flow'!BL177</f>
        <v>0</v>
      </c>
      <c r="BJ23" s="711">
        <f ca="1">'Monthly PF Cash Flow'!BM177</f>
        <v>0</v>
      </c>
      <c r="BK23" s="711">
        <f ca="1">'Monthly PF Cash Flow'!BN177</f>
        <v>0</v>
      </c>
      <c r="BL23" s="711">
        <f ca="1">'Monthly PF Cash Flow'!BO177</f>
        <v>0</v>
      </c>
    </row>
    <row r="24" spans="1:64">
      <c r="A24" s="701"/>
      <c r="B24" s="701"/>
      <c r="C24" s="699"/>
      <c r="D24" s="748"/>
      <c r="E24" s="751"/>
      <c r="F24" s="751"/>
      <c r="G24" s="751"/>
      <c r="H24" s="751"/>
      <c r="I24" s="751"/>
      <c r="J24" s="751"/>
      <c r="K24" s="751"/>
      <c r="L24" s="751"/>
      <c r="M24" s="751"/>
      <c r="N24" s="751"/>
      <c r="O24" s="751"/>
      <c r="P24" s="751"/>
      <c r="Q24" s="751"/>
      <c r="R24" s="751"/>
      <c r="S24" s="751"/>
      <c r="T24" s="751"/>
      <c r="U24" s="751"/>
      <c r="V24" s="751"/>
      <c r="W24" s="751"/>
      <c r="X24" s="751"/>
      <c r="Y24" s="751"/>
      <c r="Z24" s="751"/>
      <c r="AA24" s="751"/>
      <c r="AB24" s="751"/>
      <c r="AC24" s="751"/>
      <c r="AD24" s="751"/>
      <c r="AE24" s="751"/>
      <c r="AF24" s="751"/>
      <c r="AG24" s="751"/>
      <c r="AH24" s="751"/>
      <c r="AI24" s="751"/>
      <c r="AJ24" s="751"/>
      <c r="AK24" s="751"/>
      <c r="AL24" s="751"/>
      <c r="AM24" s="751"/>
      <c r="AN24" s="751"/>
      <c r="AO24" s="751"/>
      <c r="AP24" s="751"/>
      <c r="AQ24" s="751"/>
      <c r="AR24" s="751"/>
      <c r="AS24" s="751"/>
      <c r="AT24" s="751"/>
      <c r="AU24" s="751"/>
      <c r="AV24" s="751"/>
      <c r="AW24" s="751"/>
      <c r="AX24" s="751"/>
      <c r="AY24" s="751"/>
      <c r="AZ24" s="751"/>
      <c r="BA24" s="751"/>
      <c r="BB24" s="751"/>
      <c r="BC24" s="751"/>
      <c r="BD24" s="751"/>
      <c r="BE24" s="751"/>
      <c r="BF24" s="751"/>
      <c r="BG24" s="751"/>
      <c r="BH24" s="751"/>
      <c r="BI24" s="751"/>
      <c r="BJ24" s="751"/>
      <c r="BK24" s="751"/>
      <c r="BL24" s="751"/>
    </row>
    <row r="25" spans="1:64">
      <c r="A25" s="700" t="s">
        <v>647</v>
      </c>
      <c r="B25" s="701"/>
      <c r="C25" s="699"/>
      <c r="D25" s="701"/>
      <c r="E25" s="701"/>
      <c r="F25" s="701"/>
      <c r="G25" s="701"/>
      <c r="H25" s="701"/>
      <c r="I25" s="701"/>
    </row>
    <row r="26" spans="1:64">
      <c r="A26" s="701" t="s">
        <v>633</v>
      </c>
      <c r="B26" s="702">
        <f ca="1">D2</f>
        <v>8.6618012252135113E-2</v>
      </c>
      <c r="C26" s="699">
        <f ca="1">SUM(D26:BL26)</f>
        <v>-599999.99999998452</v>
      </c>
      <c r="D26" s="703">
        <f ca="1">D19*$B$26</f>
        <v>-534505.07346667291</v>
      </c>
      <c r="E26" s="703">
        <f t="shared" ref="E26:BL26" ca="1" si="2">E19*$B$26</f>
        <v>-65494.926533327045</v>
      </c>
      <c r="F26" s="703">
        <f t="shared" ca="1" si="2"/>
        <v>1.6133862035746707E-9</v>
      </c>
      <c r="G26" s="703">
        <f t="shared" ca="1" si="2"/>
        <v>1.6133862035746707E-9</v>
      </c>
      <c r="H26" s="703">
        <f t="shared" ca="1" si="2"/>
        <v>1.6133862035746707E-9</v>
      </c>
      <c r="I26" s="703">
        <f t="shared" ca="1" si="2"/>
        <v>1.6133862035746707E-9</v>
      </c>
      <c r="J26" s="703">
        <f t="shared" ca="1" si="2"/>
        <v>1.6133862035746707E-9</v>
      </c>
      <c r="K26" s="703">
        <f t="shared" ca="1" si="2"/>
        <v>1.6133862035746707E-9</v>
      </c>
      <c r="L26" s="703">
        <f t="shared" ca="1" si="2"/>
        <v>1.6133862035746707E-9</v>
      </c>
      <c r="M26" s="703">
        <f t="shared" ca="1" si="2"/>
        <v>0</v>
      </c>
      <c r="N26" s="703">
        <f t="shared" ca="1" si="2"/>
        <v>0</v>
      </c>
      <c r="O26" s="703">
        <f t="shared" ca="1" si="2"/>
        <v>0</v>
      </c>
      <c r="P26" s="703">
        <f t="shared" ca="1" si="2"/>
        <v>0</v>
      </c>
      <c r="Q26" s="703">
        <f t="shared" ca="1" si="2"/>
        <v>0</v>
      </c>
      <c r="R26" s="703">
        <f t="shared" ca="1" si="2"/>
        <v>0</v>
      </c>
      <c r="S26" s="703">
        <f t="shared" ca="1" si="2"/>
        <v>0</v>
      </c>
      <c r="T26" s="703">
        <f t="shared" ca="1" si="2"/>
        <v>0</v>
      </c>
      <c r="U26" s="703">
        <f t="shared" ca="1" si="2"/>
        <v>0</v>
      </c>
      <c r="V26" s="703">
        <f t="shared" ca="1" si="2"/>
        <v>0</v>
      </c>
      <c r="W26" s="703">
        <f t="shared" ca="1" si="2"/>
        <v>0</v>
      </c>
      <c r="X26" s="703">
        <f t="shared" ca="1" si="2"/>
        <v>0</v>
      </c>
      <c r="Y26" s="703">
        <f t="shared" ca="1" si="2"/>
        <v>0</v>
      </c>
      <c r="Z26" s="703">
        <f t="shared" ca="1" si="2"/>
        <v>0</v>
      </c>
      <c r="AA26" s="703">
        <f t="shared" ca="1" si="2"/>
        <v>0</v>
      </c>
      <c r="AB26" s="703">
        <f t="shared" ca="1" si="2"/>
        <v>0</v>
      </c>
      <c r="AC26" s="703">
        <f t="shared" ca="1" si="2"/>
        <v>0</v>
      </c>
      <c r="AD26" s="703">
        <f t="shared" ca="1" si="2"/>
        <v>0</v>
      </c>
      <c r="AE26" s="703">
        <f t="shared" ca="1" si="2"/>
        <v>0</v>
      </c>
      <c r="AF26" s="703">
        <f t="shared" ca="1" si="2"/>
        <v>0</v>
      </c>
      <c r="AG26" s="703">
        <f t="shared" ca="1" si="2"/>
        <v>0</v>
      </c>
      <c r="AH26" s="703">
        <f t="shared" ca="1" si="2"/>
        <v>0</v>
      </c>
      <c r="AI26" s="703">
        <f t="shared" ca="1" si="2"/>
        <v>0</v>
      </c>
      <c r="AJ26" s="703">
        <f t="shared" ca="1" si="2"/>
        <v>0</v>
      </c>
      <c r="AK26" s="703">
        <f t="shared" ca="1" si="2"/>
        <v>0</v>
      </c>
      <c r="AL26" s="703">
        <f t="shared" ca="1" si="2"/>
        <v>0</v>
      </c>
      <c r="AM26" s="703">
        <f t="shared" ca="1" si="2"/>
        <v>0</v>
      </c>
      <c r="AN26" s="703">
        <f t="shared" ca="1" si="2"/>
        <v>0</v>
      </c>
      <c r="AO26" s="703">
        <f t="shared" ca="1" si="2"/>
        <v>0</v>
      </c>
      <c r="AP26" s="703">
        <f t="shared" ca="1" si="2"/>
        <v>0</v>
      </c>
      <c r="AQ26" s="703">
        <f t="shared" ca="1" si="2"/>
        <v>0</v>
      </c>
      <c r="AR26" s="703">
        <f t="shared" ca="1" si="2"/>
        <v>0</v>
      </c>
      <c r="AS26" s="703">
        <f t="shared" ca="1" si="2"/>
        <v>0</v>
      </c>
      <c r="AT26" s="703">
        <f t="shared" ca="1" si="2"/>
        <v>0</v>
      </c>
      <c r="AU26" s="703">
        <f t="shared" ca="1" si="2"/>
        <v>0</v>
      </c>
      <c r="AV26" s="703">
        <f t="shared" ca="1" si="2"/>
        <v>0</v>
      </c>
      <c r="AW26" s="703">
        <f t="shared" ca="1" si="2"/>
        <v>0</v>
      </c>
      <c r="AX26" s="703">
        <f t="shared" ca="1" si="2"/>
        <v>0</v>
      </c>
      <c r="AY26" s="703">
        <f t="shared" ca="1" si="2"/>
        <v>0</v>
      </c>
      <c r="AZ26" s="703">
        <f t="shared" ca="1" si="2"/>
        <v>0</v>
      </c>
      <c r="BA26" s="703">
        <f t="shared" ca="1" si="2"/>
        <v>0</v>
      </c>
      <c r="BB26" s="703">
        <f t="shared" ca="1" si="2"/>
        <v>0</v>
      </c>
      <c r="BC26" s="703">
        <f t="shared" ca="1" si="2"/>
        <v>0</v>
      </c>
      <c r="BD26" s="703">
        <f t="shared" ca="1" si="2"/>
        <v>0</v>
      </c>
      <c r="BE26" s="703">
        <f t="shared" ca="1" si="2"/>
        <v>0</v>
      </c>
      <c r="BF26" s="703">
        <f t="shared" ca="1" si="2"/>
        <v>0</v>
      </c>
      <c r="BG26" s="703">
        <f t="shared" ca="1" si="2"/>
        <v>0</v>
      </c>
      <c r="BH26" s="703">
        <f t="shared" ca="1" si="2"/>
        <v>0</v>
      </c>
      <c r="BI26" s="703">
        <f t="shared" ca="1" si="2"/>
        <v>0</v>
      </c>
      <c r="BJ26" s="703">
        <f t="shared" ca="1" si="2"/>
        <v>0</v>
      </c>
      <c r="BK26" s="703">
        <f t="shared" ca="1" si="2"/>
        <v>0</v>
      </c>
      <c r="BL26" s="703">
        <f t="shared" ca="1" si="2"/>
        <v>0</v>
      </c>
    </row>
    <row r="27" spans="1:64">
      <c r="A27" s="701" t="s">
        <v>634</v>
      </c>
      <c r="B27" s="704">
        <f ca="1">1-B26</f>
        <v>0.91338198774786483</v>
      </c>
      <c r="C27" s="699">
        <f ca="1">SUM(D27:BL27)</f>
        <v>-6326965.7014692929</v>
      </c>
      <c r="D27" s="703">
        <f ca="1">D19*$B$27</f>
        <v>-5636325.4451417411</v>
      </c>
      <c r="E27" s="703">
        <f t="shared" ref="E27:BL27" ca="1" si="3">E19*$B$27</f>
        <v>-690640.25632770208</v>
      </c>
      <c r="F27" s="703">
        <f t="shared" ca="1" si="3"/>
        <v>1.7013065288734899E-8</v>
      </c>
      <c r="G27" s="703">
        <f t="shared" ca="1" si="3"/>
        <v>1.7013065288734899E-8</v>
      </c>
      <c r="H27" s="703">
        <f t="shared" ca="1" si="3"/>
        <v>1.7013065288734899E-8</v>
      </c>
      <c r="I27" s="703">
        <f t="shared" ca="1" si="3"/>
        <v>1.7013065288734899E-8</v>
      </c>
      <c r="J27" s="703">
        <f t="shared" ca="1" si="3"/>
        <v>1.7013065288734899E-8</v>
      </c>
      <c r="K27" s="703">
        <f t="shared" ca="1" si="3"/>
        <v>1.7013065288734899E-8</v>
      </c>
      <c r="L27" s="703">
        <f t="shared" ca="1" si="3"/>
        <v>1.7013065288734899E-8</v>
      </c>
      <c r="M27" s="703">
        <f t="shared" ca="1" si="3"/>
        <v>0</v>
      </c>
      <c r="N27" s="703">
        <f t="shared" ca="1" si="3"/>
        <v>0</v>
      </c>
      <c r="O27" s="703">
        <f t="shared" ca="1" si="3"/>
        <v>0</v>
      </c>
      <c r="P27" s="703">
        <f t="shared" ca="1" si="3"/>
        <v>0</v>
      </c>
      <c r="Q27" s="703">
        <f t="shared" ca="1" si="3"/>
        <v>0</v>
      </c>
      <c r="R27" s="703">
        <f t="shared" ca="1" si="3"/>
        <v>0</v>
      </c>
      <c r="S27" s="703">
        <f t="shared" ca="1" si="3"/>
        <v>0</v>
      </c>
      <c r="T27" s="703">
        <f t="shared" ca="1" si="3"/>
        <v>0</v>
      </c>
      <c r="U27" s="703">
        <f t="shared" ca="1" si="3"/>
        <v>0</v>
      </c>
      <c r="V27" s="703">
        <f t="shared" ca="1" si="3"/>
        <v>0</v>
      </c>
      <c r="W27" s="703">
        <f t="shared" ca="1" si="3"/>
        <v>0</v>
      </c>
      <c r="X27" s="703">
        <f t="shared" ca="1" si="3"/>
        <v>0</v>
      </c>
      <c r="Y27" s="703">
        <f t="shared" ca="1" si="3"/>
        <v>0</v>
      </c>
      <c r="Z27" s="703">
        <f t="shared" ca="1" si="3"/>
        <v>0</v>
      </c>
      <c r="AA27" s="703">
        <f t="shared" ca="1" si="3"/>
        <v>0</v>
      </c>
      <c r="AB27" s="703">
        <f t="shared" ca="1" si="3"/>
        <v>0</v>
      </c>
      <c r="AC27" s="703">
        <f t="shared" ca="1" si="3"/>
        <v>0</v>
      </c>
      <c r="AD27" s="703">
        <f t="shared" ca="1" si="3"/>
        <v>0</v>
      </c>
      <c r="AE27" s="703">
        <f t="shared" ca="1" si="3"/>
        <v>0</v>
      </c>
      <c r="AF27" s="703">
        <f t="shared" ca="1" si="3"/>
        <v>0</v>
      </c>
      <c r="AG27" s="703">
        <f t="shared" ca="1" si="3"/>
        <v>0</v>
      </c>
      <c r="AH27" s="703">
        <f t="shared" ca="1" si="3"/>
        <v>0</v>
      </c>
      <c r="AI27" s="703">
        <f t="shared" ca="1" si="3"/>
        <v>0</v>
      </c>
      <c r="AJ27" s="703">
        <f t="shared" ca="1" si="3"/>
        <v>0</v>
      </c>
      <c r="AK27" s="703">
        <f t="shared" ca="1" si="3"/>
        <v>0</v>
      </c>
      <c r="AL27" s="703">
        <f t="shared" ca="1" si="3"/>
        <v>0</v>
      </c>
      <c r="AM27" s="703">
        <f t="shared" ca="1" si="3"/>
        <v>0</v>
      </c>
      <c r="AN27" s="703">
        <f t="shared" ca="1" si="3"/>
        <v>0</v>
      </c>
      <c r="AO27" s="703">
        <f t="shared" ca="1" si="3"/>
        <v>0</v>
      </c>
      <c r="AP27" s="703">
        <f t="shared" ca="1" si="3"/>
        <v>0</v>
      </c>
      <c r="AQ27" s="703">
        <f t="shared" ca="1" si="3"/>
        <v>0</v>
      </c>
      <c r="AR27" s="703">
        <f t="shared" ca="1" si="3"/>
        <v>0</v>
      </c>
      <c r="AS27" s="703">
        <f t="shared" ca="1" si="3"/>
        <v>0</v>
      </c>
      <c r="AT27" s="703">
        <f t="shared" ca="1" si="3"/>
        <v>0</v>
      </c>
      <c r="AU27" s="703">
        <f t="shared" ca="1" si="3"/>
        <v>0</v>
      </c>
      <c r="AV27" s="703">
        <f t="shared" ca="1" si="3"/>
        <v>0</v>
      </c>
      <c r="AW27" s="703">
        <f t="shared" ca="1" si="3"/>
        <v>0</v>
      </c>
      <c r="AX27" s="703">
        <f t="shared" ca="1" si="3"/>
        <v>0</v>
      </c>
      <c r="AY27" s="703">
        <f t="shared" ca="1" si="3"/>
        <v>0</v>
      </c>
      <c r="AZ27" s="703">
        <f t="shared" ca="1" si="3"/>
        <v>0</v>
      </c>
      <c r="BA27" s="703">
        <f t="shared" ca="1" si="3"/>
        <v>0</v>
      </c>
      <c r="BB27" s="703">
        <f t="shared" ca="1" si="3"/>
        <v>0</v>
      </c>
      <c r="BC27" s="703">
        <f t="shared" ca="1" si="3"/>
        <v>0</v>
      </c>
      <c r="BD27" s="703">
        <f t="shared" ca="1" si="3"/>
        <v>0</v>
      </c>
      <c r="BE27" s="703">
        <f t="shared" ca="1" si="3"/>
        <v>0</v>
      </c>
      <c r="BF27" s="703">
        <f t="shared" ca="1" si="3"/>
        <v>0</v>
      </c>
      <c r="BG27" s="703">
        <f t="shared" ca="1" si="3"/>
        <v>0</v>
      </c>
      <c r="BH27" s="703">
        <f t="shared" ca="1" si="3"/>
        <v>0</v>
      </c>
      <c r="BI27" s="703">
        <f t="shared" ca="1" si="3"/>
        <v>0</v>
      </c>
      <c r="BJ27" s="703">
        <f t="shared" ca="1" si="3"/>
        <v>0</v>
      </c>
      <c r="BK27" s="703">
        <f t="shared" ca="1" si="3"/>
        <v>0</v>
      </c>
      <c r="BL27" s="703">
        <f t="shared" ca="1" si="3"/>
        <v>0</v>
      </c>
    </row>
    <row r="28" spans="1:64">
      <c r="A28" s="701" t="s">
        <v>128</v>
      </c>
      <c r="B28" s="702">
        <f ca="1">SUM(B26:B27)</f>
        <v>1</v>
      </c>
      <c r="C28" s="705">
        <f ca="1">SUM(C26:C27)</f>
        <v>-6926965.701469277</v>
      </c>
      <c r="D28" s="706">
        <f ca="1">SUM(D26:D27)</f>
        <v>-6170830.5186084136</v>
      </c>
      <c r="E28" s="706">
        <f ca="1">SUM(E26:E27)</f>
        <v>-756135.18286102917</v>
      </c>
      <c r="F28" s="706">
        <f t="shared" ref="F28:BL28" ca="1" si="4">SUM(F26:F27)</f>
        <v>1.862645149230957E-8</v>
      </c>
      <c r="G28" s="706">
        <f t="shared" ca="1" si="4"/>
        <v>1.862645149230957E-8</v>
      </c>
      <c r="H28" s="706">
        <f t="shared" ca="1" si="4"/>
        <v>1.862645149230957E-8</v>
      </c>
      <c r="I28" s="706">
        <f t="shared" ca="1" si="4"/>
        <v>1.862645149230957E-8</v>
      </c>
      <c r="J28" s="706">
        <f t="shared" ca="1" si="4"/>
        <v>1.862645149230957E-8</v>
      </c>
      <c r="K28" s="706">
        <f t="shared" ca="1" si="4"/>
        <v>1.862645149230957E-8</v>
      </c>
      <c r="L28" s="706">
        <f t="shared" ca="1" si="4"/>
        <v>1.862645149230957E-8</v>
      </c>
      <c r="M28" s="706">
        <f t="shared" ca="1" si="4"/>
        <v>0</v>
      </c>
      <c r="N28" s="706">
        <f t="shared" ca="1" si="4"/>
        <v>0</v>
      </c>
      <c r="O28" s="706">
        <f t="shared" ca="1" si="4"/>
        <v>0</v>
      </c>
      <c r="P28" s="706">
        <f t="shared" ca="1" si="4"/>
        <v>0</v>
      </c>
      <c r="Q28" s="706">
        <f t="shared" ca="1" si="4"/>
        <v>0</v>
      </c>
      <c r="R28" s="706">
        <f t="shared" ca="1" si="4"/>
        <v>0</v>
      </c>
      <c r="S28" s="706">
        <f t="shared" ca="1" si="4"/>
        <v>0</v>
      </c>
      <c r="T28" s="706">
        <f t="shared" ca="1" si="4"/>
        <v>0</v>
      </c>
      <c r="U28" s="706">
        <f t="shared" ca="1" si="4"/>
        <v>0</v>
      </c>
      <c r="V28" s="706">
        <f t="shared" ca="1" si="4"/>
        <v>0</v>
      </c>
      <c r="W28" s="706">
        <f t="shared" ca="1" si="4"/>
        <v>0</v>
      </c>
      <c r="X28" s="706">
        <f t="shared" ca="1" si="4"/>
        <v>0</v>
      </c>
      <c r="Y28" s="706">
        <f t="shared" ca="1" si="4"/>
        <v>0</v>
      </c>
      <c r="Z28" s="706">
        <f t="shared" ca="1" si="4"/>
        <v>0</v>
      </c>
      <c r="AA28" s="706">
        <f t="shared" ca="1" si="4"/>
        <v>0</v>
      </c>
      <c r="AB28" s="706">
        <f t="shared" ca="1" si="4"/>
        <v>0</v>
      </c>
      <c r="AC28" s="706">
        <f t="shared" ca="1" si="4"/>
        <v>0</v>
      </c>
      <c r="AD28" s="706">
        <f t="shared" ca="1" si="4"/>
        <v>0</v>
      </c>
      <c r="AE28" s="706">
        <f t="shared" ca="1" si="4"/>
        <v>0</v>
      </c>
      <c r="AF28" s="706">
        <f t="shared" ca="1" si="4"/>
        <v>0</v>
      </c>
      <c r="AG28" s="706">
        <f t="shared" ca="1" si="4"/>
        <v>0</v>
      </c>
      <c r="AH28" s="706">
        <f t="shared" ca="1" si="4"/>
        <v>0</v>
      </c>
      <c r="AI28" s="706">
        <f t="shared" ca="1" si="4"/>
        <v>0</v>
      </c>
      <c r="AJ28" s="706">
        <f t="shared" ca="1" si="4"/>
        <v>0</v>
      </c>
      <c r="AK28" s="706">
        <f t="shared" ca="1" si="4"/>
        <v>0</v>
      </c>
      <c r="AL28" s="706">
        <f t="shared" ca="1" si="4"/>
        <v>0</v>
      </c>
      <c r="AM28" s="706">
        <f t="shared" ca="1" si="4"/>
        <v>0</v>
      </c>
      <c r="AN28" s="706">
        <f t="shared" ca="1" si="4"/>
        <v>0</v>
      </c>
      <c r="AO28" s="706">
        <f t="shared" ca="1" si="4"/>
        <v>0</v>
      </c>
      <c r="AP28" s="706">
        <f t="shared" ca="1" si="4"/>
        <v>0</v>
      </c>
      <c r="AQ28" s="706">
        <f t="shared" ca="1" si="4"/>
        <v>0</v>
      </c>
      <c r="AR28" s="706">
        <f t="shared" ca="1" si="4"/>
        <v>0</v>
      </c>
      <c r="AS28" s="706">
        <f t="shared" ca="1" si="4"/>
        <v>0</v>
      </c>
      <c r="AT28" s="706">
        <f t="shared" ca="1" si="4"/>
        <v>0</v>
      </c>
      <c r="AU28" s="706">
        <f t="shared" ca="1" si="4"/>
        <v>0</v>
      </c>
      <c r="AV28" s="706">
        <f t="shared" ca="1" si="4"/>
        <v>0</v>
      </c>
      <c r="AW28" s="706">
        <f t="shared" ca="1" si="4"/>
        <v>0</v>
      </c>
      <c r="AX28" s="706">
        <f t="shared" ca="1" si="4"/>
        <v>0</v>
      </c>
      <c r="AY28" s="706">
        <f t="shared" ca="1" si="4"/>
        <v>0</v>
      </c>
      <c r="AZ28" s="706">
        <f t="shared" ca="1" si="4"/>
        <v>0</v>
      </c>
      <c r="BA28" s="706">
        <f t="shared" ca="1" si="4"/>
        <v>0</v>
      </c>
      <c r="BB28" s="706">
        <f t="shared" ca="1" si="4"/>
        <v>0</v>
      </c>
      <c r="BC28" s="706">
        <f t="shared" ca="1" si="4"/>
        <v>0</v>
      </c>
      <c r="BD28" s="706">
        <f t="shared" ca="1" si="4"/>
        <v>0</v>
      </c>
      <c r="BE28" s="706">
        <f t="shared" ca="1" si="4"/>
        <v>0</v>
      </c>
      <c r="BF28" s="706">
        <f t="shared" ca="1" si="4"/>
        <v>0</v>
      </c>
      <c r="BG28" s="706">
        <f t="shared" ca="1" si="4"/>
        <v>0</v>
      </c>
      <c r="BH28" s="706">
        <f t="shared" ca="1" si="4"/>
        <v>0</v>
      </c>
      <c r="BI28" s="706">
        <f t="shared" ca="1" si="4"/>
        <v>0</v>
      </c>
      <c r="BJ28" s="706">
        <f t="shared" ca="1" si="4"/>
        <v>0</v>
      </c>
      <c r="BK28" s="706">
        <f t="shared" ca="1" si="4"/>
        <v>0</v>
      </c>
      <c r="BL28" s="706">
        <f t="shared" ca="1" si="4"/>
        <v>0</v>
      </c>
    </row>
    <row r="29" spans="1:64">
      <c r="A29" s="701"/>
      <c r="B29" s="707"/>
      <c r="C29" s="708"/>
      <c r="D29" s="709"/>
      <c r="E29" s="707"/>
      <c r="F29" s="707"/>
      <c r="G29" s="707"/>
      <c r="H29" s="707"/>
      <c r="I29" s="707"/>
      <c r="J29" s="707"/>
      <c r="K29" s="707"/>
      <c r="L29" s="707"/>
      <c r="M29" s="707"/>
      <c r="N29" s="707"/>
      <c r="O29" s="707"/>
      <c r="P29" s="707"/>
      <c r="Q29" s="707"/>
      <c r="R29" s="707"/>
      <c r="S29" s="707"/>
      <c r="T29" s="707"/>
      <c r="U29" s="707"/>
      <c r="V29" s="707"/>
      <c r="W29" s="707"/>
      <c r="X29" s="707"/>
      <c r="Y29" s="707"/>
      <c r="Z29" s="707"/>
      <c r="AA29" s="707"/>
      <c r="AB29" s="707"/>
      <c r="AC29" s="707"/>
      <c r="AD29" s="707"/>
      <c r="AE29" s="707"/>
      <c r="AF29" s="707"/>
      <c r="AG29" s="707"/>
      <c r="AH29" s="707"/>
      <c r="AI29" s="707"/>
      <c r="AJ29" s="707"/>
      <c r="AK29" s="707"/>
      <c r="AL29" s="707"/>
      <c r="AM29" s="707"/>
      <c r="AN29" s="707"/>
      <c r="AO29" s="707"/>
      <c r="AP29" s="707"/>
      <c r="AQ29" s="707"/>
      <c r="AR29" s="707"/>
      <c r="AS29" s="707"/>
      <c r="AT29" s="707"/>
      <c r="AU29" s="707"/>
      <c r="AV29" s="707"/>
      <c r="AW29" s="707"/>
      <c r="AX29" s="707"/>
      <c r="AY29" s="707"/>
      <c r="AZ29" s="707"/>
      <c r="BA29" s="707"/>
      <c r="BB29" s="707"/>
      <c r="BC29" s="707"/>
      <c r="BD29" s="707"/>
      <c r="BE29" s="707"/>
      <c r="BF29" s="707"/>
      <c r="BG29" s="707"/>
      <c r="BH29" s="707"/>
      <c r="BI29" s="707"/>
      <c r="BJ29" s="707"/>
      <c r="BK29" s="707"/>
      <c r="BL29" s="707"/>
    </row>
    <row r="30" spans="1:64">
      <c r="A30" s="700" t="s">
        <v>635</v>
      </c>
      <c r="B30" s="701"/>
      <c r="C30" s="703"/>
      <c r="D30" s="701"/>
      <c r="E30" s="701"/>
      <c r="F30" s="701"/>
      <c r="G30" s="701"/>
      <c r="H30" s="701"/>
      <c r="I30" s="701"/>
    </row>
    <row r="31" spans="1:64">
      <c r="A31" s="701"/>
      <c r="B31" s="701"/>
      <c r="C31" s="703"/>
      <c r="D31" s="701"/>
      <c r="E31" s="701"/>
      <c r="F31" s="701"/>
      <c r="G31" s="701"/>
      <c r="H31" s="701"/>
      <c r="I31" s="701"/>
    </row>
    <row r="32" spans="1:64">
      <c r="A32" s="700" t="s">
        <v>668</v>
      </c>
      <c r="B32" s="752">
        <f>D8</f>
        <v>0.15</v>
      </c>
      <c r="C32" s="703"/>
      <c r="D32" s="701"/>
      <c r="E32" s="701"/>
      <c r="F32" s="701"/>
      <c r="G32" s="701"/>
      <c r="H32" s="701"/>
      <c r="I32" s="701"/>
    </row>
    <row r="33" spans="1:64">
      <c r="A33" s="774" t="s">
        <v>637</v>
      </c>
      <c r="B33" s="701"/>
      <c r="C33" s="703"/>
      <c r="D33" s="701">
        <v>0</v>
      </c>
      <c r="E33" s="701">
        <f ca="1">D40</f>
        <v>-5636325.4451417429</v>
      </c>
      <c r="F33" s="701">
        <f t="shared" ref="F33:AH33" ca="1" si="5">E40</f>
        <v>-6392994.7857925566</v>
      </c>
      <c r="G33" s="701">
        <f ca="1">F40</f>
        <v>-6467888.1885771742</v>
      </c>
      <c r="H33" s="701">
        <f t="shared" ca="1" si="5"/>
        <v>-6543658.961353262</v>
      </c>
      <c r="I33" s="701">
        <f t="shared" ca="1" si="5"/>
        <v>-6620317.3824373735</v>
      </c>
      <c r="J33" s="701">
        <f t="shared" ca="1" si="5"/>
        <v>-6697873.8505556956</v>
      </c>
      <c r="K33" s="701">
        <f t="shared" ca="1" si="5"/>
        <v>-6776338.8862546207</v>
      </c>
      <c r="L33" s="701">
        <f t="shared" ca="1" si="5"/>
        <v>-6855723.1333278762</v>
      </c>
      <c r="M33" s="701">
        <f t="shared" ca="1" si="5"/>
        <v>-6936037.3602603348</v>
      </c>
      <c r="N33" s="701">
        <f t="shared" ca="1" si="5"/>
        <v>-7017292.4616888184</v>
      </c>
      <c r="O33" s="701">
        <f t="shared" ca="1" si="5"/>
        <v>-7099499.4598798547</v>
      </c>
      <c r="P33" s="701">
        <f t="shared" ca="1" si="5"/>
        <v>-7182669.5062249331</v>
      </c>
      <c r="Q33" s="701">
        <f t="shared" ca="1" si="5"/>
        <v>-7266813.8827531682</v>
      </c>
      <c r="R33" s="701">
        <f t="shared" ca="1" si="5"/>
        <v>-7351944.0036617052</v>
      </c>
      <c r="S33" s="701">
        <f t="shared" ca="1" si="5"/>
        <v>-7305453.1038900511</v>
      </c>
      <c r="T33" s="701">
        <f t="shared" ca="1" si="5"/>
        <v>-7391035.8800640376</v>
      </c>
      <c r="U33" s="701">
        <f t="shared" ca="1" si="5"/>
        <v>-7477621.2513506664</v>
      </c>
      <c r="V33" s="701">
        <f t="shared" ca="1" si="5"/>
        <v>-7565220.963068367</v>
      </c>
      <c r="W33" s="701">
        <f t="shared" ca="1" si="5"/>
        <v>-7653846.8981310138</v>
      </c>
      <c r="X33" s="701">
        <f t="shared" ca="1" si="5"/>
        <v>-7743511.0786598166</v>
      </c>
      <c r="Y33" s="701">
        <f t="shared" ca="1" si="5"/>
        <v>-7834225.6676141368</v>
      </c>
      <c r="Z33" s="701">
        <f t="shared" ca="1" si="5"/>
        <v>-7926002.9704413936</v>
      </c>
      <c r="AA33" s="701">
        <f t="shared" ca="1" si="5"/>
        <v>-8018855.4367463086</v>
      </c>
      <c r="AB33" s="701">
        <f t="shared" ca="1" si="5"/>
        <v>-8112795.6619796772</v>
      </c>
      <c r="AC33" s="701">
        <f t="shared" ca="1" si="5"/>
        <v>-8207836.3891469901</v>
      </c>
      <c r="AD33" s="701">
        <f t="shared" ca="1" si="5"/>
        <v>-8296784.5017942488</v>
      </c>
      <c r="AE33" s="701">
        <f t="shared" ca="1" si="5"/>
        <v>-8220829.5780834733</v>
      </c>
      <c r="AF33" s="701">
        <f t="shared" ca="1" si="5"/>
        <v>-8296079.966736244</v>
      </c>
      <c r="AG33" s="701">
        <f t="shared" ca="1" si="5"/>
        <v>-8364543.4668382062</v>
      </c>
      <c r="AH33" s="701">
        <f t="shared" ca="1" si="5"/>
        <v>-8426428.4322061948</v>
      </c>
      <c r="AI33" s="701">
        <f ca="1">AH40</f>
        <v>-8471083.8332944307</v>
      </c>
      <c r="AJ33" s="701">
        <f t="shared" ref="AJ33:BL33" ca="1" si="6">AI40</f>
        <v>-8507378.8165561408</v>
      </c>
      <c r="AK33" s="701">
        <f t="shared" ca="1" si="6"/>
        <v>-8538141.5727146976</v>
      </c>
      <c r="AL33" s="701">
        <f t="shared" ca="1" si="6"/>
        <v>-8588068.1323103998</v>
      </c>
      <c r="AM33" s="701">
        <f t="shared" ca="1" si="6"/>
        <v>-8638003.5749737825</v>
      </c>
      <c r="AN33" s="701">
        <f t="shared" ca="1" si="6"/>
        <v>-8688751.2572545353</v>
      </c>
      <c r="AO33" s="701">
        <f t="shared" ca="1" si="6"/>
        <v>-8732279.5408179183</v>
      </c>
      <c r="AP33" s="701">
        <f t="shared" ca="1" si="6"/>
        <v>-8776584.9898489099</v>
      </c>
      <c r="AQ33" s="701">
        <f t="shared" ca="1" si="6"/>
        <v>-8818908.962724911</v>
      </c>
      <c r="AR33" s="701">
        <f t="shared" ca="1" si="6"/>
        <v>-8859024.4233668987</v>
      </c>
      <c r="AS33" s="701">
        <f t="shared" ca="1" si="6"/>
        <v>-8896594.6121243034</v>
      </c>
      <c r="AT33" s="701">
        <f t="shared" ca="1" si="6"/>
        <v>-8930935.3695060238</v>
      </c>
      <c r="AU33" s="701">
        <f t="shared" ca="1" si="6"/>
        <v>-8963349.1092248335</v>
      </c>
      <c r="AV33" s="701">
        <f t="shared" ca="1" si="6"/>
        <v>-8994434.1102914028</v>
      </c>
      <c r="AW33" s="701">
        <f t="shared" ca="1" si="6"/>
        <v>-9024321.8061096761</v>
      </c>
      <c r="AX33" s="701">
        <f t="shared" ca="1" si="6"/>
        <v>-9055259.4245838113</v>
      </c>
      <c r="AY33" s="701">
        <f t="shared" ca="1" si="6"/>
        <v>-9086805.1418861244</v>
      </c>
      <c r="AZ33" s="701">
        <f t="shared" ca="1" si="6"/>
        <v>-9119679.0407961421</v>
      </c>
      <c r="BA33" s="701">
        <f t="shared" ca="1" si="6"/>
        <v>0</v>
      </c>
      <c r="BB33" s="701">
        <f t="shared" ca="1" si="6"/>
        <v>0</v>
      </c>
      <c r="BC33" s="701">
        <f t="shared" ca="1" si="6"/>
        <v>0</v>
      </c>
      <c r="BD33" s="701">
        <f t="shared" ca="1" si="6"/>
        <v>0</v>
      </c>
      <c r="BE33" s="701">
        <f t="shared" ca="1" si="6"/>
        <v>0</v>
      </c>
      <c r="BF33" s="701">
        <f t="shared" ca="1" si="6"/>
        <v>0</v>
      </c>
      <c r="BG33" s="701">
        <f t="shared" ca="1" si="6"/>
        <v>0</v>
      </c>
      <c r="BH33" s="701">
        <f t="shared" ca="1" si="6"/>
        <v>0</v>
      </c>
      <c r="BI33" s="701">
        <f t="shared" ca="1" si="6"/>
        <v>0</v>
      </c>
      <c r="BJ33" s="701">
        <f t="shared" ca="1" si="6"/>
        <v>0</v>
      </c>
      <c r="BK33" s="701">
        <f t="shared" ca="1" si="6"/>
        <v>0</v>
      </c>
      <c r="BL33" s="701">
        <f t="shared" ca="1" si="6"/>
        <v>0</v>
      </c>
    </row>
    <row r="34" spans="1:64">
      <c r="A34" s="774" t="s">
        <v>638</v>
      </c>
      <c r="B34" s="701">
        <f ca="1">SUM(D34:BL34)</f>
        <v>-6326965.701469291</v>
      </c>
      <c r="C34" s="699"/>
      <c r="D34" s="701">
        <f t="shared" ref="D34:K34" ca="1" si="7">D27</f>
        <v>-5636325.4451417411</v>
      </c>
      <c r="E34" s="701">
        <f t="shared" ca="1" si="7"/>
        <v>-690640.25632770208</v>
      </c>
      <c r="F34" s="701">
        <f t="shared" ca="1" si="7"/>
        <v>1.7013065288734899E-8</v>
      </c>
      <c r="G34" s="701">
        <f t="shared" ca="1" si="7"/>
        <v>1.7013065288734899E-8</v>
      </c>
      <c r="H34" s="701">
        <f t="shared" ca="1" si="7"/>
        <v>1.7013065288734899E-8</v>
      </c>
      <c r="I34" s="701">
        <f t="shared" ca="1" si="7"/>
        <v>1.7013065288734899E-8</v>
      </c>
      <c r="J34" s="701">
        <f t="shared" ca="1" si="7"/>
        <v>1.7013065288734899E-8</v>
      </c>
      <c r="K34" s="701">
        <f t="shared" ca="1" si="7"/>
        <v>1.7013065288734899E-8</v>
      </c>
      <c r="L34" s="701">
        <f t="shared" ref="L34:AQ34" ca="1" si="8">L28</f>
        <v>1.862645149230957E-8</v>
      </c>
      <c r="M34" s="701">
        <f t="shared" ca="1" si="8"/>
        <v>0</v>
      </c>
      <c r="N34" s="701">
        <f t="shared" ca="1" si="8"/>
        <v>0</v>
      </c>
      <c r="O34" s="701">
        <f t="shared" ca="1" si="8"/>
        <v>0</v>
      </c>
      <c r="P34" s="701">
        <f t="shared" ca="1" si="8"/>
        <v>0</v>
      </c>
      <c r="Q34" s="701">
        <f t="shared" ca="1" si="8"/>
        <v>0</v>
      </c>
      <c r="R34" s="701">
        <f t="shared" ca="1" si="8"/>
        <v>0</v>
      </c>
      <c r="S34" s="701">
        <f t="shared" ca="1" si="8"/>
        <v>0</v>
      </c>
      <c r="T34" s="701">
        <f t="shared" ca="1" si="8"/>
        <v>0</v>
      </c>
      <c r="U34" s="701">
        <f t="shared" ca="1" si="8"/>
        <v>0</v>
      </c>
      <c r="V34" s="701">
        <f t="shared" ca="1" si="8"/>
        <v>0</v>
      </c>
      <c r="W34" s="701">
        <f t="shared" ca="1" si="8"/>
        <v>0</v>
      </c>
      <c r="X34" s="701">
        <f t="shared" ca="1" si="8"/>
        <v>0</v>
      </c>
      <c r="Y34" s="701">
        <f t="shared" ca="1" si="8"/>
        <v>0</v>
      </c>
      <c r="Z34" s="701">
        <f t="shared" ca="1" si="8"/>
        <v>0</v>
      </c>
      <c r="AA34" s="701">
        <f t="shared" ca="1" si="8"/>
        <v>0</v>
      </c>
      <c r="AB34" s="701">
        <f t="shared" ca="1" si="8"/>
        <v>0</v>
      </c>
      <c r="AC34" s="701">
        <f t="shared" ca="1" si="8"/>
        <v>0</v>
      </c>
      <c r="AD34" s="701">
        <f t="shared" ca="1" si="8"/>
        <v>0</v>
      </c>
      <c r="AE34" s="701">
        <f t="shared" ca="1" si="8"/>
        <v>0</v>
      </c>
      <c r="AF34" s="701">
        <f t="shared" ca="1" si="8"/>
        <v>0</v>
      </c>
      <c r="AG34" s="701">
        <f t="shared" ca="1" si="8"/>
        <v>0</v>
      </c>
      <c r="AH34" s="701">
        <f t="shared" ca="1" si="8"/>
        <v>0</v>
      </c>
      <c r="AI34" s="701">
        <f t="shared" ca="1" si="8"/>
        <v>0</v>
      </c>
      <c r="AJ34" s="701">
        <f t="shared" ca="1" si="8"/>
        <v>0</v>
      </c>
      <c r="AK34" s="701">
        <f t="shared" ca="1" si="8"/>
        <v>0</v>
      </c>
      <c r="AL34" s="701">
        <f t="shared" ca="1" si="8"/>
        <v>0</v>
      </c>
      <c r="AM34" s="701">
        <f t="shared" ca="1" si="8"/>
        <v>0</v>
      </c>
      <c r="AN34" s="701">
        <f t="shared" ca="1" si="8"/>
        <v>0</v>
      </c>
      <c r="AO34" s="701">
        <f t="shared" ca="1" si="8"/>
        <v>0</v>
      </c>
      <c r="AP34" s="701">
        <f t="shared" ca="1" si="8"/>
        <v>0</v>
      </c>
      <c r="AQ34" s="701">
        <f t="shared" ca="1" si="8"/>
        <v>0</v>
      </c>
      <c r="AR34" s="701">
        <f t="shared" ref="AR34:BL34" ca="1" si="9">AR28</f>
        <v>0</v>
      </c>
      <c r="AS34" s="701">
        <f t="shared" ca="1" si="9"/>
        <v>0</v>
      </c>
      <c r="AT34" s="701">
        <f t="shared" ca="1" si="9"/>
        <v>0</v>
      </c>
      <c r="AU34" s="701">
        <f t="shared" ca="1" si="9"/>
        <v>0</v>
      </c>
      <c r="AV34" s="701">
        <f t="shared" ca="1" si="9"/>
        <v>0</v>
      </c>
      <c r="AW34" s="701">
        <f t="shared" ca="1" si="9"/>
        <v>0</v>
      </c>
      <c r="AX34" s="701">
        <f t="shared" ca="1" si="9"/>
        <v>0</v>
      </c>
      <c r="AY34" s="701">
        <f t="shared" ca="1" si="9"/>
        <v>0</v>
      </c>
      <c r="AZ34" s="701">
        <f t="shared" ca="1" si="9"/>
        <v>0</v>
      </c>
      <c r="BA34" s="701">
        <f t="shared" ca="1" si="9"/>
        <v>0</v>
      </c>
      <c r="BB34" s="701">
        <f t="shared" ca="1" si="9"/>
        <v>0</v>
      </c>
      <c r="BC34" s="701">
        <f t="shared" ca="1" si="9"/>
        <v>0</v>
      </c>
      <c r="BD34" s="701">
        <f t="shared" ca="1" si="9"/>
        <v>0</v>
      </c>
      <c r="BE34" s="701">
        <f t="shared" ca="1" si="9"/>
        <v>0</v>
      </c>
      <c r="BF34" s="701">
        <f t="shared" ca="1" si="9"/>
        <v>0</v>
      </c>
      <c r="BG34" s="701">
        <f t="shared" ca="1" si="9"/>
        <v>0</v>
      </c>
      <c r="BH34" s="701">
        <f t="shared" ca="1" si="9"/>
        <v>0</v>
      </c>
      <c r="BI34" s="701">
        <f t="shared" ca="1" si="9"/>
        <v>0</v>
      </c>
      <c r="BJ34" s="701">
        <f t="shared" ca="1" si="9"/>
        <v>0</v>
      </c>
      <c r="BK34" s="701">
        <f t="shared" ca="1" si="9"/>
        <v>0</v>
      </c>
      <c r="BL34" s="701">
        <f t="shared" ca="1" si="9"/>
        <v>0</v>
      </c>
    </row>
    <row r="35" spans="1:64">
      <c r="A35" s="775">
        <f>B32</f>
        <v>0.15</v>
      </c>
      <c r="B35" s="701">
        <f ca="1">SUM(D35:BL35)</f>
        <v>-4456073.8506819755</v>
      </c>
      <c r="C35" s="699"/>
      <c r="D35" s="753">
        <f t="shared" ref="D35:BK35" si="10">D33*((1+$B$32)^(1/12)-1)</f>
        <v>0</v>
      </c>
      <c r="E35" s="753">
        <f t="shared" ca="1" si="10"/>
        <v>-66029.084323091141</v>
      </c>
      <c r="F35" s="753">
        <f t="shared" ca="1" si="10"/>
        <v>-74893.402784615653</v>
      </c>
      <c r="G35" s="753">
        <f t="shared" ca="1" si="10"/>
        <v>-75770.772776082566</v>
      </c>
      <c r="H35" s="753">
        <f t="shared" ca="1" si="10"/>
        <v>-76658.421084107526</v>
      </c>
      <c r="I35" s="753">
        <f t="shared" ca="1" si="10"/>
        <v>-77556.468118315024</v>
      </c>
      <c r="J35" s="753">
        <f t="shared" ca="1" si="10"/>
        <v>-78465.035698918422</v>
      </c>
      <c r="K35" s="753">
        <f t="shared" ca="1" si="10"/>
        <v>-79384.247073244667</v>
      </c>
      <c r="L35" s="753">
        <f t="shared" ca="1" si="10"/>
        <v>-80314.226932452963</v>
      </c>
      <c r="M35" s="753">
        <f t="shared" ca="1" si="10"/>
        <v>-81255.101428448965</v>
      </c>
      <c r="N35" s="753">
        <f t="shared" ca="1" si="10"/>
        <v>-82206.998190997911</v>
      </c>
      <c r="O35" s="753">
        <f t="shared" ca="1" si="10"/>
        <v>-83170.046345036448</v>
      </c>
      <c r="P35" s="753">
        <f t="shared" ca="1" si="10"/>
        <v>-84144.376528189387</v>
      </c>
      <c r="Q35" s="753">
        <f t="shared" ca="1" si="10"/>
        <v>-85130.120908490528</v>
      </c>
      <c r="R35" s="753">
        <f t="shared" ca="1" si="10"/>
        <v>-86127.413202311101</v>
      </c>
      <c r="S35" s="753">
        <f t="shared" ca="1" si="10"/>
        <v>-85582.776173956954</v>
      </c>
      <c r="T35" s="753">
        <f t="shared" ca="1" si="10"/>
        <v>-86585.371286605616</v>
      </c>
      <c r="U35" s="753">
        <f t="shared" ca="1" si="10"/>
        <v>-87599.711717703118</v>
      </c>
      <c r="V35" s="753">
        <f t="shared" ca="1" si="10"/>
        <v>-88625.935062679098</v>
      </c>
      <c r="W35" s="753">
        <f t="shared" ca="1" si="10"/>
        <v>-89664.180528882323</v>
      </c>
      <c r="X35" s="753">
        <f t="shared" ca="1" si="10"/>
        <v>-90714.588954463979</v>
      </c>
      <c r="Y35" s="753">
        <f t="shared" ca="1" si="10"/>
        <v>-91777.30282748249</v>
      </c>
      <c r="Z35" s="753">
        <f t="shared" ca="1" si="10"/>
        <v>-92852.466305232025</v>
      </c>
      <c r="AA35" s="753">
        <f t="shared" ca="1" si="10"/>
        <v>-93940.225233797595</v>
      </c>
      <c r="AB35" s="753">
        <f t="shared" ca="1" si="10"/>
        <v>-95040.727167838821</v>
      </c>
      <c r="AC35" s="753">
        <f t="shared" ca="1" si="10"/>
        <v>-96154.121390606349</v>
      </c>
      <c r="AD35" s="753">
        <f t="shared" ca="1" si="10"/>
        <v>-97196.141140446736</v>
      </c>
      <c r="AE35" s="753">
        <f t="shared" ca="1" si="10"/>
        <v>-96306.335519521206</v>
      </c>
      <c r="AF35" s="753">
        <f t="shared" ca="1" si="10"/>
        <v>-97187.887570775085</v>
      </c>
      <c r="AG35" s="753">
        <f t="shared" ca="1" si="10"/>
        <v>-97989.931786511952</v>
      </c>
      <c r="AH35" s="753">
        <f t="shared" ca="1" si="10"/>
        <v>-98714.909014385936</v>
      </c>
      <c r="AI35" s="753">
        <f t="shared" ca="1" si="10"/>
        <v>-99238.04332815735</v>
      </c>
      <c r="AJ35" s="753">
        <f t="shared" ca="1" si="10"/>
        <v>-99663.236041675758</v>
      </c>
      <c r="AK35" s="753">
        <f t="shared" ca="1" si="10"/>
        <v>-100023.61917429896</v>
      </c>
      <c r="AL35" s="753">
        <f t="shared" ca="1" si="10"/>
        <v>-100608.50467205672</v>
      </c>
      <c r="AM35" s="753">
        <f t="shared" ca="1" si="10"/>
        <v>-101193.49423421435</v>
      </c>
      <c r="AN35" s="753">
        <f t="shared" ca="1" si="10"/>
        <v>-101787.99911600848</v>
      </c>
      <c r="AO35" s="753">
        <f t="shared" ca="1" si="10"/>
        <v>-102297.92934161733</v>
      </c>
      <c r="AP35" s="753">
        <f t="shared" ca="1" si="10"/>
        <v>-102816.9639961122</v>
      </c>
      <c r="AQ35" s="753">
        <f t="shared" ca="1" si="10"/>
        <v>-103312.78582207268</v>
      </c>
      <c r="AR35" s="753">
        <f t="shared" ca="1" si="10"/>
        <v>-103782.73511069521</v>
      </c>
      <c r="AS35" s="753">
        <f t="shared" ca="1" si="10"/>
        <v>-104222.86675065142</v>
      </c>
      <c r="AT35" s="753">
        <f t="shared" ca="1" si="10"/>
        <v>-104625.16587034312</v>
      </c>
      <c r="AU35" s="753">
        <f t="shared" ca="1" si="10"/>
        <v>-105004.89013821073</v>
      </c>
      <c r="AV35" s="753">
        <f t="shared" ca="1" si="10"/>
        <v>-105369.04834315914</v>
      </c>
      <c r="AW35" s="753">
        <f t="shared" ca="1" si="10"/>
        <v>-105719.18021659605</v>
      </c>
      <c r="AX35" s="753">
        <f t="shared" ca="1" si="10"/>
        <v>-106081.61184671868</v>
      </c>
      <c r="AY35" s="753">
        <f t="shared" ca="1" si="10"/>
        <v>-106451.16730409245</v>
      </c>
      <c r="AZ35" s="753">
        <f t="shared" ca="1" si="10"/>
        <v>-106836.28229865497</v>
      </c>
      <c r="BA35" s="753">
        <f t="shared" ca="1" si="10"/>
        <v>0</v>
      </c>
      <c r="BB35" s="753">
        <f t="shared" ca="1" si="10"/>
        <v>0</v>
      </c>
      <c r="BC35" s="753">
        <f t="shared" ca="1" si="10"/>
        <v>0</v>
      </c>
      <c r="BD35" s="753">
        <f t="shared" ca="1" si="10"/>
        <v>0</v>
      </c>
      <c r="BE35" s="753">
        <f t="shared" ca="1" si="10"/>
        <v>0</v>
      </c>
      <c r="BF35" s="753">
        <f t="shared" ca="1" si="10"/>
        <v>0</v>
      </c>
      <c r="BG35" s="753">
        <f t="shared" ca="1" si="10"/>
        <v>0</v>
      </c>
      <c r="BH35" s="753">
        <f t="shared" ca="1" si="10"/>
        <v>0</v>
      </c>
      <c r="BI35" s="753">
        <f t="shared" ca="1" si="10"/>
        <v>0</v>
      </c>
      <c r="BJ35" s="753">
        <f t="shared" ca="1" si="10"/>
        <v>0</v>
      </c>
      <c r="BK35" s="753">
        <f t="shared" ca="1" si="10"/>
        <v>0</v>
      </c>
      <c r="BL35" s="753">
        <f t="shared" ref="BL35" ca="1" si="11">BL33*((1+$B$32)^(1/12)-1)</f>
        <v>0</v>
      </c>
    </row>
    <row r="36" spans="1:64">
      <c r="A36" s="774" t="s">
        <v>541</v>
      </c>
      <c r="B36" s="701"/>
      <c r="C36" s="703"/>
      <c r="D36" s="701">
        <f ca="1">SUM(D33:D35)</f>
        <v>-5636325.4451417411</v>
      </c>
      <c r="E36" s="701">
        <f t="shared" ref="E36:BK36" ca="1" si="12">SUM(E33:E35)</f>
        <v>-6392994.7857925361</v>
      </c>
      <c r="F36" s="701">
        <f t="shared" ca="1" si="12"/>
        <v>-6467888.1885771556</v>
      </c>
      <c r="G36" s="701">
        <f t="shared" ca="1" si="12"/>
        <v>-6543658.9613532396</v>
      </c>
      <c r="H36" s="701">
        <f t="shared" ca="1" si="12"/>
        <v>-6620317.382437353</v>
      </c>
      <c r="I36" s="701">
        <f t="shared" ca="1" si="12"/>
        <v>-6697873.8505556714</v>
      </c>
      <c r="J36" s="701">
        <f t="shared" ca="1" si="12"/>
        <v>-6776338.8862545975</v>
      </c>
      <c r="K36" s="701">
        <f t="shared" ca="1" si="12"/>
        <v>-6855723.1333278483</v>
      </c>
      <c r="L36" s="701">
        <f t="shared" ca="1" si="12"/>
        <v>-6936037.3602603106</v>
      </c>
      <c r="M36" s="701">
        <f t="shared" ca="1" si="12"/>
        <v>-7017292.461688784</v>
      </c>
      <c r="N36" s="701">
        <f t="shared" ca="1" si="12"/>
        <v>-7099499.4598798165</v>
      </c>
      <c r="O36" s="701">
        <f t="shared" ca="1" si="12"/>
        <v>-7182669.5062248912</v>
      </c>
      <c r="P36" s="701">
        <f t="shared" ca="1" si="12"/>
        <v>-7266813.8827531226</v>
      </c>
      <c r="Q36" s="701">
        <f t="shared" ca="1" si="12"/>
        <v>-7351944.0036616586</v>
      </c>
      <c r="R36" s="701">
        <f t="shared" ca="1" si="12"/>
        <v>-7438071.4168640161</v>
      </c>
      <c r="S36" s="701">
        <f t="shared" ca="1" si="12"/>
        <v>-7391035.8800640078</v>
      </c>
      <c r="T36" s="701">
        <f t="shared" ca="1" si="12"/>
        <v>-7477621.2513506431</v>
      </c>
      <c r="U36" s="701">
        <f t="shared" ca="1" si="12"/>
        <v>-7565220.9630683698</v>
      </c>
      <c r="V36" s="701">
        <f t="shared" ca="1" si="12"/>
        <v>-7653846.8981310464</v>
      </c>
      <c r="W36" s="701">
        <f t="shared" ca="1" si="12"/>
        <v>-7743511.0786598958</v>
      </c>
      <c r="X36" s="701">
        <f t="shared" ca="1" si="12"/>
        <v>-7834225.6676142802</v>
      </c>
      <c r="Y36" s="701">
        <f t="shared" ca="1" si="12"/>
        <v>-7926002.9704416189</v>
      </c>
      <c r="Z36" s="701">
        <f t="shared" ca="1" si="12"/>
        <v>-8018855.4367466252</v>
      </c>
      <c r="AA36" s="701">
        <f t="shared" ca="1" si="12"/>
        <v>-8112795.6619801065</v>
      </c>
      <c r="AB36" s="701">
        <f t="shared" ca="1" si="12"/>
        <v>-8207836.3891475163</v>
      </c>
      <c r="AC36" s="701">
        <f t="shared" ca="1" si="12"/>
        <v>-8303990.5105375964</v>
      </c>
      <c r="AD36" s="701">
        <f t="shared" ca="1" si="12"/>
        <v>-8393980.6429346949</v>
      </c>
      <c r="AE36" s="701">
        <f t="shared" ca="1" si="12"/>
        <v>-8317135.9136029948</v>
      </c>
      <c r="AF36" s="701">
        <f t="shared" ca="1" si="12"/>
        <v>-8393267.8543070182</v>
      </c>
      <c r="AG36" s="701">
        <f t="shared" ca="1" si="12"/>
        <v>-8462533.3986247182</v>
      </c>
      <c r="AH36" s="701">
        <f t="shared" ca="1" si="12"/>
        <v>-8525143.34122058</v>
      </c>
      <c r="AI36" s="701">
        <f t="shared" ca="1" si="12"/>
        <v>-8570321.8766225874</v>
      </c>
      <c r="AJ36" s="701">
        <f t="shared" ca="1" si="12"/>
        <v>-8607042.052597817</v>
      </c>
      <c r="AK36" s="701">
        <f t="shared" ca="1" si="12"/>
        <v>-8638165.1918889973</v>
      </c>
      <c r="AL36" s="701">
        <f t="shared" ca="1" si="12"/>
        <v>-8688676.6369824558</v>
      </c>
      <c r="AM36" s="701">
        <f t="shared" ca="1" si="12"/>
        <v>-8739197.0692079961</v>
      </c>
      <c r="AN36" s="701">
        <f t="shared" ca="1" si="12"/>
        <v>-8790539.2563705444</v>
      </c>
      <c r="AO36" s="701">
        <f t="shared" ca="1" si="12"/>
        <v>-8834577.4701595362</v>
      </c>
      <c r="AP36" s="701">
        <f t="shared" ca="1" si="12"/>
        <v>-8879401.9538450222</v>
      </c>
      <c r="AQ36" s="701">
        <f t="shared" ca="1" si="12"/>
        <v>-8922221.748546984</v>
      </c>
      <c r="AR36" s="701">
        <f t="shared" ca="1" si="12"/>
        <v>-8962807.1584775932</v>
      </c>
      <c r="AS36" s="701">
        <f t="shared" ca="1" si="12"/>
        <v>-9000817.4788749553</v>
      </c>
      <c r="AT36" s="701">
        <f t="shared" ca="1" si="12"/>
        <v>-9035560.5353763662</v>
      </c>
      <c r="AU36" s="701">
        <f t="shared" ca="1" si="12"/>
        <v>-9068353.9993630443</v>
      </c>
      <c r="AV36" s="701">
        <f t="shared" ca="1" si="12"/>
        <v>-9099803.158634562</v>
      </c>
      <c r="AW36" s="701">
        <f t="shared" ca="1" si="12"/>
        <v>-9130040.9863262717</v>
      </c>
      <c r="AX36" s="701">
        <f t="shared" ca="1" si="12"/>
        <v>-9161341.0364305303</v>
      </c>
      <c r="AY36" s="701">
        <f t="shared" ca="1" si="12"/>
        <v>-9193256.3091902174</v>
      </c>
      <c r="AZ36" s="701">
        <f t="shared" ca="1" si="12"/>
        <v>-9226515.3230947964</v>
      </c>
      <c r="BA36" s="701">
        <f t="shared" ca="1" si="12"/>
        <v>0</v>
      </c>
      <c r="BB36" s="701">
        <f t="shared" ca="1" si="12"/>
        <v>0</v>
      </c>
      <c r="BC36" s="701">
        <f t="shared" ca="1" si="12"/>
        <v>0</v>
      </c>
      <c r="BD36" s="701">
        <f t="shared" ca="1" si="12"/>
        <v>0</v>
      </c>
      <c r="BE36" s="701">
        <f t="shared" ca="1" si="12"/>
        <v>0</v>
      </c>
      <c r="BF36" s="701">
        <f t="shared" ca="1" si="12"/>
        <v>0</v>
      </c>
      <c r="BG36" s="701">
        <f t="shared" ca="1" si="12"/>
        <v>0</v>
      </c>
      <c r="BH36" s="701">
        <f t="shared" ca="1" si="12"/>
        <v>0</v>
      </c>
      <c r="BI36" s="701">
        <f t="shared" ca="1" si="12"/>
        <v>0</v>
      </c>
      <c r="BJ36" s="701">
        <f t="shared" ca="1" si="12"/>
        <v>0</v>
      </c>
      <c r="BK36" s="701">
        <f t="shared" ca="1" si="12"/>
        <v>0</v>
      </c>
      <c r="BL36" s="701">
        <f t="shared" ref="BL36" ca="1" si="13">SUM(BL33:BL35)</f>
        <v>0</v>
      </c>
    </row>
    <row r="37" spans="1:64">
      <c r="A37" s="774" t="s">
        <v>639</v>
      </c>
      <c r="B37" s="701">
        <f ca="1">SUM(D37:BL37)</f>
        <v>1540914.6879910177</v>
      </c>
      <c r="C37" s="699"/>
      <c r="D37" s="701">
        <f>IF(D23&gt;0,MIN(D23*$B$27,-D36),0)</f>
        <v>0</v>
      </c>
      <c r="E37" s="701">
        <f t="shared" ref="E37:AJ37" ca="1" si="14">IF(E23&gt;0,IF(E23&gt;-E35,-E35,E23),0)</f>
        <v>0</v>
      </c>
      <c r="F37" s="701">
        <f t="shared" ca="1" si="14"/>
        <v>0</v>
      </c>
      <c r="G37" s="701">
        <f t="shared" ca="1" si="14"/>
        <v>0</v>
      </c>
      <c r="H37" s="701">
        <f t="shared" ca="1" si="14"/>
        <v>0</v>
      </c>
      <c r="I37" s="701">
        <f t="shared" ca="1" si="14"/>
        <v>0</v>
      </c>
      <c r="J37" s="701">
        <f t="shared" ca="1" si="14"/>
        <v>0</v>
      </c>
      <c r="K37" s="701">
        <f t="shared" ca="1" si="14"/>
        <v>0</v>
      </c>
      <c r="L37" s="701">
        <f t="shared" ca="1" si="14"/>
        <v>0</v>
      </c>
      <c r="M37" s="701">
        <f t="shared" ca="1" si="14"/>
        <v>0</v>
      </c>
      <c r="N37" s="701">
        <f t="shared" ca="1" si="14"/>
        <v>0</v>
      </c>
      <c r="O37" s="701">
        <f t="shared" ca="1" si="14"/>
        <v>0</v>
      </c>
      <c r="P37" s="701">
        <f t="shared" ca="1" si="14"/>
        <v>0</v>
      </c>
      <c r="Q37" s="701">
        <f t="shared" ca="1" si="14"/>
        <v>0</v>
      </c>
      <c r="R37" s="701">
        <f t="shared" ca="1" si="14"/>
        <v>86127.413202311101</v>
      </c>
      <c r="S37" s="701">
        <f t="shared" ca="1" si="14"/>
        <v>0</v>
      </c>
      <c r="T37" s="701">
        <f t="shared" ca="1" si="14"/>
        <v>0</v>
      </c>
      <c r="U37" s="701">
        <f t="shared" ca="1" si="14"/>
        <v>0</v>
      </c>
      <c r="V37" s="701">
        <f t="shared" ca="1" si="14"/>
        <v>0</v>
      </c>
      <c r="W37" s="701">
        <f t="shared" ca="1" si="14"/>
        <v>0</v>
      </c>
      <c r="X37" s="701">
        <f t="shared" ca="1" si="14"/>
        <v>0</v>
      </c>
      <c r="Y37" s="701">
        <f t="shared" ca="1" si="14"/>
        <v>0</v>
      </c>
      <c r="Z37" s="701">
        <f t="shared" ca="1" si="14"/>
        <v>0</v>
      </c>
      <c r="AA37" s="701">
        <f t="shared" ca="1" si="14"/>
        <v>0</v>
      </c>
      <c r="AB37" s="701">
        <f t="shared" ca="1" si="14"/>
        <v>0</v>
      </c>
      <c r="AC37" s="701">
        <f t="shared" ca="1" si="14"/>
        <v>7206.0087427061371</v>
      </c>
      <c r="AD37" s="701">
        <f t="shared" ca="1" si="14"/>
        <v>97196.141140446736</v>
      </c>
      <c r="AE37" s="701">
        <f t="shared" ca="1" si="14"/>
        <v>21055.946865947888</v>
      </c>
      <c r="AF37" s="701">
        <f t="shared" ca="1" si="14"/>
        <v>28724.387467987923</v>
      </c>
      <c r="AG37" s="701">
        <f t="shared" ca="1" si="14"/>
        <v>36104.966417679243</v>
      </c>
      <c r="AH37" s="701">
        <f t="shared" ca="1" si="14"/>
        <v>54059.507925376165</v>
      </c>
      <c r="AI37" s="701">
        <f t="shared" ca="1" si="14"/>
        <v>62943.060065788086</v>
      </c>
      <c r="AJ37" s="701">
        <f t="shared" ca="1" si="14"/>
        <v>68900.47988270261</v>
      </c>
      <c r="AK37" s="701">
        <f t="shared" ref="AK37:BL37" ca="1" si="15">IF(AK23&gt;0,IF(AK23&gt;-AK35,-AK35,AK23),0)</f>
        <v>50097.05957852221</v>
      </c>
      <c r="AL37" s="701">
        <f t="shared" ca="1" si="15"/>
        <v>50673.06200911761</v>
      </c>
      <c r="AM37" s="701">
        <f t="shared" ca="1" si="15"/>
        <v>50445.81195463457</v>
      </c>
      <c r="AN37" s="701">
        <f t="shared" ca="1" si="15"/>
        <v>58259.71555476317</v>
      </c>
      <c r="AO37" s="701">
        <f t="shared" ca="1" si="15"/>
        <v>57992.480314047338</v>
      </c>
      <c r="AP37" s="701">
        <f t="shared" ca="1" si="15"/>
        <v>60492.991125167217</v>
      </c>
      <c r="AQ37" s="701">
        <f t="shared" ca="1" si="15"/>
        <v>63197.325187124254</v>
      </c>
      <c r="AR37" s="701">
        <f t="shared" ca="1" si="15"/>
        <v>66212.546362612702</v>
      </c>
      <c r="AS37" s="701">
        <f t="shared" ca="1" si="15"/>
        <v>69882.109380630471</v>
      </c>
      <c r="AT37" s="701">
        <f t="shared" ca="1" si="15"/>
        <v>72211.426165391909</v>
      </c>
      <c r="AU37" s="701">
        <f t="shared" ca="1" si="15"/>
        <v>73919.889087109943</v>
      </c>
      <c r="AV37" s="701">
        <f t="shared" ca="1" si="15"/>
        <v>75481.35254099837</v>
      </c>
      <c r="AW37" s="701">
        <f t="shared" ca="1" si="15"/>
        <v>74781.561758040159</v>
      </c>
      <c r="AX37" s="701">
        <f t="shared" ca="1" si="15"/>
        <v>74535.894558091793</v>
      </c>
      <c r="AY37" s="701">
        <f t="shared" ca="1" si="15"/>
        <v>73577.268404592178</v>
      </c>
      <c r="AZ37" s="701">
        <f t="shared" ca="1" si="15"/>
        <v>106836.28229865497</v>
      </c>
      <c r="BA37" s="701">
        <f t="shared" ca="1" si="15"/>
        <v>0</v>
      </c>
      <c r="BB37" s="701">
        <f t="shared" ca="1" si="15"/>
        <v>0</v>
      </c>
      <c r="BC37" s="701">
        <f t="shared" ca="1" si="15"/>
        <v>0</v>
      </c>
      <c r="BD37" s="701">
        <f t="shared" ca="1" si="15"/>
        <v>0</v>
      </c>
      <c r="BE37" s="701">
        <f t="shared" ca="1" si="15"/>
        <v>0</v>
      </c>
      <c r="BF37" s="701">
        <f t="shared" ca="1" si="15"/>
        <v>0</v>
      </c>
      <c r="BG37" s="701">
        <f t="shared" ca="1" si="15"/>
        <v>0</v>
      </c>
      <c r="BH37" s="701">
        <f t="shared" ca="1" si="15"/>
        <v>0</v>
      </c>
      <c r="BI37" s="701">
        <f t="shared" ca="1" si="15"/>
        <v>0</v>
      </c>
      <c r="BJ37" s="701">
        <f t="shared" ca="1" si="15"/>
        <v>0</v>
      </c>
      <c r="BK37" s="701">
        <f t="shared" ca="1" si="15"/>
        <v>0</v>
      </c>
      <c r="BL37" s="701">
        <f t="shared" ca="1" si="15"/>
        <v>0</v>
      </c>
    </row>
    <row r="38" spans="1:64">
      <c r="A38" s="813" t="s">
        <v>707</v>
      </c>
      <c r="B38" s="701"/>
      <c r="C38" s="699"/>
      <c r="D38" s="701"/>
      <c r="E38" s="790">
        <f ca="1">IF(E37=0,0,E37/-E33*12)</f>
        <v>0</v>
      </c>
      <c r="F38" s="790">
        <f t="shared" ref="F38:BL38" ca="1" si="16">IF(F37=0,0,F37/-F33*12)</f>
        <v>0</v>
      </c>
      <c r="G38" s="790">
        <f t="shared" ca="1" si="16"/>
        <v>0</v>
      </c>
      <c r="H38" s="790">
        <f t="shared" ca="1" si="16"/>
        <v>0</v>
      </c>
      <c r="I38" s="790">
        <f t="shared" ca="1" si="16"/>
        <v>0</v>
      </c>
      <c r="J38" s="790">
        <f t="shared" ca="1" si="16"/>
        <v>0</v>
      </c>
      <c r="K38" s="790">
        <f t="shared" ca="1" si="16"/>
        <v>0</v>
      </c>
      <c r="L38" s="790">
        <f t="shared" ca="1" si="16"/>
        <v>0</v>
      </c>
      <c r="M38" s="790">
        <f t="shared" ca="1" si="16"/>
        <v>0</v>
      </c>
      <c r="N38" s="790">
        <f t="shared" ca="1" si="16"/>
        <v>0</v>
      </c>
      <c r="O38" s="790">
        <f t="shared" ca="1" si="16"/>
        <v>0</v>
      </c>
      <c r="P38" s="790">
        <f t="shared" ca="1" si="16"/>
        <v>0</v>
      </c>
      <c r="Q38" s="790">
        <f t="shared" ca="1" si="16"/>
        <v>0</v>
      </c>
      <c r="R38" s="790">
        <f t="shared" ca="1" si="16"/>
        <v>0.14057900303824053</v>
      </c>
      <c r="S38" s="790">
        <f t="shared" ca="1" si="16"/>
        <v>0</v>
      </c>
      <c r="T38" s="790">
        <f t="shared" ca="1" si="16"/>
        <v>0</v>
      </c>
      <c r="U38" s="790">
        <f t="shared" ca="1" si="16"/>
        <v>0</v>
      </c>
      <c r="V38" s="790">
        <f t="shared" ca="1" si="16"/>
        <v>0</v>
      </c>
      <c r="W38" s="790">
        <f t="shared" ca="1" si="16"/>
        <v>0</v>
      </c>
      <c r="X38" s="790">
        <f t="shared" ca="1" si="16"/>
        <v>0</v>
      </c>
      <c r="Y38" s="790">
        <f t="shared" ca="1" si="16"/>
        <v>0</v>
      </c>
      <c r="Z38" s="790">
        <f t="shared" ca="1" si="16"/>
        <v>0</v>
      </c>
      <c r="AA38" s="790">
        <f t="shared" ca="1" si="16"/>
        <v>0</v>
      </c>
      <c r="AB38" s="790">
        <f t="shared" ca="1" si="16"/>
        <v>0</v>
      </c>
      <c r="AC38" s="790">
        <f t="shared" ca="1" si="16"/>
        <v>1.0535310502389336E-2</v>
      </c>
      <c r="AD38" s="790">
        <f t="shared" ca="1" si="16"/>
        <v>0.14057900303824056</v>
      </c>
      <c r="AE38" s="790">
        <f t="shared" ca="1" si="16"/>
        <v>3.073550667745141E-2</v>
      </c>
      <c r="AF38" s="790">
        <f t="shared" ca="1" si="16"/>
        <v>4.1548858135158552E-2</v>
      </c>
      <c r="AG38" s="790">
        <f t="shared" ca="1" si="16"/>
        <v>5.1797160087676958E-2</v>
      </c>
      <c r="AH38" s="790">
        <f t="shared" ca="1" si="16"/>
        <v>7.6985652975476423E-2</v>
      </c>
      <c r="AI38" s="790">
        <f t="shared" ca="1" si="16"/>
        <v>8.9164118270295994E-2</v>
      </c>
      <c r="AJ38" s="790">
        <f t="shared" ca="1" si="16"/>
        <v>9.7186898152858955E-2</v>
      </c>
      <c r="AK38" s="790">
        <f t="shared" ca="1" si="16"/>
        <v>7.0409316807700406E-2</v>
      </c>
      <c r="AL38" s="790">
        <f t="shared" ca="1" si="16"/>
        <v>7.0804834654452586E-2</v>
      </c>
      <c r="AM38" s="790">
        <f t="shared" ca="1" si="16"/>
        <v>7.0079820898598336E-2</v>
      </c>
      <c r="AN38" s="790">
        <f t="shared" ca="1" si="16"/>
        <v>8.0462262753055763E-2</v>
      </c>
      <c r="AO38" s="790">
        <f t="shared" ca="1" si="16"/>
        <v>7.9693940226675891E-2</v>
      </c>
      <c r="AP38" s="790">
        <f t="shared" ca="1" si="16"/>
        <v>8.271051830998144E-2</v>
      </c>
      <c r="AQ38" s="790">
        <f t="shared" ca="1" si="16"/>
        <v>8.5993392771248955E-2</v>
      </c>
      <c r="AR38" s="790">
        <f t="shared" ca="1" si="16"/>
        <v>8.9688267960478338E-2</v>
      </c>
      <c r="AS38" s="790">
        <f t="shared" ca="1" si="16"/>
        <v>9.425913499809685E-2</v>
      </c>
      <c r="AT38" s="790">
        <f t="shared" ca="1" si="16"/>
        <v>9.7026467904294297E-2</v>
      </c>
      <c r="AU38" s="790">
        <f t="shared" ca="1" si="16"/>
        <v>9.8962860671398298E-2</v>
      </c>
      <c r="AV38" s="790">
        <f t="shared" ca="1" si="16"/>
        <v>0.10070408203397635</v>
      </c>
      <c r="AW38" s="790">
        <f t="shared" ca="1" si="16"/>
        <v>9.9440020023325804E-2</v>
      </c>
      <c r="AX38" s="790">
        <f t="shared" ca="1" si="16"/>
        <v>9.8774722264592718E-2</v>
      </c>
      <c r="AY38" s="790">
        <f t="shared" ca="1" si="16"/>
        <v>9.7165858304279568E-2</v>
      </c>
      <c r="AZ38" s="790">
        <f t="shared" ca="1" si="16"/>
        <v>0.14057900303824056</v>
      </c>
      <c r="BA38" s="790">
        <f t="shared" ca="1" si="16"/>
        <v>0</v>
      </c>
      <c r="BB38" s="790">
        <f t="shared" ca="1" si="16"/>
        <v>0</v>
      </c>
      <c r="BC38" s="790">
        <f t="shared" ca="1" si="16"/>
        <v>0</v>
      </c>
      <c r="BD38" s="790">
        <f t="shared" ca="1" si="16"/>
        <v>0</v>
      </c>
      <c r="BE38" s="790">
        <f t="shared" ca="1" si="16"/>
        <v>0</v>
      </c>
      <c r="BF38" s="790">
        <f t="shared" ca="1" si="16"/>
        <v>0</v>
      </c>
      <c r="BG38" s="790">
        <f t="shared" ca="1" si="16"/>
        <v>0</v>
      </c>
      <c r="BH38" s="790">
        <f t="shared" ca="1" si="16"/>
        <v>0</v>
      </c>
      <c r="BI38" s="790">
        <f t="shared" ca="1" si="16"/>
        <v>0</v>
      </c>
      <c r="BJ38" s="790">
        <f t="shared" ca="1" si="16"/>
        <v>0</v>
      </c>
      <c r="BK38" s="790">
        <f t="shared" ca="1" si="16"/>
        <v>0</v>
      </c>
      <c r="BL38" s="790">
        <f t="shared" ca="1" si="16"/>
        <v>0</v>
      </c>
    </row>
    <row r="39" spans="1:64">
      <c r="A39" s="774" t="s">
        <v>640</v>
      </c>
      <c r="B39" s="701">
        <f ca="1">SUM(D39:BL39)</f>
        <v>9242124.8642839808</v>
      </c>
      <c r="C39" s="699"/>
      <c r="D39" s="701">
        <v>0</v>
      </c>
      <c r="E39" s="701">
        <f t="shared" ref="E39:AJ39" ca="1" si="17">IF(E23-E37&gt;-D40,-D40,E23-E37)</f>
        <v>0</v>
      </c>
      <c r="F39" s="701">
        <f t="shared" ca="1" si="17"/>
        <v>0</v>
      </c>
      <c r="G39" s="701">
        <f t="shared" ca="1" si="17"/>
        <v>0</v>
      </c>
      <c r="H39" s="701">
        <f t="shared" ca="1" si="17"/>
        <v>0</v>
      </c>
      <c r="I39" s="701">
        <f t="shared" ca="1" si="17"/>
        <v>0</v>
      </c>
      <c r="J39" s="701">
        <f t="shared" ca="1" si="17"/>
        <v>0</v>
      </c>
      <c r="K39" s="701">
        <f t="shared" ca="1" si="17"/>
        <v>0</v>
      </c>
      <c r="L39" s="701">
        <f t="shared" ca="1" si="17"/>
        <v>0</v>
      </c>
      <c r="M39" s="701">
        <f t="shared" ca="1" si="17"/>
        <v>0</v>
      </c>
      <c r="N39" s="701">
        <f t="shared" ca="1" si="17"/>
        <v>0</v>
      </c>
      <c r="O39" s="701">
        <f t="shared" ca="1" si="17"/>
        <v>0</v>
      </c>
      <c r="P39" s="701">
        <f t="shared" ca="1" si="17"/>
        <v>0</v>
      </c>
      <c r="Q39" s="701">
        <f t="shared" ca="1" si="17"/>
        <v>0</v>
      </c>
      <c r="R39" s="701">
        <f t="shared" ca="1" si="17"/>
        <v>46490.899771698212</v>
      </c>
      <c r="S39" s="701">
        <f t="shared" ca="1" si="17"/>
        <v>0</v>
      </c>
      <c r="T39" s="701">
        <f t="shared" ca="1" si="17"/>
        <v>0</v>
      </c>
      <c r="U39" s="701">
        <f t="shared" ca="1" si="17"/>
        <v>0</v>
      </c>
      <c r="V39" s="701">
        <f t="shared" ca="1" si="17"/>
        <v>0</v>
      </c>
      <c r="W39" s="701">
        <f t="shared" ca="1" si="17"/>
        <v>0</v>
      </c>
      <c r="X39" s="701">
        <f t="shared" ca="1" si="17"/>
        <v>0</v>
      </c>
      <c r="Y39" s="701">
        <f t="shared" ca="1" si="17"/>
        <v>0</v>
      </c>
      <c r="Z39" s="701">
        <f t="shared" ca="1" si="17"/>
        <v>0</v>
      </c>
      <c r="AA39" s="701">
        <f t="shared" ca="1" si="17"/>
        <v>0</v>
      </c>
      <c r="AB39" s="701">
        <f t="shared" ca="1" si="17"/>
        <v>0</v>
      </c>
      <c r="AC39" s="701">
        <f t="shared" ca="1" si="17"/>
        <v>0</v>
      </c>
      <c r="AD39" s="701">
        <f t="shared" ca="1" si="17"/>
        <v>75954.923710047849</v>
      </c>
      <c r="AE39" s="701">
        <f t="shared" ca="1" si="17"/>
        <v>0</v>
      </c>
      <c r="AF39" s="701">
        <f t="shared" ca="1" si="17"/>
        <v>0</v>
      </c>
      <c r="AG39" s="701">
        <f t="shared" ca="1" si="17"/>
        <v>0</v>
      </c>
      <c r="AH39" s="701">
        <f t="shared" ca="1" si="17"/>
        <v>0</v>
      </c>
      <c r="AI39" s="701">
        <f t="shared" ca="1" si="17"/>
        <v>0</v>
      </c>
      <c r="AJ39" s="701">
        <f t="shared" ca="1" si="17"/>
        <v>0</v>
      </c>
      <c r="AK39" s="701">
        <f t="shared" ref="AK39:BL39" ca="1" si="18">IF(AK23-AK37&gt;-AJ40,-AJ40,AK23-AK37)</f>
        <v>0</v>
      </c>
      <c r="AL39" s="701">
        <f t="shared" ca="1" si="18"/>
        <v>0</v>
      </c>
      <c r="AM39" s="701">
        <f t="shared" ca="1" si="18"/>
        <v>0</v>
      </c>
      <c r="AN39" s="701">
        <f t="shared" ca="1" si="18"/>
        <v>0</v>
      </c>
      <c r="AO39" s="701">
        <f t="shared" ca="1" si="18"/>
        <v>0</v>
      </c>
      <c r="AP39" s="701">
        <f t="shared" ca="1" si="18"/>
        <v>0</v>
      </c>
      <c r="AQ39" s="701">
        <f t="shared" ca="1" si="18"/>
        <v>0</v>
      </c>
      <c r="AR39" s="701">
        <f t="shared" ca="1" si="18"/>
        <v>0</v>
      </c>
      <c r="AS39" s="701">
        <f t="shared" ca="1" si="18"/>
        <v>0</v>
      </c>
      <c r="AT39" s="701">
        <f t="shared" ca="1" si="18"/>
        <v>0</v>
      </c>
      <c r="AU39" s="701">
        <f t="shared" ca="1" si="18"/>
        <v>0</v>
      </c>
      <c r="AV39" s="701">
        <f t="shared" ca="1" si="18"/>
        <v>0</v>
      </c>
      <c r="AW39" s="701">
        <f t="shared" ca="1" si="18"/>
        <v>0</v>
      </c>
      <c r="AX39" s="701">
        <f t="shared" ca="1" si="18"/>
        <v>0</v>
      </c>
      <c r="AY39" s="701">
        <f t="shared" ca="1" si="18"/>
        <v>0</v>
      </c>
      <c r="AZ39" s="701">
        <f t="shared" ca="1" si="18"/>
        <v>9119679.0407961421</v>
      </c>
      <c r="BA39" s="701">
        <f t="shared" ca="1" si="18"/>
        <v>0</v>
      </c>
      <c r="BB39" s="701">
        <f t="shared" ca="1" si="18"/>
        <v>0</v>
      </c>
      <c r="BC39" s="701">
        <f t="shared" ca="1" si="18"/>
        <v>0</v>
      </c>
      <c r="BD39" s="701">
        <f t="shared" ca="1" si="18"/>
        <v>0</v>
      </c>
      <c r="BE39" s="701">
        <f t="shared" ca="1" si="18"/>
        <v>0</v>
      </c>
      <c r="BF39" s="701">
        <f t="shared" ca="1" si="18"/>
        <v>0</v>
      </c>
      <c r="BG39" s="701">
        <f t="shared" ca="1" si="18"/>
        <v>0</v>
      </c>
      <c r="BH39" s="701">
        <f t="shared" ca="1" si="18"/>
        <v>0</v>
      </c>
      <c r="BI39" s="701">
        <f t="shared" ca="1" si="18"/>
        <v>0</v>
      </c>
      <c r="BJ39" s="701">
        <f t="shared" ca="1" si="18"/>
        <v>0</v>
      </c>
      <c r="BK39" s="701">
        <f t="shared" ca="1" si="18"/>
        <v>0</v>
      </c>
      <c r="BL39" s="701">
        <f t="shared" ca="1" si="18"/>
        <v>0</v>
      </c>
    </row>
    <row r="40" spans="1:64">
      <c r="A40" s="774" t="s">
        <v>641</v>
      </c>
      <c r="B40" s="701"/>
      <c r="C40" s="703"/>
      <c r="D40" s="754">
        <f ca="1">SUM(D36:D37,D39)</f>
        <v>-5636325.4451417411</v>
      </c>
      <c r="E40" s="754">
        <f t="shared" ref="E40:BL40" ca="1" si="19">SUM(E36:E37,E39)</f>
        <v>-6392994.7857925361</v>
      </c>
      <c r="F40" s="754">
        <f t="shared" ca="1" si="19"/>
        <v>-6467888.1885771556</v>
      </c>
      <c r="G40" s="754">
        <f t="shared" ca="1" si="19"/>
        <v>-6543658.9613532396</v>
      </c>
      <c r="H40" s="754">
        <f t="shared" ca="1" si="19"/>
        <v>-6620317.382437353</v>
      </c>
      <c r="I40" s="754">
        <f t="shared" ca="1" si="19"/>
        <v>-6697873.8505556714</v>
      </c>
      <c r="J40" s="754">
        <f t="shared" ca="1" si="19"/>
        <v>-6776338.8862545975</v>
      </c>
      <c r="K40" s="754">
        <f t="shared" ca="1" si="19"/>
        <v>-6855723.1333278483</v>
      </c>
      <c r="L40" s="754">
        <f t="shared" ca="1" si="19"/>
        <v>-6936037.3602603106</v>
      </c>
      <c r="M40" s="754">
        <f t="shared" ca="1" si="19"/>
        <v>-7017292.461688784</v>
      </c>
      <c r="N40" s="754">
        <f t="shared" ca="1" si="19"/>
        <v>-7099499.4598798165</v>
      </c>
      <c r="O40" s="754">
        <f t="shared" ca="1" si="19"/>
        <v>-7182669.5062248912</v>
      </c>
      <c r="P40" s="754">
        <f t="shared" ca="1" si="19"/>
        <v>-7266813.8827531226</v>
      </c>
      <c r="Q40" s="754">
        <f t="shared" ca="1" si="19"/>
        <v>-7351944.0036616586</v>
      </c>
      <c r="R40" s="754">
        <f t="shared" ca="1" si="19"/>
        <v>-7305453.1038900074</v>
      </c>
      <c r="S40" s="754">
        <f t="shared" ca="1" si="19"/>
        <v>-7391035.8800640078</v>
      </c>
      <c r="T40" s="754">
        <f t="shared" ca="1" si="19"/>
        <v>-7477621.2513506431</v>
      </c>
      <c r="U40" s="754">
        <f t="shared" ca="1" si="19"/>
        <v>-7565220.9630683698</v>
      </c>
      <c r="V40" s="754">
        <f t="shared" ca="1" si="19"/>
        <v>-7653846.8981310464</v>
      </c>
      <c r="W40" s="754">
        <f t="shared" ca="1" si="19"/>
        <v>-7743511.0786598958</v>
      </c>
      <c r="X40" s="754">
        <f t="shared" ca="1" si="19"/>
        <v>-7834225.6676142802</v>
      </c>
      <c r="Y40" s="754">
        <f t="shared" ca="1" si="19"/>
        <v>-7926002.9704416189</v>
      </c>
      <c r="Z40" s="754">
        <f t="shared" ca="1" si="19"/>
        <v>-8018855.4367466252</v>
      </c>
      <c r="AA40" s="754">
        <f t="shared" ca="1" si="19"/>
        <v>-8112795.6619801065</v>
      </c>
      <c r="AB40" s="754">
        <f t="shared" ca="1" si="19"/>
        <v>-8207836.3891475163</v>
      </c>
      <c r="AC40" s="754">
        <f t="shared" ca="1" si="19"/>
        <v>-8296784.5017948905</v>
      </c>
      <c r="AD40" s="754">
        <f t="shared" ca="1" si="19"/>
        <v>-8220829.5780841997</v>
      </c>
      <c r="AE40" s="754">
        <f t="shared" ca="1" si="19"/>
        <v>-8296079.9667370468</v>
      </c>
      <c r="AF40" s="754">
        <f t="shared" ca="1" si="19"/>
        <v>-8364543.4668390304</v>
      </c>
      <c r="AG40" s="754">
        <f t="shared" ca="1" si="19"/>
        <v>-8426428.4322070386</v>
      </c>
      <c r="AH40" s="754">
        <f t="shared" ca="1" si="19"/>
        <v>-8471083.8332952037</v>
      </c>
      <c r="AI40" s="754">
        <f t="shared" ca="1" si="19"/>
        <v>-8507378.8165568002</v>
      </c>
      <c r="AJ40" s="754">
        <f t="shared" ca="1" si="19"/>
        <v>-8538141.5727151148</v>
      </c>
      <c r="AK40" s="754">
        <f t="shared" ca="1" si="19"/>
        <v>-8588068.1323104743</v>
      </c>
      <c r="AL40" s="754">
        <f t="shared" ca="1" si="19"/>
        <v>-8638003.5749733374</v>
      </c>
      <c r="AM40" s="754">
        <f t="shared" ca="1" si="19"/>
        <v>-8688751.2572533619</v>
      </c>
      <c r="AN40" s="754">
        <f t="shared" ca="1" si="19"/>
        <v>-8732279.5408157818</v>
      </c>
      <c r="AO40" s="754">
        <f t="shared" ca="1" si="19"/>
        <v>-8776584.9898454882</v>
      </c>
      <c r="AP40" s="754">
        <f t="shared" ca="1" si="19"/>
        <v>-8818908.9627198558</v>
      </c>
      <c r="AQ40" s="754">
        <f t="shared" ca="1" si="19"/>
        <v>-8859024.4233598597</v>
      </c>
      <c r="AR40" s="754">
        <f t="shared" ca="1" si="19"/>
        <v>-8896594.6121149808</v>
      </c>
      <c r="AS40" s="754">
        <f t="shared" ca="1" si="19"/>
        <v>-8930935.3694943246</v>
      </c>
      <c r="AT40" s="754">
        <f t="shared" ca="1" si="19"/>
        <v>-8963349.1092109736</v>
      </c>
      <c r="AU40" s="754">
        <f t="shared" ca="1" si="19"/>
        <v>-8994434.1102759335</v>
      </c>
      <c r="AV40" s="754">
        <f t="shared" ca="1" si="19"/>
        <v>-9024321.8060935643</v>
      </c>
      <c r="AW40" s="754">
        <f t="shared" ca="1" si="19"/>
        <v>-9055259.4245682321</v>
      </c>
      <c r="AX40" s="754">
        <f t="shared" ca="1" si="19"/>
        <v>-9086805.1418724377</v>
      </c>
      <c r="AY40" s="754">
        <f t="shared" ca="1" si="19"/>
        <v>-9119679.0407856256</v>
      </c>
      <c r="AZ40" s="754">
        <f t="shared" ca="1" si="19"/>
        <v>0</v>
      </c>
      <c r="BA40" s="754">
        <f t="shared" ca="1" si="19"/>
        <v>0</v>
      </c>
      <c r="BB40" s="754">
        <f t="shared" ca="1" si="19"/>
        <v>0</v>
      </c>
      <c r="BC40" s="754">
        <f t="shared" ca="1" si="19"/>
        <v>0</v>
      </c>
      <c r="BD40" s="754">
        <f t="shared" ca="1" si="19"/>
        <v>0</v>
      </c>
      <c r="BE40" s="754">
        <f t="shared" ca="1" si="19"/>
        <v>0</v>
      </c>
      <c r="BF40" s="754">
        <f t="shared" ca="1" si="19"/>
        <v>0</v>
      </c>
      <c r="BG40" s="754">
        <f t="shared" ca="1" si="19"/>
        <v>0</v>
      </c>
      <c r="BH40" s="754">
        <f t="shared" ca="1" si="19"/>
        <v>0</v>
      </c>
      <c r="BI40" s="754">
        <f t="shared" ca="1" si="19"/>
        <v>0</v>
      </c>
      <c r="BJ40" s="754">
        <f t="shared" ca="1" si="19"/>
        <v>0</v>
      </c>
      <c r="BK40" s="754">
        <f t="shared" ca="1" si="19"/>
        <v>0</v>
      </c>
      <c r="BL40" s="754">
        <f t="shared" ca="1" si="19"/>
        <v>0</v>
      </c>
    </row>
    <row r="41" spans="1:64">
      <c r="A41" s="774" t="s">
        <v>642</v>
      </c>
      <c r="B41" s="701"/>
      <c r="C41" s="703"/>
      <c r="D41" s="754">
        <f>SUM(D37:D39)</f>
        <v>0</v>
      </c>
      <c r="E41" s="754">
        <f ca="1">SUM(E37:E39)</f>
        <v>0</v>
      </c>
      <c r="F41" s="754">
        <f t="shared" ref="F41:BK41" ca="1" si="20">SUM(F37:F39)</f>
        <v>0</v>
      </c>
      <c r="G41" s="754">
        <f t="shared" ca="1" si="20"/>
        <v>0</v>
      </c>
      <c r="H41" s="754">
        <f t="shared" ca="1" si="20"/>
        <v>0</v>
      </c>
      <c r="I41" s="754">
        <f t="shared" ca="1" si="20"/>
        <v>0</v>
      </c>
      <c r="J41" s="754">
        <f t="shared" ca="1" si="20"/>
        <v>0</v>
      </c>
      <c r="K41" s="754">
        <f t="shared" ca="1" si="20"/>
        <v>0</v>
      </c>
      <c r="L41" s="754">
        <f t="shared" ca="1" si="20"/>
        <v>0</v>
      </c>
      <c r="M41" s="754">
        <f t="shared" ca="1" si="20"/>
        <v>0</v>
      </c>
      <c r="N41" s="754">
        <f t="shared" ca="1" si="20"/>
        <v>0</v>
      </c>
      <c r="O41" s="754">
        <f t="shared" ca="1" si="20"/>
        <v>0</v>
      </c>
      <c r="P41" s="754">
        <f t="shared" ca="1" si="20"/>
        <v>0</v>
      </c>
      <c r="Q41" s="754">
        <f t="shared" ca="1" si="20"/>
        <v>0</v>
      </c>
      <c r="R41" s="754">
        <f t="shared" ca="1" si="20"/>
        <v>132618.45355301234</v>
      </c>
      <c r="S41" s="754">
        <f t="shared" ca="1" si="20"/>
        <v>0</v>
      </c>
      <c r="T41" s="754">
        <f t="shared" ca="1" si="20"/>
        <v>0</v>
      </c>
      <c r="U41" s="754">
        <f t="shared" ca="1" si="20"/>
        <v>0</v>
      </c>
      <c r="V41" s="754">
        <f t="shared" ca="1" si="20"/>
        <v>0</v>
      </c>
      <c r="W41" s="754">
        <f t="shared" ca="1" si="20"/>
        <v>0</v>
      </c>
      <c r="X41" s="754">
        <f t="shared" ca="1" si="20"/>
        <v>0</v>
      </c>
      <c r="Y41" s="754">
        <f t="shared" ca="1" si="20"/>
        <v>0</v>
      </c>
      <c r="Z41" s="754">
        <f t="shared" ca="1" si="20"/>
        <v>0</v>
      </c>
      <c r="AA41" s="754">
        <f t="shared" ca="1" si="20"/>
        <v>0</v>
      </c>
      <c r="AB41" s="754">
        <f t="shared" ca="1" si="20"/>
        <v>0</v>
      </c>
      <c r="AC41" s="754">
        <f t="shared" ca="1" si="20"/>
        <v>7206.0192780166399</v>
      </c>
      <c r="AD41" s="754">
        <f t="shared" ca="1" si="20"/>
        <v>173151.20542949764</v>
      </c>
      <c r="AE41" s="754">
        <f t="shared" ca="1" si="20"/>
        <v>21055.977601454564</v>
      </c>
      <c r="AF41" s="754">
        <f t="shared" ca="1" si="20"/>
        <v>28724.429016846057</v>
      </c>
      <c r="AG41" s="754">
        <f t="shared" ca="1" si="20"/>
        <v>36105.018214839329</v>
      </c>
      <c r="AH41" s="754">
        <f t="shared" ca="1" si="20"/>
        <v>54059.584911029138</v>
      </c>
      <c r="AI41" s="754">
        <f t="shared" ca="1" si="20"/>
        <v>62943.149229906354</v>
      </c>
      <c r="AJ41" s="754">
        <f t="shared" ca="1" si="20"/>
        <v>68900.577069600768</v>
      </c>
      <c r="AK41" s="754">
        <f t="shared" ca="1" si="20"/>
        <v>50097.12998783902</v>
      </c>
      <c r="AL41" s="754">
        <f t="shared" ca="1" si="20"/>
        <v>50673.132813952267</v>
      </c>
      <c r="AM41" s="754">
        <f t="shared" ca="1" si="20"/>
        <v>50445.88203445547</v>
      </c>
      <c r="AN41" s="754">
        <f t="shared" ca="1" si="20"/>
        <v>58259.796017025925</v>
      </c>
      <c r="AO41" s="754">
        <f t="shared" ca="1" si="20"/>
        <v>57992.560007987566</v>
      </c>
      <c r="AP41" s="754">
        <f t="shared" ca="1" si="20"/>
        <v>60493.073835685529</v>
      </c>
      <c r="AQ41" s="754">
        <f t="shared" ca="1" si="20"/>
        <v>63197.411180517025</v>
      </c>
      <c r="AR41" s="754">
        <f t="shared" ca="1" si="20"/>
        <v>66212.636050880668</v>
      </c>
      <c r="AS41" s="754">
        <f t="shared" ca="1" si="20"/>
        <v>69882.203639765474</v>
      </c>
      <c r="AT41" s="754">
        <f t="shared" ca="1" si="20"/>
        <v>72211.523191859815</v>
      </c>
      <c r="AU41" s="754">
        <f t="shared" ca="1" si="20"/>
        <v>73919.98804997062</v>
      </c>
      <c r="AV41" s="754">
        <f t="shared" ca="1" si="20"/>
        <v>75481.453245080411</v>
      </c>
      <c r="AW41" s="754">
        <f t="shared" ca="1" si="20"/>
        <v>74781.661198060188</v>
      </c>
      <c r="AX41" s="754">
        <f t="shared" ca="1" si="20"/>
        <v>74535.993332814061</v>
      </c>
      <c r="AY41" s="754">
        <f t="shared" ca="1" si="20"/>
        <v>73577.365570450478</v>
      </c>
      <c r="AZ41" s="754">
        <f t="shared" ca="1" si="20"/>
        <v>9226515.4636738002</v>
      </c>
      <c r="BA41" s="754">
        <f t="shared" ca="1" si="20"/>
        <v>0</v>
      </c>
      <c r="BB41" s="754">
        <f t="shared" ca="1" si="20"/>
        <v>0</v>
      </c>
      <c r="BC41" s="754">
        <f t="shared" ca="1" si="20"/>
        <v>0</v>
      </c>
      <c r="BD41" s="754">
        <f t="shared" ca="1" si="20"/>
        <v>0</v>
      </c>
      <c r="BE41" s="754">
        <f t="shared" ca="1" si="20"/>
        <v>0</v>
      </c>
      <c r="BF41" s="754">
        <f t="shared" ca="1" si="20"/>
        <v>0</v>
      </c>
      <c r="BG41" s="754">
        <f t="shared" ca="1" si="20"/>
        <v>0</v>
      </c>
      <c r="BH41" s="754">
        <f t="shared" ca="1" si="20"/>
        <v>0</v>
      </c>
      <c r="BI41" s="754">
        <f t="shared" ca="1" si="20"/>
        <v>0</v>
      </c>
      <c r="BJ41" s="754">
        <f t="shared" ca="1" si="20"/>
        <v>0</v>
      </c>
      <c r="BK41" s="754">
        <f t="shared" ca="1" si="20"/>
        <v>0</v>
      </c>
      <c r="BL41" s="754">
        <f t="shared" ref="BL41" ca="1" si="21">SUM(BL37:BL39)</f>
        <v>0</v>
      </c>
    </row>
    <row r="42" spans="1:64">
      <c r="A42" s="776" t="s">
        <v>681</v>
      </c>
      <c r="B42" s="755"/>
      <c r="C42" s="703"/>
      <c r="D42" s="756">
        <f t="shared" ref="D42:AI42" si="22">D23-D41</f>
        <v>0</v>
      </c>
      <c r="E42" s="756">
        <f t="shared" ca="1" si="22"/>
        <v>0</v>
      </c>
      <c r="F42" s="756">
        <f t="shared" ca="1" si="22"/>
        <v>0</v>
      </c>
      <c r="G42" s="756">
        <f t="shared" ca="1" si="22"/>
        <v>0</v>
      </c>
      <c r="H42" s="756">
        <f t="shared" ca="1" si="22"/>
        <v>0</v>
      </c>
      <c r="I42" s="756">
        <f t="shared" ca="1" si="22"/>
        <v>0</v>
      </c>
      <c r="J42" s="756">
        <f t="shared" ca="1" si="22"/>
        <v>0</v>
      </c>
      <c r="K42" s="756">
        <f t="shared" ca="1" si="22"/>
        <v>0</v>
      </c>
      <c r="L42" s="756">
        <f t="shared" ca="1" si="22"/>
        <v>0</v>
      </c>
      <c r="M42" s="756">
        <f t="shared" ca="1" si="22"/>
        <v>0</v>
      </c>
      <c r="N42" s="756">
        <f t="shared" ca="1" si="22"/>
        <v>0</v>
      </c>
      <c r="O42" s="756">
        <f t="shared" ca="1" si="22"/>
        <v>0</v>
      </c>
      <c r="P42" s="756">
        <f t="shared" ca="1" si="22"/>
        <v>0</v>
      </c>
      <c r="Q42" s="756">
        <f t="shared" ca="1" si="22"/>
        <v>0</v>
      </c>
      <c r="R42" s="756">
        <f t="shared" ca="1" si="22"/>
        <v>-0.14057900302577764</v>
      </c>
      <c r="S42" s="756">
        <f t="shared" ca="1" si="22"/>
        <v>0</v>
      </c>
      <c r="T42" s="756">
        <f t="shared" ca="1" si="22"/>
        <v>0</v>
      </c>
      <c r="U42" s="756">
        <f t="shared" ca="1" si="22"/>
        <v>0</v>
      </c>
      <c r="V42" s="756">
        <f t="shared" ca="1" si="22"/>
        <v>0</v>
      </c>
      <c r="W42" s="756">
        <f t="shared" ca="1" si="22"/>
        <v>0</v>
      </c>
      <c r="X42" s="756">
        <f t="shared" ca="1" si="22"/>
        <v>0</v>
      </c>
      <c r="Y42" s="756">
        <f t="shared" ca="1" si="22"/>
        <v>0</v>
      </c>
      <c r="Z42" s="756">
        <f t="shared" ca="1" si="22"/>
        <v>0</v>
      </c>
      <c r="AA42" s="756">
        <f t="shared" ca="1" si="22"/>
        <v>0</v>
      </c>
      <c r="AB42" s="756">
        <f t="shared" ca="1" si="22"/>
        <v>0</v>
      </c>
      <c r="AC42" s="756">
        <f t="shared" ca="1" si="22"/>
        <v>-1.0535310502746142E-2</v>
      </c>
      <c r="AD42" s="756">
        <f t="shared" ca="1" si="22"/>
        <v>-0.14057900305488147</v>
      </c>
      <c r="AE42" s="756">
        <f t="shared" ca="1" si="22"/>
        <v>-3.0735506676137447E-2</v>
      </c>
      <c r="AF42" s="756">
        <f t="shared" ca="1" si="22"/>
        <v>-4.1548858134774491E-2</v>
      </c>
      <c r="AG42" s="756">
        <f t="shared" ca="1" si="22"/>
        <v>-5.1797160085698124E-2</v>
      </c>
      <c r="AH42" s="756">
        <f t="shared" ca="1" si="22"/>
        <v>-7.6985652973235119E-2</v>
      </c>
      <c r="AI42" s="756">
        <f t="shared" ca="1" si="22"/>
        <v>-8.9164118267945014E-2</v>
      </c>
      <c r="AJ42" s="756">
        <f t="shared" ref="AJ42:BL42" ca="1" si="23">AJ23-AJ41</f>
        <v>-9.7186898157815449E-2</v>
      </c>
      <c r="AK42" s="756">
        <f t="shared" ca="1" si="23"/>
        <v>-7.0409316809673328E-2</v>
      </c>
      <c r="AL42" s="756">
        <f t="shared" ca="1" si="23"/>
        <v>-7.0804834656883031E-2</v>
      </c>
      <c r="AM42" s="756">
        <f t="shared" ca="1" si="23"/>
        <v>-7.0079820899991319E-2</v>
      </c>
      <c r="AN42" s="756">
        <f t="shared" ca="1" si="23"/>
        <v>-8.0462262754736003E-2</v>
      </c>
      <c r="AO42" s="756">
        <f t="shared" ca="1" si="23"/>
        <v>-7.9693940228025895E-2</v>
      </c>
      <c r="AP42" s="756">
        <f t="shared" ca="1" si="23"/>
        <v>-8.2710518312524073E-2</v>
      </c>
      <c r="AQ42" s="756">
        <f t="shared" ca="1" si="23"/>
        <v>-8.5993392771342769E-2</v>
      </c>
      <c r="AR42" s="756">
        <f t="shared" ca="1" si="23"/>
        <v>-8.9688267966266721E-2</v>
      </c>
      <c r="AS42" s="756">
        <f t="shared" ca="1" si="23"/>
        <v>-9.4259135003085248E-2</v>
      </c>
      <c r="AT42" s="756">
        <f t="shared" ca="1" si="23"/>
        <v>-9.7026467905379832E-2</v>
      </c>
      <c r="AU42" s="756">
        <f t="shared" ca="1" si="23"/>
        <v>-9.8962860676692799E-2</v>
      </c>
      <c r="AV42" s="756">
        <f t="shared" ca="1" si="23"/>
        <v>-0.10070408204046544</v>
      </c>
      <c r="AW42" s="756">
        <f t="shared" ca="1" si="23"/>
        <v>-9.9440020028850995E-2</v>
      </c>
      <c r="AX42" s="756">
        <f t="shared" ca="1" si="23"/>
        <v>-9.8774722267990001E-2</v>
      </c>
      <c r="AY42" s="756">
        <f t="shared" ca="1" si="23"/>
        <v>-9.7165858300286345E-2</v>
      </c>
      <c r="AZ42" s="756">
        <f t="shared" ca="1" si="23"/>
        <v>14490519.688420016</v>
      </c>
      <c r="BA42" s="756">
        <f t="shared" ca="1" si="23"/>
        <v>0</v>
      </c>
      <c r="BB42" s="756">
        <f t="shared" ca="1" si="23"/>
        <v>0</v>
      </c>
      <c r="BC42" s="756">
        <f t="shared" ca="1" si="23"/>
        <v>0</v>
      </c>
      <c r="BD42" s="756">
        <f t="shared" ca="1" si="23"/>
        <v>0</v>
      </c>
      <c r="BE42" s="756">
        <f t="shared" ca="1" si="23"/>
        <v>0</v>
      </c>
      <c r="BF42" s="756">
        <f t="shared" ca="1" si="23"/>
        <v>0</v>
      </c>
      <c r="BG42" s="756">
        <f t="shared" ca="1" si="23"/>
        <v>0</v>
      </c>
      <c r="BH42" s="756">
        <f t="shared" ca="1" si="23"/>
        <v>0</v>
      </c>
      <c r="BI42" s="756">
        <f t="shared" ca="1" si="23"/>
        <v>0</v>
      </c>
      <c r="BJ42" s="756">
        <f t="shared" ca="1" si="23"/>
        <v>0</v>
      </c>
      <c r="BK42" s="756">
        <f t="shared" ca="1" si="23"/>
        <v>0</v>
      </c>
      <c r="BL42" s="756">
        <f t="shared" ca="1" si="23"/>
        <v>0</v>
      </c>
    </row>
    <row r="43" spans="1:64">
      <c r="A43" s="777" t="s">
        <v>644</v>
      </c>
      <c r="B43" s="758">
        <f ca="1">(1+IRR(D43:BL43,0.01))^12-1</f>
        <v>0.15000006743328331</v>
      </c>
      <c r="C43" s="703"/>
      <c r="D43" s="757">
        <f ca="1">D34+D41</f>
        <v>-5636325.4451417411</v>
      </c>
      <c r="E43" s="757">
        <f t="shared" ref="E43:BK43" ca="1" si="24">E34+E41</f>
        <v>-690640.25632770208</v>
      </c>
      <c r="F43" s="757">
        <f t="shared" ca="1" si="24"/>
        <v>1.7013065288734899E-8</v>
      </c>
      <c r="G43" s="757">
        <f t="shared" ca="1" si="24"/>
        <v>1.7013065288734899E-8</v>
      </c>
      <c r="H43" s="757">
        <f t="shared" ca="1" si="24"/>
        <v>1.7013065288734899E-8</v>
      </c>
      <c r="I43" s="757">
        <f t="shared" ca="1" si="24"/>
        <v>1.7013065288734899E-8</v>
      </c>
      <c r="J43" s="757">
        <f t="shared" ca="1" si="24"/>
        <v>1.7013065288734899E-8</v>
      </c>
      <c r="K43" s="757">
        <f t="shared" ca="1" si="24"/>
        <v>1.7013065288734899E-8</v>
      </c>
      <c r="L43" s="757">
        <f t="shared" ca="1" si="24"/>
        <v>1.862645149230957E-8</v>
      </c>
      <c r="M43" s="757">
        <f t="shared" ca="1" si="24"/>
        <v>0</v>
      </c>
      <c r="N43" s="757">
        <f t="shared" ca="1" si="24"/>
        <v>0</v>
      </c>
      <c r="O43" s="757">
        <f t="shared" ca="1" si="24"/>
        <v>0</v>
      </c>
      <c r="P43" s="757">
        <f t="shared" ca="1" si="24"/>
        <v>0</v>
      </c>
      <c r="Q43" s="757">
        <f t="shared" ca="1" si="24"/>
        <v>0</v>
      </c>
      <c r="R43" s="757">
        <f t="shared" ca="1" si="24"/>
        <v>132618.45355301234</v>
      </c>
      <c r="S43" s="757">
        <f t="shared" ca="1" si="24"/>
        <v>0</v>
      </c>
      <c r="T43" s="757">
        <f t="shared" ca="1" si="24"/>
        <v>0</v>
      </c>
      <c r="U43" s="757">
        <f t="shared" ca="1" si="24"/>
        <v>0</v>
      </c>
      <c r="V43" s="757">
        <f t="shared" ca="1" si="24"/>
        <v>0</v>
      </c>
      <c r="W43" s="757">
        <f t="shared" ca="1" si="24"/>
        <v>0</v>
      </c>
      <c r="X43" s="757">
        <f t="shared" ca="1" si="24"/>
        <v>0</v>
      </c>
      <c r="Y43" s="757">
        <f t="shared" ca="1" si="24"/>
        <v>0</v>
      </c>
      <c r="Z43" s="757">
        <f t="shared" ca="1" si="24"/>
        <v>0</v>
      </c>
      <c r="AA43" s="757">
        <f t="shared" ca="1" si="24"/>
        <v>0</v>
      </c>
      <c r="AB43" s="757">
        <f t="shared" ca="1" si="24"/>
        <v>0</v>
      </c>
      <c r="AC43" s="757">
        <f t="shared" ca="1" si="24"/>
        <v>7206.0192780166399</v>
      </c>
      <c r="AD43" s="757">
        <f t="shared" ca="1" si="24"/>
        <v>173151.20542949764</v>
      </c>
      <c r="AE43" s="757">
        <f t="shared" ca="1" si="24"/>
        <v>21055.977601454564</v>
      </c>
      <c r="AF43" s="757">
        <f t="shared" ca="1" si="24"/>
        <v>28724.429016846057</v>
      </c>
      <c r="AG43" s="757">
        <f t="shared" ca="1" si="24"/>
        <v>36105.018214839329</v>
      </c>
      <c r="AH43" s="757">
        <f t="shared" ca="1" si="24"/>
        <v>54059.584911029138</v>
      </c>
      <c r="AI43" s="757">
        <f t="shared" ca="1" si="24"/>
        <v>62943.149229906354</v>
      </c>
      <c r="AJ43" s="757">
        <f t="shared" ca="1" si="24"/>
        <v>68900.577069600768</v>
      </c>
      <c r="AK43" s="757">
        <f t="shared" ca="1" si="24"/>
        <v>50097.12998783902</v>
      </c>
      <c r="AL43" s="757">
        <f t="shared" ca="1" si="24"/>
        <v>50673.132813952267</v>
      </c>
      <c r="AM43" s="757">
        <f t="shared" ca="1" si="24"/>
        <v>50445.88203445547</v>
      </c>
      <c r="AN43" s="757">
        <f t="shared" ca="1" si="24"/>
        <v>58259.796017025925</v>
      </c>
      <c r="AO43" s="757">
        <f t="shared" ca="1" si="24"/>
        <v>57992.560007987566</v>
      </c>
      <c r="AP43" s="757">
        <f t="shared" ca="1" si="24"/>
        <v>60493.073835685529</v>
      </c>
      <c r="AQ43" s="757">
        <f t="shared" ca="1" si="24"/>
        <v>63197.411180517025</v>
      </c>
      <c r="AR43" s="757">
        <f t="shared" ca="1" si="24"/>
        <v>66212.636050880668</v>
      </c>
      <c r="AS43" s="757">
        <f t="shared" ca="1" si="24"/>
        <v>69882.203639765474</v>
      </c>
      <c r="AT43" s="757">
        <f t="shared" ca="1" si="24"/>
        <v>72211.523191859815</v>
      </c>
      <c r="AU43" s="757">
        <f t="shared" ca="1" si="24"/>
        <v>73919.98804997062</v>
      </c>
      <c r="AV43" s="757">
        <f t="shared" ca="1" si="24"/>
        <v>75481.453245080411</v>
      </c>
      <c r="AW43" s="757">
        <f t="shared" ca="1" si="24"/>
        <v>74781.661198060188</v>
      </c>
      <c r="AX43" s="757">
        <f t="shared" ca="1" si="24"/>
        <v>74535.993332814061</v>
      </c>
      <c r="AY43" s="757">
        <f t="shared" ca="1" si="24"/>
        <v>73577.365570450478</v>
      </c>
      <c r="AZ43" s="757">
        <f t="shared" ca="1" si="24"/>
        <v>9226515.4636738002</v>
      </c>
      <c r="BA43" s="757">
        <f t="shared" ca="1" si="24"/>
        <v>0</v>
      </c>
      <c r="BB43" s="757">
        <f t="shared" ca="1" si="24"/>
        <v>0</v>
      </c>
      <c r="BC43" s="757">
        <f t="shared" ca="1" si="24"/>
        <v>0</v>
      </c>
      <c r="BD43" s="757">
        <f t="shared" ca="1" si="24"/>
        <v>0</v>
      </c>
      <c r="BE43" s="757">
        <f t="shared" ca="1" si="24"/>
        <v>0</v>
      </c>
      <c r="BF43" s="757">
        <f t="shared" ca="1" si="24"/>
        <v>0</v>
      </c>
      <c r="BG43" s="757">
        <f t="shared" ca="1" si="24"/>
        <v>0</v>
      </c>
      <c r="BH43" s="757">
        <f t="shared" ca="1" si="24"/>
        <v>0</v>
      </c>
      <c r="BI43" s="757">
        <f t="shared" ca="1" si="24"/>
        <v>0</v>
      </c>
      <c r="BJ43" s="757">
        <f t="shared" ca="1" si="24"/>
        <v>0</v>
      </c>
      <c r="BK43" s="757">
        <f t="shared" ca="1" si="24"/>
        <v>0</v>
      </c>
      <c r="BL43" s="757">
        <f t="shared" ref="BL43" ca="1" si="25">BL34+BL41</f>
        <v>0</v>
      </c>
    </row>
    <row r="44" spans="1:64">
      <c r="A44" s="757"/>
      <c r="B44" s="758"/>
      <c r="C44" s="703"/>
      <c r="D44" s="757"/>
      <c r="E44" s="757"/>
      <c r="F44" s="757"/>
      <c r="G44" s="757"/>
      <c r="H44" s="757"/>
      <c r="I44" s="757"/>
      <c r="J44" s="757"/>
      <c r="K44" s="757"/>
      <c r="L44" s="757"/>
      <c r="M44" s="757"/>
      <c r="N44" s="757"/>
      <c r="O44" s="757"/>
      <c r="P44" s="757"/>
      <c r="Q44" s="757"/>
      <c r="R44" s="757"/>
      <c r="S44" s="757"/>
      <c r="T44" s="757"/>
      <c r="U44" s="757"/>
      <c r="V44" s="757"/>
      <c r="W44" s="757"/>
      <c r="X44" s="757"/>
      <c r="Y44" s="757"/>
      <c r="Z44" s="757"/>
      <c r="AA44" s="757"/>
      <c r="AB44" s="757"/>
      <c r="AC44" s="757"/>
      <c r="AD44" s="757"/>
      <c r="AE44" s="757"/>
      <c r="AF44" s="757"/>
      <c r="AG44" s="757"/>
      <c r="AH44" s="757"/>
      <c r="AI44" s="757"/>
      <c r="AJ44" s="757"/>
      <c r="AK44" s="757"/>
      <c r="AL44" s="757"/>
      <c r="AM44" s="757"/>
      <c r="AN44" s="757"/>
      <c r="AO44" s="757"/>
      <c r="AP44" s="757"/>
      <c r="AQ44" s="757"/>
      <c r="AR44" s="757"/>
      <c r="AS44" s="757"/>
      <c r="AT44" s="757"/>
      <c r="AU44" s="757"/>
      <c r="AV44" s="757"/>
      <c r="AW44" s="757"/>
      <c r="AX44" s="757"/>
      <c r="AY44" s="757"/>
      <c r="AZ44" s="757"/>
      <c r="BA44" s="757"/>
      <c r="BB44" s="757"/>
      <c r="BC44" s="757"/>
      <c r="BD44" s="757"/>
      <c r="BE44" s="757"/>
      <c r="BF44" s="757"/>
      <c r="BG44" s="757"/>
      <c r="BH44" s="757"/>
      <c r="BI44" s="757"/>
      <c r="BJ44" s="757"/>
      <c r="BK44" s="757"/>
      <c r="BL44" s="757"/>
    </row>
    <row r="45" spans="1:64">
      <c r="A45" s="700" t="s">
        <v>665</v>
      </c>
      <c r="B45" s="752">
        <f>D9</f>
        <v>0.15</v>
      </c>
      <c r="C45" s="703"/>
      <c r="D45" s="701"/>
      <c r="E45" s="701"/>
      <c r="F45" s="701"/>
      <c r="G45" s="701"/>
      <c r="H45" s="701"/>
      <c r="I45" s="701"/>
    </row>
    <row r="46" spans="1:64">
      <c r="A46" s="774" t="s">
        <v>637</v>
      </c>
      <c r="B46" s="701"/>
      <c r="C46" s="703"/>
      <c r="D46" s="701">
        <v>0</v>
      </c>
      <c r="E46" s="701">
        <f ca="1">D52</f>
        <v>-534505.07346667151</v>
      </c>
      <c r="F46" s="701">
        <f ca="1">E52</f>
        <v>-606261.68252890022</v>
      </c>
      <c r="G46" s="701">
        <f ca="1">F52</f>
        <v>-613363.98777141387</v>
      </c>
      <c r="H46" s="701">
        <f t="shared" ref="H46:BA46" ca="1" si="26">G52</f>
        <v>-620549.4959297824</v>
      </c>
      <c r="I46" s="701">
        <f t="shared" ca="1" si="26"/>
        <v>-627819.18171925261</v>
      </c>
      <c r="J46" s="701">
        <f t="shared" ca="1" si="26"/>
        <v>-635174.03127377911</v>
      </c>
      <c r="K46" s="701">
        <f t="shared" ca="1" si="26"/>
        <v>-642615.04227979446</v>
      </c>
      <c r="L46" s="701">
        <f t="shared" ca="1" si="26"/>
        <v>-650143.22411154478</v>
      </c>
      <c r="M46" s="701">
        <f t="shared" ca="1" si="26"/>
        <v>-657759.59796801175</v>
      </c>
      <c r="N46" s="701">
        <f t="shared" ca="1" si="26"/>
        <v>-665465.19701144099</v>
      </c>
      <c r="O46" s="701">
        <f t="shared" ca="1" si="26"/>
        <v>-673261.06650748372</v>
      </c>
      <c r="P46" s="701">
        <f t="shared" ca="1" si="26"/>
        <v>-681148.26396699436</v>
      </c>
      <c r="Q46" s="701">
        <f t="shared" ca="1" si="26"/>
        <v>-689127.85928947874</v>
      </c>
      <c r="R46" s="701">
        <f t="shared" ca="1" si="26"/>
        <v>-697200.93490822625</v>
      </c>
      <c r="S46" s="701">
        <f t="shared" ca="1" si="26"/>
        <v>-705368.72651614528</v>
      </c>
      <c r="T46" s="701">
        <f t="shared" ca="1" si="26"/>
        <v>-713632.06254517462</v>
      </c>
      <c r="U46" s="701">
        <f t="shared" ca="1" si="26"/>
        <v>-721992.20286927407</v>
      </c>
      <c r="V46" s="701">
        <f t="shared" ca="1" si="26"/>
        <v>-730450.28154271655</v>
      </c>
      <c r="W46" s="701">
        <f t="shared" ca="1" si="26"/>
        <v>-739007.44590512814</v>
      </c>
      <c r="X46" s="701">
        <f t="shared" ca="1" si="26"/>
        <v>-747664.85673712194</v>
      </c>
      <c r="Y46" s="701">
        <f t="shared" ca="1" si="26"/>
        <v>-756423.68841775891</v>
      </c>
      <c r="Z46" s="701">
        <f t="shared" ca="1" si="26"/>
        <v>-765285.12908385508</v>
      </c>
      <c r="AA46" s="701">
        <f t="shared" ca="1" si="26"/>
        <v>-774250.38079114782</v>
      </c>
      <c r="AB46" s="701">
        <f t="shared" ca="1" si="26"/>
        <v>-783320.65967735834</v>
      </c>
      <c r="AC46" s="701">
        <f t="shared" ca="1" si="26"/>
        <v>-792497.19612715684</v>
      </c>
      <c r="AD46" s="701">
        <f t="shared" ca="1" si="26"/>
        <v>-801781.24547437287</v>
      </c>
      <c r="AE46" s="701">
        <f t="shared" ca="1" si="26"/>
        <v>-811174.1867320356</v>
      </c>
      <c r="AF46" s="701">
        <f t="shared" ca="1" si="26"/>
        <v>-820677.05567261786</v>
      </c>
      <c r="AG46" s="701">
        <f t="shared" ca="1" si="26"/>
        <v>-830291.26074661384</v>
      </c>
      <c r="AH46" s="701">
        <f t="shared" ca="1" si="26"/>
        <v>-840018.1056824883</v>
      </c>
      <c r="AI46" s="701">
        <f t="shared" ca="1" si="26"/>
        <v>-849858.92498702102</v>
      </c>
      <c r="AJ46" s="701">
        <f t="shared" ca="1" si="26"/>
        <v>-859815.04085040651</v>
      </c>
      <c r="AK46" s="701">
        <f t="shared" ca="1" si="26"/>
        <v>-869887.79980654584</v>
      </c>
      <c r="AL46" s="701">
        <f t="shared" ca="1" si="26"/>
        <v>-880078.53351921425</v>
      </c>
      <c r="AM46" s="701">
        <f t="shared" ca="1" si="26"/>
        <v>-890388.65122600575</v>
      </c>
      <c r="AN46" s="701">
        <f t="shared" ca="1" si="26"/>
        <v>-900819.55038001342</v>
      </c>
      <c r="AO46" s="701">
        <f t="shared" ca="1" si="26"/>
        <v>-911372.65703338385</v>
      </c>
      <c r="AP46" s="701">
        <f t="shared" ca="1" si="26"/>
        <v>-922049.39168612787</v>
      </c>
      <c r="AQ46" s="701">
        <f t="shared" ca="1" si="26"/>
        <v>-932851.20641495183</v>
      </c>
      <c r="AR46" s="701">
        <f t="shared" ca="1" si="26"/>
        <v>-943779.56678888958</v>
      </c>
      <c r="AS46" s="701">
        <f t="shared" ca="1" si="26"/>
        <v>-954835.95569167426</v>
      </c>
      <c r="AT46" s="701">
        <f t="shared" ca="1" si="26"/>
        <v>-966021.87384290632</v>
      </c>
      <c r="AU46" s="701">
        <f t="shared" ca="1" si="26"/>
        <v>-977338.83686353802</v>
      </c>
      <c r="AV46" s="701">
        <f t="shared" ca="1" si="26"/>
        <v>-988788.37910262123</v>
      </c>
      <c r="AW46" s="701">
        <f t="shared" ca="1" si="26"/>
        <v>-1000372.0535199442</v>
      </c>
      <c r="AX46" s="701">
        <f t="shared" ca="1" si="26"/>
        <v>-1012091.4284582119</v>
      </c>
      <c r="AY46" s="701">
        <f t="shared" ca="1" si="26"/>
        <v>-1023948.0942373818</v>
      </c>
      <c r="AZ46" s="701">
        <f t="shared" ca="1" si="26"/>
        <v>-1035943.6582656575</v>
      </c>
      <c r="BA46" s="701">
        <f t="shared" ca="1" si="26"/>
        <v>0</v>
      </c>
      <c r="BB46" s="701">
        <f t="shared" ref="BB46" ca="1" si="27">BA52</f>
        <v>0</v>
      </c>
      <c r="BC46" s="701">
        <f t="shared" ref="BC46" ca="1" si="28">BB52</f>
        <v>0</v>
      </c>
      <c r="BD46" s="701">
        <f t="shared" ref="BD46" ca="1" si="29">BC52</f>
        <v>0</v>
      </c>
      <c r="BE46" s="701">
        <f t="shared" ref="BE46" ca="1" si="30">BD52</f>
        <v>0</v>
      </c>
      <c r="BF46" s="701">
        <f t="shared" ref="BF46" ca="1" si="31">BE52</f>
        <v>0</v>
      </c>
      <c r="BG46" s="701">
        <f t="shared" ref="BG46" ca="1" si="32">BF52</f>
        <v>0</v>
      </c>
      <c r="BH46" s="701">
        <f t="shared" ref="BH46" ca="1" si="33">BG52</f>
        <v>0</v>
      </c>
      <c r="BI46" s="701">
        <f t="shared" ref="BI46" ca="1" si="34">BH52</f>
        <v>0</v>
      </c>
      <c r="BJ46" s="701">
        <f t="shared" ref="BJ46" ca="1" si="35">BI52</f>
        <v>0</v>
      </c>
      <c r="BK46" s="701">
        <f t="shared" ref="BK46" ca="1" si="36">BJ52</f>
        <v>0</v>
      </c>
      <c r="BL46" s="701">
        <f t="shared" ref="BL46" ca="1" si="37">BK52</f>
        <v>0</v>
      </c>
    </row>
    <row r="47" spans="1:64">
      <c r="A47" s="774" t="s">
        <v>638</v>
      </c>
      <c r="B47" s="701">
        <f ca="1">SUM(D47:BL47)</f>
        <v>-599999.99999998452</v>
      </c>
      <c r="C47" s="699"/>
      <c r="D47" s="701">
        <f t="shared" ref="D47:AI47" ca="1" si="38">D26</f>
        <v>-534505.07346667291</v>
      </c>
      <c r="E47" s="701">
        <f t="shared" ca="1" si="38"/>
        <v>-65494.926533327045</v>
      </c>
      <c r="F47" s="701">
        <f t="shared" ca="1" si="38"/>
        <v>1.6133862035746707E-9</v>
      </c>
      <c r="G47" s="701">
        <f t="shared" ca="1" si="38"/>
        <v>1.6133862035746707E-9</v>
      </c>
      <c r="H47" s="701">
        <f t="shared" ca="1" si="38"/>
        <v>1.6133862035746707E-9</v>
      </c>
      <c r="I47" s="701">
        <f t="shared" ca="1" si="38"/>
        <v>1.6133862035746707E-9</v>
      </c>
      <c r="J47" s="701">
        <f t="shared" ca="1" si="38"/>
        <v>1.6133862035746707E-9</v>
      </c>
      <c r="K47" s="701">
        <f t="shared" ca="1" si="38"/>
        <v>1.6133862035746707E-9</v>
      </c>
      <c r="L47" s="701">
        <f t="shared" ca="1" si="38"/>
        <v>1.6133862035746707E-9</v>
      </c>
      <c r="M47" s="701">
        <f t="shared" ca="1" si="38"/>
        <v>0</v>
      </c>
      <c r="N47" s="701">
        <f t="shared" ca="1" si="38"/>
        <v>0</v>
      </c>
      <c r="O47" s="701">
        <f t="shared" ca="1" si="38"/>
        <v>0</v>
      </c>
      <c r="P47" s="701">
        <f t="shared" ca="1" si="38"/>
        <v>0</v>
      </c>
      <c r="Q47" s="701">
        <f t="shared" ca="1" si="38"/>
        <v>0</v>
      </c>
      <c r="R47" s="701">
        <f t="shared" ca="1" si="38"/>
        <v>0</v>
      </c>
      <c r="S47" s="701">
        <f t="shared" ca="1" si="38"/>
        <v>0</v>
      </c>
      <c r="T47" s="701">
        <f t="shared" ca="1" si="38"/>
        <v>0</v>
      </c>
      <c r="U47" s="701">
        <f t="shared" ca="1" si="38"/>
        <v>0</v>
      </c>
      <c r="V47" s="701">
        <f t="shared" ca="1" si="38"/>
        <v>0</v>
      </c>
      <c r="W47" s="701">
        <f t="shared" ca="1" si="38"/>
        <v>0</v>
      </c>
      <c r="X47" s="701">
        <f t="shared" ca="1" si="38"/>
        <v>0</v>
      </c>
      <c r="Y47" s="701">
        <f t="shared" ca="1" si="38"/>
        <v>0</v>
      </c>
      <c r="Z47" s="701">
        <f t="shared" ca="1" si="38"/>
        <v>0</v>
      </c>
      <c r="AA47" s="701">
        <f t="shared" ca="1" si="38"/>
        <v>0</v>
      </c>
      <c r="AB47" s="701">
        <f t="shared" ca="1" si="38"/>
        <v>0</v>
      </c>
      <c r="AC47" s="701">
        <f t="shared" ca="1" si="38"/>
        <v>0</v>
      </c>
      <c r="AD47" s="701">
        <f t="shared" ca="1" si="38"/>
        <v>0</v>
      </c>
      <c r="AE47" s="701">
        <f t="shared" ca="1" si="38"/>
        <v>0</v>
      </c>
      <c r="AF47" s="701">
        <f t="shared" ca="1" si="38"/>
        <v>0</v>
      </c>
      <c r="AG47" s="701">
        <f t="shared" ca="1" si="38"/>
        <v>0</v>
      </c>
      <c r="AH47" s="701">
        <f t="shared" ca="1" si="38"/>
        <v>0</v>
      </c>
      <c r="AI47" s="701">
        <f t="shared" ca="1" si="38"/>
        <v>0</v>
      </c>
      <c r="AJ47" s="701">
        <f t="shared" ref="AJ47:BL47" ca="1" si="39">AJ26</f>
        <v>0</v>
      </c>
      <c r="AK47" s="701">
        <f t="shared" ca="1" si="39"/>
        <v>0</v>
      </c>
      <c r="AL47" s="701">
        <f t="shared" ca="1" si="39"/>
        <v>0</v>
      </c>
      <c r="AM47" s="701">
        <f t="shared" ca="1" si="39"/>
        <v>0</v>
      </c>
      <c r="AN47" s="701">
        <f t="shared" ca="1" si="39"/>
        <v>0</v>
      </c>
      <c r="AO47" s="701">
        <f t="shared" ca="1" si="39"/>
        <v>0</v>
      </c>
      <c r="AP47" s="701">
        <f t="shared" ca="1" si="39"/>
        <v>0</v>
      </c>
      <c r="AQ47" s="701">
        <f t="shared" ca="1" si="39"/>
        <v>0</v>
      </c>
      <c r="AR47" s="701">
        <f t="shared" ca="1" si="39"/>
        <v>0</v>
      </c>
      <c r="AS47" s="701">
        <f t="shared" ca="1" si="39"/>
        <v>0</v>
      </c>
      <c r="AT47" s="701">
        <f t="shared" ca="1" si="39"/>
        <v>0</v>
      </c>
      <c r="AU47" s="701">
        <f t="shared" ca="1" si="39"/>
        <v>0</v>
      </c>
      <c r="AV47" s="701">
        <f t="shared" ca="1" si="39"/>
        <v>0</v>
      </c>
      <c r="AW47" s="701">
        <f t="shared" ca="1" si="39"/>
        <v>0</v>
      </c>
      <c r="AX47" s="701">
        <f t="shared" ca="1" si="39"/>
        <v>0</v>
      </c>
      <c r="AY47" s="701">
        <f t="shared" ca="1" si="39"/>
        <v>0</v>
      </c>
      <c r="AZ47" s="701">
        <f t="shared" ca="1" si="39"/>
        <v>0</v>
      </c>
      <c r="BA47" s="701">
        <f t="shared" ca="1" si="39"/>
        <v>0</v>
      </c>
      <c r="BB47" s="701">
        <f t="shared" ca="1" si="39"/>
        <v>0</v>
      </c>
      <c r="BC47" s="701">
        <f t="shared" ca="1" si="39"/>
        <v>0</v>
      </c>
      <c r="BD47" s="701">
        <f t="shared" ca="1" si="39"/>
        <v>0</v>
      </c>
      <c r="BE47" s="701">
        <f t="shared" ca="1" si="39"/>
        <v>0</v>
      </c>
      <c r="BF47" s="701">
        <f t="shared" ca="1" si="39"/>
        <v>0</v>
      </c>
      <c r="BG47" s="701">
        <f t="shared" ca="1" si="39"/>
        <v>0</v>
      </c>
      <c r="BH47" s="701">
        <f t="shared" ca="1" si="39"/>
        <v>0</v>
      </c>
      <c r="BI47" s="701">
        <f t="shared" ca="1" si="39"/>
        <v>0</v>
      </c>
      <c r="BJ47" s="701">
        <f t="shared" ca="1" si="39"/>
        <v>0</v>
      </c>
      <c r="BK47" s="701">
        <f t="shared" ca="1" si="39"/>
        <v>0</v>
      </c>
      <c r="BL47" s="701">
        <f t="shared" ca="1" si="39"/>
        <v>0</v>
      </c>
    </row>
    <row r="48" spans="1:64">
      <c r="A48" s="775">
        <f>B45</f>
        <v>0.15</v>
      </c>
      <c r="B48" s="701">
        <f ca="1">SUM(D48:BL48)</f>
        <v>-448077.65686587634</v>
      </c>
      <c r="C48" s="699"/>
      <c r="D48" s="753">
        <f>D46*((1+$B$45)^(1/12)-1)</f>
        <v>0</v>
      </c>
      <c r="E48" s="753">
        <f ca="1">E46*((1+$B$45)^(1/12)-1)</f>
        <v>-6261.6825289021835</v>
      </c>
      <c r="F48" s="753">
        <f t="shared" ref="F48:BL48" ca="1" si="40">F46*((1+$B$45)^(1/12)-1)</f>
        <v>-7102.3052425165915</v>
      </c>
      <c r="G48" s="753">
        <f t="shared" ca="1" si="40"/>
        <v>-7185.5081583720776</v>
      </c>
      <c r="H48" s="753">
        <f t="shared" ca="1" si="40"/>
        <v>-7269.6857894742934</v>
      </c>
      <c r="I48" s="753">
        <f t="shared" ca="1" si="40"/>
        <v>-7354.8495545313763</v>
      </c>
      <c r="J48" s="753">
        <f t="shared" ca="1" si="40"/>
        <v>-7441.0110060206744</v>
      </c>
      <c r="K48" s="753">
        <f t="shared" ca="1" si="40"/>
        <v>-7528.1818317558591</v>
      </c>
      <c r="L48" s="753">
        <f t="shared" ca="1" si="40"/>
        <v>-7616.3738564723635</v>
      </c>
      <c r="M48" s="753">
        <f t="shared" ca="1" si="40"/>
        <v>-7705.5990434314172</v>
      </c>
      <c r="N48" s="753">
        <f t="shared" ca="1" si="40"/>
        <v>-7795.8694960428929</v>
      </c>
      <c r="O48" s="753">
        <f t="shared" ca="1" si="40"/>
        <v>-7887.1974595070524</v>
      </c>
      <c r="P48" s="753">
        <f t="shared" ca="1" si="40"/>
        <v>-7979.5953224756986</v>
      </c>
      <c r="Q48" s="753">
        <f t="shared" ca="1" si="40"/>
        <v>-8073.0756187326533</v>
      </c>
      <c r="R48" s="753">
        <f t="shared" ca="1" si="40"/>
        <v>-8167.6510288939744</v>
      </c>
      <c r="S48" s="753">
        <f t="shared" ca="1" si="40"/>
        <v>-8263.3360289994216</v>
      </c>
      <c r="T48" s="753">
        <f t="shared" ca="1" si="40"/>
        <v>-8360.1403240603322</v>
      </c>
      <c r="U48" s="753">
        <f t="shared" ca="1" si="40"/>
        <v>-8458.0786733954719</v>
      </c>
      <c r="V48" s="753">
        <f t="shared" ca="1" si="40"/>
        <v>-8557.1643623564341</v>
      </c>
      <c r="W48" s="753">
        <f t="shared" ca="1" si="40"/>
        <v>-8657.4108319316165</v>
      </c>
      <c r="X48" s="753">
        <f t="shared" ca="1" si="40"/>
        <v>-8758.8316805694631</v>
      </c>
      <c r="Y48" s="753">
        <f t="shared" ca="1" si="40"/>
        <v>-8861.4406660231052</v>
      </c>
      <c r="Z48" s="753">
        <f t="shared" ca="1" si="40"/>
        <v>-8965.251707216632</v>
      </c>
      <c r="AA48" s="753">
        <f t="shared" ca="1" si="40"/>
        <v>-9070.2788861331392</v>
      </c>
      <c r="AB48" s="753">
        <f t="shared" ca="1" si="40"/>
        <v>-9176.5364497249957</v>
      </c>
      <c r="AC48" s="753">
        <f t="shared" ca="1" si="40"/>
        <v>-9284.0388118463925</v>
      </c>
      <c r="AD48" s="753">
        <f t="shared" ca="1" si="40"/>
        <v>-9392.8006786288461</v>
      </c>
      <c r="AE48" s="753">
        <f t="shared" ca="1" si="40"/>
        <v>-9502.8382050954297</v>
      </c>
      <c r="AF48" s="753">
        <f t="shared" ca="1" si="40"/>
        <v>-9614.1635252346059</v>
      </c>
      <c r="AG48" s="753">
        <f t="shared" ca="1" si="40"/>
        <v>-9726.7931389269015</v>
      </c>
      <c r="AH48" s="753">
        <f t="shared" ca="1" si="40"/>
        <v>-9840.7423192429669</v>
      </c>
      <c r="AI48" s="753">
        <f t="shared" ca="1" si="40"/>
        <v>-9956.0266998188563</v>
      </c>
      <c r="AJ48" s="753">
        <f t="shared" ca="1" si="40"/>
        <v>-10072.661770002853</v>
      </c>
      <c r="AK48" s="753">
        <f t="shared" ca="1" si="40"/>
        <v>-10190.663304327734</v>
      </c>
      <c r="AL48" s="753">
        <f t="shared" ca="1" si="40"/>
        <v>-10310.046903123994</v>
      </c>
      <c r="AM48" s="753">
        <f t="shared" ca="1" si="40"/>
        <v>-10430.829075492964</v>
      </c>
      <c r="AN48" s="753">
        <f t="shared" ca="1" si="40"/>
        <v>-10553.026192481533</v>
      </c>
      <c r="AO48" s="753">
        <f t="shared" ca="1" si="40"/>
        <v>-10676.65496017212</v>
      </c>
      <c r="AP48" s="753">
        <f t="shared" ca="1" si="40"/>
        <v>-10801.732019604337</v>
      </c>
      <c r="AQ48" s="753">
        <f t="shared" ca="1" si="40"/>
        <v>-10928.274381736157</v>
      </c>
      <c r="AR48" s="753">
        <f t="shared" ca="1" si="40"/>
        <v>-11056.299215587056</v>
      </c>
      <c r="AS48" s="753">
        <f t="shared" ca="1" si="40"/>
        <v>-11185.823893016766</v>
      </c>
      <c r="AT48" s="753">
        <f t="shared" ca="1" si="40"/>
        <v>-11316.86599483073</v>
      </c>
      <c r="AU48" s="753">
        <f t="shared" ca="1" si="40"/>
        <v>-11449.443276402484</v>
      </c>
      <c r="AV48" s="753">
        <f t="shared" ca="1" si="40"/>
        <v>-11583.573712503696</v>
      </c>
      <c r="AW48" s="753">
        <f t="shared" ca="1" si="40"/>
        <v>-11719.275495929265</v>
      </c>
      <c r="AX48" s="753">
        <f t="shared" ca="1" si="40"/>
        <v>-11856.566999683684</v>
      </c>
      <c r="AY48" s="753">
        <f t="shared" ca="1" si="40"/>
        <v>-11995.466854233127</v>
      </c>
      <c r="AZ48" s="753">
        <f t="shared" ca="1" si="40"/>
        <v>-12135.993890231159</v>
      </c>
      <c r="BA48" s="753">
        <f t="shared" ca="1" si="40"/>
        <v>0</v>
      </c>
      <c r="BB48" s="753">
        <f t="shared" ca="1" si="40"/>
        <v>0</v>
      </c>
      <c r="BC48" s="753">
        <f t="shared" ca="1" si="40"/>
        <v>0</v>
      </c>
      <c r="BD48" s="753">
        <f t="shared" ca="1" si="40"/>
        <v>0</v>
      </c>
      <c r="BE48" s="753">
        <f t="shared" ca="1" si="40"/>
        <v>0</v>
      </c>
      <c r="BF48" s="753">
        <f t="shared" ca="1" si="40"/>
        <v>0</v>
      </c>
      <c r="BG48" s="753">
        <f t="shared" ca="1" si="40"/>
        <v>0</v>
      </c>
      <c r="BH48" s="753">
        <f t="shared" ca="1" si="40"/>
        <v>0</v>
      </c>
      <c r="BI48" s="753">
        <f t="shared" ca="1" si="40"/>
        <v>0</v>
      </c>
      <c r="BJ48" s="753">
        <f t="shared" ca="1" si="40"/>
        <v>0</v>
      </c>
      <c r="BK48" s="753">
        <f t="shared" ca="1" si="40"/>
        <v>0</v>
      </c>
      <c r="BL48" s="753">
        <f t="shared" ca="1" si="40"/>
        <v>0</v>
      </c>
    </row>
    <row r="49" spans="1:64">
      <c r="A49" s="774" t="s">
        <v>541</v>
      </c>
      <c r="B49" s="701"/>
      <c r="C49" s="703"/>
      <c r="D49" s="701">
        <f ca="1">SUM(D46:D48)</f>
        <v>-534505.07346667291</v>
      </c>
      <c r="E49" s="701">
        <f t="shared" ref="E49:BL49" ca="1" si="41">SUM(E46:E48)</f>
        <v>-606261.6825289008</v>
      </c>
      <c r="F49" s="701">
        <f t="shared" ca="1" si="41"/>
        <v>-613363.98777141515</v>
      </c>
      <c r="G49" s="701">
        <f t="shared" ca="1" si="41"/>
        <v>-620549.49592978437</v>
      </c>
      <c r="H49" s="701">
        <f t="shared" ca="1" si="41"/>
        <v>-627819.18171925505</v>
      </c>
      <c r="I49" s="701">
        <f t="shared" ca="1" si="41"/>
        <v>-635174.03127378237</v>
      </c>
      <c r="J49" s="701">
        <f t="shared" ca="1" si="41"/>
        <v>-642615.04227979819</v>
      </c>
      <c r="K49" s="701">
        <f t="shared" ca="1" si="41"/>
        <v>-650143.22411154874</v>
      </c>
      <c r="L49" s="701">
        <f t="shared" ca="1" si="41"/>
        <v>-657759.59796801547</v>
      </c>
      <c r="M49" s="701">
        <f t="shared" ca="1" si="41"/>
        <v>-665465.1970114432</v>
      </c>
      <c r="N49" s="701">
        <f t="shared" ca="1" si="41"/>
        <v>-673261.06650748383</v>
      </c>
      <c r="O49" s="701">
        <f t="shared" ca="1" si="41"/>
        <v>-681148.26396699075</v>
      </c>
      <c r="P49" s="701">
        <f t="shared" ca="1" si="41"/>
        <v>-689127.85928947001</v>
      </c>
      <c r="Q49" s="701">
        <f t="shared" ca="1" si="41"/>
        <v>-697200.93490821135</v>
      </c>
      <c r="R49" s="701">
        <f t="shared" ca="1" si="41"/>
        <v>-705368.58593712025</v>
      </c>
      <c r="S49" s="701">
        <f t="shared" ca="1" si="41"/>
        <v>-713632.0625451447</v>
      </c>
      <c r="T49" s="701">
        <f t="shared" ca="1" si="41"/>
        <v>-721992.20286923496</v>
      </c>
      <c r="U49" s="701">
        <f t="shared" ca="1" si="41"/>
        <v>-730450.28154266952</v>
      </c>
      <c r="V49" s="701">
        <f t="shared" ca="1" si="41"/>
        <v>-739007.44590507296</v>
      </c>
      <c r="W49" s="701">
        <f t="shared" ca="1" si="41"/>
        <v>-747664.85673705977</v>
      </c>
      <c r="X49" s="701">
        <f t="shared" ca="1" si="41"/>
        <v>-756423.68841769139</v>
      </c>
      <c r="Y49" s="701">
        <f t="shared" ca="1" si="41"/>
        <v>-765285.12908378197</v>
      </c>
      <c r="Z49" s="701">
        <f t="shared" ca="1" si="41"/>
        <v>-774250.38079107169</v>
      </c>
      <c r="AA49" s="701">
        <f t="shared" ca="1" si="41"/>
        <v>-783320.65967728093</v>
      </c>
      <c r="AB49" s="701">
        <f t="shared" ca="1" si="41"/>
        <v>-792497.19612708339</v>
      </c>
      <c r="AC49" s="701">
        <f t="shared" ca="1" si="41"/>
        <v>-801781.23493900325</v>
      </c>
      <c r="AD49" s="701">
        <f t="shared" ca="1" si="41"/>
        <v>-811174.04615300172</v>
      </c>
      <c r="AE49" s="701">
        <f t="shared" ca="1" si="41"/>
        <v>-820677.02493713098</v>
      </c>
      <c r="AF49" s="701">
        <f t="shared" ca="1" si="41"/>
        <v>-830291.21919785242</v>
      </c>
      <c r="AG49" s="701">
        <f t="shared" ca="1" si="41"/>
        <v>-840018.05388554069</v>
      </c>
      <c r="AH49" s="701">
        <f t="shared" ca="1" si="41"/>
        <v>-849858.84800173121</v>
      </c>
      <c r="AI49" s="701">
        <f t="shared" ca="1" si="41"/>
        <v>-859814.95168683992</v>
      </c>
      <c r="AJ49" s="701">
        <f t="shared" ca="1" si="41"/>
        <v>-869887.70262040931</v>
      </c>
      <c r="AK49" s="701">
        <f t="shared" ca="1" si="41"/>
        <v>-880078.46311087359</v>
      </c>
      <c r="AL49" s="701">
        <f t="shared" ca="1" si="41"/>
        <v>-890388.58042233821</v>
      </c>
      <c r="AM49" s="701">
        <f t="shared" ca="1" si="41"/>
        <v>-900819.48030149867</v>
      </c>
      <c r="AN49" s="701">
        <f t="shared" ca="1" si="41"/>
        <v>-911372.57657249493</v>
      </c>
      <c r="AO49" s="701">
        <f t="shared" ca="1" si="41"/>
        <v>-922049.31199355598</v>
      </c>
      <c r="AP49" s="701">
        <f t="shared" ca="1" si="41"/>
        <v>-932851.12370573217</v>
      </c>
      <c r="AQ49" s="701">
        <f t="shared" ca="1" si="41"/>
        <v>-943779.480796688</v>
      </c>
      <c r="AR49" s="701">
        <f t="shared" ca="1" si="41"/>
        <v>-954835.86600447667</v>
      </c>
      <c r="AS49" s="701">
        <f t="shared" ca="1" si="41"/>
        <v>-966021.77958469104</v>
      </c>
      <c r="AT49" s="701">
        <f t="shared" ca="1" si="41"/>
        <v>-977338.73983773706</v>
      </c>
      <c r="AU49" s="701">
        <f t="shared" ca="1" si="41"/>
        <v>-988788.28013994056</v>
      </c>
      <c r="AV49" s="701">
        <f t="shared" ca="1" si="41"/>
        <v>-1000371.9528151249</v>
      </c>
      <c r="AW49" s="701">
        <f t="shared" ca="1" si="41"/>
        <v>-1012091.3290158735</v>
      </c>
      <c r="AX49" s="701">
        <f t="shared" ca="1" si="41"/>
        <v>-1023947.9954578957</v>
      </c>
      <c r="AY49" s="701">
        <f t="shared" ca="1" si="41"/>
        <v>-1035943.561091615</v>
      </c>
      <c r="AZ49" s="701">
        <f t="shared" ca="1" si="41"/>
        <v>-1048079.6521558886</v>
      </c>
      <c r="BA49" s="701">
        <f t="shared" ca="1" si="41"/>
        <v>0</v>
      </c>
      <c r="BB49" s="701">
        <f t="shared" ca="1" si="41"/>
        <v>0</v>
      </c>
      <c r="BC49" s="701">
        <f t="shared" ca="1" si="41"/>
        <v>0</v>
      </c>
      <c r="BD49" s="701">
        <f t="shared" ca="1" si="41"/>
        <v>0</v>
      </c>
      <c r="BE49" s="701">
        <f t="shared" ca="1" si="41"/>
        <v>0</v>
      </c>
      <c r="BF49" s="701">
        <f t="shared" ca="1" si="41"/>
        <v>0</v>
      </c>
      <c r="BG49" s="701">
        <f t="shared" ca="1" si="41"/>
        <v>0</v>
      </c>
      <c r="BH49" s="701">
        <f t="shared" ca="1" si="41"/>
        <v>0</v>
      </c>
      <c r="BI49" s="701">
        <f t="shared" ca="1" si="41"/>
        <v>0</v>
      </c>
      <c r="BJ49" s="701">
        <f t="shared" ca="1" si="41"/>
        <v>0</v>
      </c>
      <c r="BK49" s="701">
        <f t="shared" ca="1" si="41"/>
        <v>0</v>
      </c>
      <c r="BL49" s="701">
        <f t="shared" ca="1" si="41"/>
        <v>0</v>
      </c>
    </row>
    <row r="50" spans="1:64">
      <c r="A50" s="774" t="s">
        <v>639</v>
      </c>
      <c r="B50" s="701">
        <f ca="1">SUM(D50:BL50)</f>
        <v>12135.993890377096</v>
      </c>
      <c r="C50" s="699"/>
      <c r="D50" s="701">
        <f t="shared" ref="D50:BL50" si="42">IF(D42&gt;0,IF(D42&gt;-D48,-D48,D42),0)</f>
        <v>0</v>
      </c>
      <c r="E50" s="701">
        <f t="shared" ca="1" si="42"/>
        <v>0</v>
      </c>
      <c r="F50" s="701">
        <f t="shared" ca="1" si="42"/>
        <v>0</v>
      </c>
      <c r="G50" s="701">
        <f t="shared" ca="1" si="42"/>
        <v>0</v>
      </c>
      <c r="H50" s="701">
        <f t="shared" ca="1" si="42"/>
        <v>0</v>
      </c>
      <c r="I50" s="701">
        <f t="shared" ca="1" si="42"/>
        <v>0</v>
      </c>
      <c r="J50" s="701">
        <f t="shared" ca="1" si="42"/>
        <v>0</v>
      </c>
      <c r="K50" s="701">
        <f t="shared" ca="1" si="42"/>
        <v>0</v>
      </c>
      <c r="L50" s="701">
        <f t="shared" ca="1" si="42"/>
        <v>0</v>
      </c>
      <c r="M50" s="701">
        <f t="shared" ca="1" si="42"/>
        <v>0</v>
      </c>
      <c r="N50" s="701">
        <f t="shared" ca="1" si="42"/>
        <v>0</v>
      </c>
      <c r="O50" s="701">
        <f t="shared" ca="1" si="42"/>
        <v>0</v>
      </c>
      <c r="P50" s="701">
        <f t="shared" ca="1" si="42"/>
        <v>0</v>
      </c>
      <c r="Q50" s="701">
        <f t="shared" ca="1" si="42"/>
        <v>0</v>
      </c>
      <c r="R50" s="701">
        <f t="shared" ca="1" si="42"/>
        <v>0</v>
      </c>
      <c r="S50" s="701">
        <f t="shared" ca="1" si="42"/>
        <v>0</v>
      </c>
      <c r="T50" s="701">
        <f t="shared" ca="1" si="42"/>
        <v>0</v>
      </c>
      <c r="U50" s="701">
        <f t="shared" ca="1" si="42"/>
        <v>0</v>
      </c>
      <c r="V50" s="701">
        <f t="shared" ca="1" si="42"/>
        <v>0</v>
      </c>
      <c r="W50" s="701">
        <f t="shared" ca="1" si="42"/>
        <v>0</v>
      </c>
      <c r="X50" s="701">
        <f t="shared" ca="1" si="42"/>
        <v>0</v>
      </c>
      <c r="Y50" s="701">
        <f t="shared" ca="1" si="42"/>
        <v>0</v>
      </c>
      <c r="Z50" s="701">
        <f t="shared" ca="1" si="42"/>
        <v>0</v>
      </c>
      <c r="AA50" s="701">
        <f t="shared" ca="1" si="42"/>
        <v>0</v>
      </c>
      <c r="AB50" s="701">
        <f t="shared" ca="1" si="42"/>
        <v>0</v>
      </c>
      <c r="AC50" s="701">
        <f t="shared" ca="1" si="42"/>
        <v>0</v>
      </c>
      <c r="AD50" s="701">
        <f t="shared" ca="1" si="42"/>
        <v>0</v>
      </c>
      <c r="AE50" s="701">
        <f t="shared" ca="1" si="42"/>
        <v>0</v>
      </c>
      <c r="AF50" s="701">
        <f t="shared" ca="1" si="42"/>
        <v>0</v>
      </c>
      <c r="AG50" s="701">
        <f t="shared" ca="1" si="42"/>
        <v>0</v>
      </c>
      <c r="AH50" s="701">
        <f t="shared" ca="1" si="42"/>
        <v>0</v>
      </c>
      <c r="AI50" s="701">
        <f t="shared" ca="1" si="42"/>
        <v>0</v>
      </c>
      <c r="AJ50" s="701">
        <f t="shared" ca="1" si="42"/>
        <v>0</v>
      </c>
      <c r="AK50" s="701">
        <f t="shared" ca="1" si="42"/>
        <v>0</v>
      </c>
      <c r="AL50" s="701">
        <f t="shared" ca="1" si="42"/>
        <v>0</v>
      </c>
      <c r="AM50" s="701">
        <f t="shared" ca="1" si="42"/>
        <v>0</v>
      </c>
      <c r="AN50" s="701">
        <f t="shared" ca="1" si="42"/>
        <v>0</v>
      </c>
      <c r="AO50" s="701">
        <f t="shared" ca="1" si="42"/>
        <v>0</v>
      </c>
      <c r="AP50" s="701">
        <f t="shared" ca="1" si="42"/>
        <v>0</v>
      </c>
      <c r="AQ50" s="701">
        <f t="shared" ca="1" si="42"/>
        <v>0</v>
      </c>
      <c r="AR50" s="701">
        <f t="shared" ca="1" si="42"/>
        <v>0</v>
      </c>
      <c r="AS50" s="701">
        <f t="shared" ca="1" si="42"/>
        <v>0</v>
      </c>
      <c r="AT50" s="701">
        <f t="shared" ca="1" si="42"/>
        <v>0</v>
      </c>
      <c r="AU50" s="701">
        <f t="shared" ca="1" si="42"/>
        <v>0</v>
      </c>
      <c r="AV50" s="701">
        <f t="shared" ca="1" si="42"/>
        <v>0</v>
      </c>
      <c r="AW50" s="701">
        <f t="shared" ca="1" si="42"/>
        <v>0</v>
      </c>
      <c r="AX50" s="701">
        <f t="shared" ca="1" si="42"/>
        <v>0</v>
      </c>
      <c r="AY50" s="701">
        <f t="shared" ca="1" si="42"/>
        <v>0</v>
      </c>
      <c r="AZ50" s="701">
        <f t="shared" ca="1" si="42"/>
        <v>12135.993890231159</v>
      </c>
      <c r="BA50" s="701">
        <f t="shared" ca="1" si="42"/>
        <v>0</v>
      </c>
      <c r="BB50" s="701">
        <f t="shared" ca="1" si="42"/>
        <v>0</v>
      </c>
      <c r="BC50" s="701">
        <f t="shared" ca="1" si="42"/>
        <v>0</v>
      </c>
      <c r="BD50" s="701">
        <f t="shared" ca="1" si="42"/>
        <v>0</v>
      </c>
      <c r="BE50" s="701">
        <f t="shared" ca="1" si="42"/>
        <v>0</v>
      </c>
      <c r="BF50" s="701">
        <f t="shared" ca="1" si="42"/>
        <v>0</v>
      </c>
      <c r="BG50" s="701">
        <f t="shared" ca="1" si="42"/>
        <v>0</v>
      </c>
      <c r="BH50" s="701">
        <f t="shared" ca="1" si="42"/>
        <v>0</v>
      </c>
      <c r="BI50" s="701">
        <f t="shared" ca="1" si="42"/>
        <v>0</v>
      </c>
      <c r="BJ50" s="701">
        <f t="shared" ca="1" si="42"/>
        <v>0</v>
      </c>
      <c r="BK50" s="701">
        <f t="shared" ca="1" si="42"/>
        <v>0</v>
      </c>
      <c r="BL50" s="701">
        <f t="shared" ca="1" si="42"/>
        <v>0</v>
      </c>
    </row>
    <row r="51" spans="1:64">
      <c r="A51" s="774" t="s">
        <v>640</v>
      </c>
      <c r="B51" s="701">
        <f ca="1">SUM(D51:BL51)</f>
        <v>1035941.6629911035</v>
      </c>
      <c r="C51" s="699"/>
      <c r="D51" s="701">
        <v>0</v>
      </c>
      <c r="E51" s="701">
        <f ca="1">IF(E42-E50&gt;-D52,-D52,E42-E50)</f>
        <v>0</v>
      </c>
      <c r="F51" s="701">
        <f t="shared" ref="F51:BL51" ca="1" si="43">IF(F42-F50&gt;-E52,-E52,F42-F50)</f>
        <v>0</v>
      </c>
      <c r="G51" s="701">
        <f t="shared" ca="1" si="43"/>
        <v>0</v>
      </c>
      <c r="H51" s="701">
        <f t="shared" ca="1" si="43"/>
        <v>0</v>
      </c>
      <c r="I51" s="701">
        <f t="shared" ca="1" si="43"/>
        <v>0</v>
      </c>
      <c r="J51" s="701">
        <f t="shared" ca="1" si="43"/>
        <v>0</v>
      </c>
      <c r="K51" s="701">
        <f t="shared" ca="1" si="43"/>
        <v>0</v>
      </c>
      <c r="L51" s="701">
        <f t="shared" ca="1" si="43"/>
        <v>0</v>
      </c>
      <c r="M51" s="701">
        <f t="shared" ca="1" si="43"/>
        <v>0</v>
      </c>
      <c r="N51" s="701">
        <f t="shared" ca="1" si="43"/>
        <v>0</v>
      </c>
      <c r="O51" s="701">
        <f t="shared" ca="1" si="43"/>
        <v>0</v>
      </c>
      <c r="P51" s="701">
        <f t="shared" ca="1" si="43"/>
        <v>0</v>
      </c>
      <c r="Q51" s="701">
        <f t="shared" ca="1" si="43"/>
        <v>0</v>
      </c>
      <c r="R51" s="701">
        <f t="shared" ca="1" si="43"/>
        <v>-0.14057900302577764</v>
      </c>
      <c r="S51" s="701">
        <f t="shared" ca="1" si="43"/>
        <v>0</v>
      </c>
      <c r="T51" s="701">
        <f t="shared" ca="1" si="43"/>
        <v>0</v>
      </c>
      <c r="U51" s="701">
        <f t="shared" ca="1" si="43"/>
        <v>0</v>
      </c>
      <c r="V51" s="701">
        <f t="shared" ca="1" si="43"/>
        <v>0</v>
      </c>
      <c r="W51" s="701">
        <f t="shared" ca="1" si="43"/>
        <v>0</v>
      </c>
      <c r="X51" s="701">
        <f t="shared" ca="1" si="43"/>
        <v>0</v>
      </c>
      <c r="Y51" s="701">
        <f t="shared" ca="1" si="43"/>
        <v>0</v>
      </c>
      <c r="Z51" s="701">
        <f t="shared" ca="1" si="43"/>
        <v>0</v>
      </c>
      <c r="AA51" s="701">
        <f t="shared" ca="1" si="43"/>
        <v>0</v>
      </c>
      <c r="AB51" s="701">
        <f t="shared" ca="1" si="43"/>
        <v>0</v>
      </c>
      <c r="AC51" s="701">
        <f t="shared" ca="1" si="43"/>
        <v>-1.0535310502746142E-2</v>
      </c>
      <c r="AD51" s="701">
        <f t="shared" ca="1" si="43"/>
        <v>-0.14057900305488147</v>
      </c>
      <c r="AE51" s="701">
        <f t="shared" ca="1" si="43"/>
        <v>-3.0735506676137447E-2</v>
      </c>
      <c r="AF51" s="701">
        <f t="shared" ca="1" si="43"/>
        <v>-4.1548858134774491E-2</v>
      </c>
      <c r="AG51" s="701">
        <f t="shared" ca="1" si="43"/>
        <v>-5.1797160085698124E-2</v>
      </c>
      <c r="AH51" s="701">
        <f t="shared" ca="1" si="43"/>
        <v>-7.6985652973235119E-2</v>
      </c>
      <c r="AI51" s="701">
        <f t="shared" ca="1" si="43"/>
        <v>-8.9164118267945014E-2</v>
      </c>
      <c r="AJ51" s="701">
        <f t="shared" ca="1" si="43"/>
        <v>-9.7186898157815449E-2</v>
      </c>
      <c r="AK51" s="701">
        <f t="shared" ca="1" si="43"/>
        <v>-7.0409316809673328E-2</v>
      </c>
      <c r="AL51" s="701">
        <f t="shared" ca="1" si="43"/>
        <v>-7.0804834656883031E-2</v>
      </c>
      <c r="AM51" s="701">
        <f t="shared" ca="1" si="43"/>
        <v>-7.0079820899991319E-2</v>
      </c>
      <c r="AN51" s="701">
        <f t="shared" ca="1" si="43"/>
        <v>-8.0462262754736003E-2</v>
      </c>
      <c r="AO51" s="701">
        <f t="shared" ca="1" si="43"/>
        <v>-7.9693940228025895E-2</v>
      </c>
      <c r="AP51" s="701">
        <f t="shared" ca="1" si="43"/>
        <v>-8.2710518312524073E-2</v>
      </c>
      <c r="AQ51" s="701">
        <f t="shared" ca="1" si="43"/>
        <v>-8.5993392771342769E-2</v>
      </c>
      <c r="AR51" s="701">
        <f t="shared" ca="1" si="43"/>
        <v>-8.9688267966266721E-2</v>
      </c>
      <c r="AS51" s="701">
        <f t="shared" ca="1" si="43"/>
        <v>-9.4259135003085248E-2</v>
      </c>
      <c r="AT51" s="701">
        <f t="shared" ca="1" si="43"/>
        <v>-9.7026467905379832E-2</v>
      </c>
      <c r="AU51" s="701">
        <f t="shared" ca="1" si="43"/>
        <v>-9.8962860676692799E-2</v>
      </c>
      <c r="AV51" s="701">
        <f t="shared" ca="1" si="43"/>
        <v>-0.10070408204046544</v>
      </c>
      <c r="AW51" s="701">
        <f t="shared" ca="1" si="43"/>
        <v>-9.9440020028850995E-2</v>
      </c>
      <c r="AX51" s="701">
        <f t="shared" ca="1" si="43"/>
        <v>-9.8774722267990001E-2</v>
      </c>
      <c r="AY51" s="701">
        <f t="shared" ca="1" si="43"/>
        <v>-9.7165858300286345E-2</v>
      </c>
      <c r="AZ51" s="701">
        <f t="shared" ca="1" si="43"/>
        <v>1035943.6582656575</v>
      </c>
      <c r="BA51" s="701">
        <f t="shared" ca="1" si="43"/>
        <v>0</v>
      </c>
      <c r="BB51" s="701">
        <f t="shared" ca="1" si="43"/>
        <v>0</v>
      </c>
      <c r="BC51" s="701">
        <f t="shared" ca="1" si="43"/>
        <v>0</v>
      </c>
      <c r="BD51" s="701">
        <f t="shared" ca="1" si="43"/>
        <v>0</v>
      </c>
      <c r="BE51" s="701">
        <f t="shared" ca="1" si="43"/>
        <v>0</v>
      </c>
      <c r="BF51" s="701">
        <f t="shared" ca="1" si="43"/>
        <v>0</v>
      </c>
      <c r="BG51" s="701">
        <f t="shared" ca="1" si="43"/>
        <v>0</v>
      </c>
      <c r="BH51" s="701">
        <f t="shared" ca="1" si="43"/>
        <v>0</v>
      </c>
      <c r="BI51" s="701">
        <f t="shared" ca="1" si="43"/>
        <v>0</v>
      </c>
      <c r="BJ51" s="701">
        <f t="shared" ca="1" si="43"/>
        <v>0</v>
      </c>
      <c r="BK51" s="701">
        <f t="shared" ca="1" si="43"/>
        <v>0</v>
      </c>
      <c r="BL51" s="701">
        <f t="shared" ca="1" si="43"/>
        <v>0</v>
      </c>
    </row>
    <row r="52" spans="1:64">
      <c r="A52" s="774" t="s">
        <v>641</v>
      </c>
      <c r="B52" s="701"/>
      <c r="C52" s="703"/>
      <c r="D52" s="754">
        <f ca="1">SUM(D49:D51)</f>
        <v>-534505.07346667291</v>
      </c>
      <c r="E52" s="754">
        <f ca="1">SUM(E49:E51)</f>
        <v>-606261.6825289008</v>
      </c>
      <c r="F52" s="754">
        <f t="shared" ref="F52:BL52" ca="1" si="44">SUM(F49:F51)</f>
        <v>-613363.98777141515</v>
      </c>
      <c r="G52" s="754">
        <f t="shared" ca="1" si="44"/>
        <v>-620549.49592978437</v>
      </c>
      <c r="H52" s="754">
        <f t="shared" ca="1" si="44"/>
        <v>-627819.18171925505</v>
      </c>
      <c r="I52" s="754">
        <f t="shared" ca="1" si="44"/>
        <v>-635174.03127378237</v>
      </c>
      <c r="J52" s="754">
        <f t="shared" ca="1" si="44"/>
        <v>-642615.04227979819</v>
      </c>
      <c r="K52" s="754">
        <f t="shared" ca="1" si="44"/>
        <v>-650143.22411154874</v>
      </c>
      <c r="L52" s="754">
        <f t="shared" ca="1" si="44"/>
        <v>-657759.59796801547</v>
      </c>
      <c r="M52" s="754">
        <f t="shared" ca="1" si="44"/>
        <v>-665465.1970114432</v>
      </c>
      <c r="N52" s="754">
        <f t="shared" ca="1" si="44"/>
        <v>-673261.06650748383</v>
      </c>
      <c r="O52" s="754">
        <f t="shared" ca="1" si="44"/>
        <v>-681148.26396699075</v>
      </c>
      <c r="P52" s="754">
        <f t="shared" ca="1" si="44"/>
        <v>-689127.85928947001</v>
      </c>
      <c r="Q52" s="754">
        <f t="shared" ca="1" si="44"/>
        <v>-697200.93490821135</v>
      </c>
      <c r="R52" s="754">
        <f t="shared" ca="1" si="44"/>
        <v>-705368.72651612328</v>
      </c>
      <c r="S52" s="754">
        <f t="shared" ca="1" si="44"/>
        <v>-713632.0625451447</v>
      </c>
      <c r="T52" s="754">
        <f t="shared" ca="1" si="44"/>
        <v>-721992.20286923496</v>
      </c>
      <c r="U52" s="754">
        <f t="shared" ca="1" si="44"/>
        <v>-730450.28154266952</v>
      </c>
      <c r="V52" s="754">
        <f t="shared" ca="1" si="44"/>
        <v>-739007.44590507296</v>
      </c>
      <c r="W52" s="754">
        <f t="shared" ca="1" si="44"/>
        <v>-747664.85673705977</v>
      </c>
      <c r="X52" s="754">
        <f t="shared" ca="1" si="44"/>
        <v>-756423.68841769139</v>
      </c>
      <c r="Y52" s="754">
        <f t="shared" ca="1" si="44"/>
        <v>-765285.12908378197</v>
      </c>
      <c r="Z52" s="754">
        <f t="shared" ca="1" si="44"/>
        <v>-774250.38079107169</v>
      </c>
      <c r="AA52" s="754">
        <f t="shared" ca="1" si="44"/>
        <v>-783320.65967728093</v>
      </c>
      <c r="AB52" s="754">
        <f t="shared" ca="1" si="44"/>
        <v>-792497.19612708339</v>
      </c>
      <c r="AC52" s="754">
        <f t="shared" ca="1" si="44"/>
        <v>-801781.24547431374</v>
      </c>
      <c r="AD52" s="754">
        <f t="shared" ca="1" si="44"/>
        <v>-811174.18673200475</v>
      </c>
      <c r="AE52" s="754">
        <f t="shared" ca="1" si="44"/>
        <v>-820677.05567263765</v>
      </c>
      <c r="AF52" s="754">
        <f t="shared" ca="1" si="44"/>
        <v>-830291.26074671058</v>
      </c>
      <c r="AG52" s="754">
        <f t="shared" ca="1" si="44"/>
        <v>-840018.10568270076</v>
      </c>
      <c r="AH52" s="754">
        <f t="shared" ca="1" si="44"/>
        <v>-849858.92498738423</v>
      </c>
      <c r="AI52" s="754">
        <f t="shared" ca="1" si="44"/>
        <v>-859815.0408509582</v>
      </c>
      <c r="AJ52" s="754">
        <f t="shared" ca="1" si="44"/>
        <v>-869887.79980730743</v>
      </c>
      <c r="AK52" s="754">
        <f t="shared" ca="1" si="44"/>
        <v>-880078.53352019039</v>
      </c>
      <c r="AL52" s="754">
        <f t="shared" ca="1" si="44"/>
        <v>-890388.65122717293</v>
      </c>
      <c r="AM52" s="754">
        <f t="shared" ca="1" si="44"/>
        <v>-900819.5503813196</v>
      </c>
      <c r="AN52" s="754">
        <f t="shared" ca="1" si="44"/>
        <v>-911372.65703475766</v>
      </c>
      <c r="AO52" s="754">
        <f t="shared" ca="1" si="44"/>
        <v>-922049.39168749622</v>
      </c>
      <c r="AP52" s="754">
        <f t="shared" ca="1" si="44"/>
        <v>-932851.20641625044</v>
      </c>
      <c r="AQ52" s="754">
        <f t="shared" ca="1" si="44"/>
        <v>-943779.56679008075</v>
      </c>
      <c r="AR52" s="754">
        <f t="shared" ca="1" si="44"/>
        <v>-954835.95569274458</v>
      </c>
      <c r="AS52" s="754">
        <f t="shared" ca="1" si="44"/>
        <v>-966021.873843826</v>
      </c>
      <c r="AT52" s="754">
        <f t="shared" ca="1" si="44"/>
        <v>-977338.83686420496</v>
      </c>
      <c r="AU52" s="754">
        <f t="shared" ca="1" si="44"/>
        <v>-988788.37910280121</v>
      </c>
      <c r="AV52" s="754">
        <f t="shared" ca="1" si="44"/>
        <v>-1000372.0535192069</v>
      </c>
      <c r="AW52" s="754">
        <f t="shared" ca="1" si="44"/>
        <v>-1012091.4284558935</v>
      </c>
      <c r="AX52" s="754">
        <f t="shared" ca="1" si="44"/>
        <v>-1023948.094232618</v>
      </c>
      <c r="AY52" s="754">
        <f t="shared" ca="1" si="44"/>
        <v>-1035943.6582574733</v>
      </c>
      <c r="AZ52" s="754">
        <f t="shared" ca="1" si="44"/>
        <v>0</v>
      </c>
      <c r="BA52" s="754">
        <f t="shared" ca="1" si="44"/>
        <v>0</v>
      </c>
      <c r="BB52" s="754">
        <f t="shared" ca="1" si="44"/>
        <v>0</v>
      </c>
      <c r="BC52" s="754">
        <f t="shared" ca="1" si="44"/>
        <v>0</v>
      </c>
      <c r="BD52" s="754">
        <f t="shared" ca="1" si="44"/>
        <v>0</v>
      </c>
      <c r="BE52" s="754">
        <f t="shared" ca="1" si="44"/>
        <v>0</v>
      </c>
      <c r="BF52" s="754">
        <f t="shared" ca="1" si="44"/>
        <v>0</v>
      </c>
      <c r="BG52" s="754">
        <f t="shared" ca="1" si="44"/>
        <v>0</v>
      </c>
      <c r="BH52" s="754">
        <f t="shared" ca="1" si="44"/>
        <v>0</v>
      </c>
      <c r="BI52" s="754">
        <f t="shared" ca="1" si="44"/>
        <v>0</v>
      </c>
      <c r="BJ52" s="754">
        <f t="shared" ca="1" si="44"/>
        <v>0</v>
      </c>
      <c r="BK52" s="754">
        <f t="shared" ca="1" si="44"/>
        <v>0</v>
      </c>
      <c r="BL52" s="754">
        <f t="shared" ca="1" si="44"/>
        <v>0</v>
      </c>
    </row>
    <row r="53" spans="1:64">
      <c r="A53" s="774" t="s">
        <v>642</v>
      </c>
      <c r="B53" s="701"/>
      <c r="C53" s="699"/>
      <c r="D53" s="754">
        <f>SUM(D50:D51)</f>
        <v>0</v>
      </c>
      <c r="E53" s="754">
        <f ca="1">SUM(E50:E51)</f>
        <v>0</v>
      </c>
      <c r="F53" s="754">
        <f t="shared" ref="F53:BL53" ca="1" si="45">SUM(F50:F51)</f>
        <v>0</v>
      </c>
      <c r="G53" s="754">
        <f t="shared" ca="1" si="45"/>
        <v>0</v>
      </c>
      <c r="H53" s="754">
        <f t="shared" ca="1" si="45"/>
        <v>0</v>
      </c>
      <c r="I53" s="754">
        <f t="shared" ca="1" si="45"/>
        <v>0</v>
      </c>
      <c r="J53" s="754">
        <f t="shared" ca="1" si="45"/>
        <v>0</v>
      </c>
      <c r="K53" s="754">
        <f t="shared" ca="1" si="45"/>
        <v>0</v>
      </c>
      <c r="L53" s="754">
        <f t="shared" ca="1" si="45"/>
        <v>0</v>
      </c>
      <c r="M53" s="754">
        <f t="shared" ca="1" si="45"/>
        <v>0</v>
      </c>
      <c r="N53" s="754">
        <f t="shared" ca="1" si="45"/>
        <v>0</v>
      </c>
      <c r="O53" s="754">
        <f t="shared" ca="1" si="45"/>
        <v>0</v>
      </c>
      <c r="P53" s="754">
        <f t="shared" ca="1" si="45"/>
        <v>0</v>
      </c>
      <c r="Q53" s="754">
        <f t="shared" ca="1" si="45"/>
        <v>0</v>
      </c>
      <c r="R53" s="754">
        <f t="shared" ca="1" si="45"/>
        <v>-0.14057900302577764</v>
      </c>
      <c r="S53" s="754">
        <f t="shared" ca="1" si="45"/>
        <v>0</v>
      </c>
      <c r="T53" s="754">
        <f t="shared" ca="1" si="45"/>
        <v>0</v>
      </c>
      <c r="U53" s="754">
        <f t="shared" ca="1" si="45"/>
        <v>0</v>
      </c>
      <c r="V53" s="754">
        <f t="shared" ca="1" si="45"/>
        <v>0</v>
      </c>
      <c r="W53" s="754">
        <f t="shared" ca="1" si="45"/>
        <v>0</v>
      </c>
      <c r="X53" s="754">
        <f t="shared" ca="1" si="45"/>
        <v>0</v>
      </c>
      <c r="Y53" s="754">
        <f t="shared" ca="1" si="45"/>
        <v>0</v>
      </c>
      <c r="Z53" s="754">
        <f t="shared" ca="1" si="45"/>
        <v>0</v>
      </c>
      <c r="AA53" s="754">
        <f t="shared" ca="1" si="45"/>
        <v>0</v>
      </c>
      <c r="AB53" s="754">
        <f t="shared" ca="1" si="45"/>
        <v>0</v>
      </c>
      <c r="AC53" s="754">
        <f t="shared" ca="1" si="45"/>
        <v>-1.0535310502746142E-2</v>
      </c>
      <c r="AD53" s="754">
        <f t="shared" ca="1" si="45"/>
        <v>-0.14057900305488147</v>
      </c>
      <c r="AE53" s="754">
        <f t="shared" ca="1" si="45"/>
        <v>-3.0735506676137447E-2</v>
      </c>
      <c r="AF53" s="754">
        <f t="shared" ca="1" si="45"/>
        <v>-4.1548858134774491E-2</v>
      </c>
      <c r="AG53" s="754">
        <f t="shared" ca="1" si="45"/>
        <v>-5.1797160085698124E-2</v>
      </c>
      <c r="AH53" s="754">
        <f t="shared" ca="1" si="45"/>
        <v>-7.6985652973235119E-2</v>
      </c>
      <c r="AI53" s="754">
        <f t="shared" ca="1" si="45"/>
        <v>-8.9164118267945014E-2</v>
      </c>
      <c r="AJ53" s="754">
        <f t="shared" ca="1" si="45"/>
        <v>-9.7186898157815449E-2</v>
      </c>
      <c r="AK53" s="754">
        <f t="shared" ca="1" si="45"/>
        <v>-7.0409316809673328E-2</v>
      </c>
      <c r="AL53" s="754">
        <f t="shared" ca="1" si="45"/>
        <v>-7.0804834656883031E-2</v>
      </c>
      <c r="AM53" s="754">
        <f t="shared" ca="1" si="45"/>
        <v>-7.0079820899991319E-2</v>
      </c>
      <c r="AN53" s="754">
        <f t="shared" ca="1" si="45"/>
        <v>-8.0462262754736003E-2</v>
      </c>
      <c r="AO53" s="754">
        <f t="shared" ca="1" si="45"/>
        <v>-7.9693940228025895E-2</v>
      </c>
      <c r="AP53" s="754">
        <f t="shared" ca="1" si="45"/>
        <v>-8.2710518312524073E-2</v>
      </c>
      <c r="AQ53" s="754">
        <f t="shared" ca="1" si="45"/>
        <v>-8.5993392771342769E-2</v>
      </c>
      <c r="AR53" s="754">
        <f t="shared" ca="1" si="45"/>
        <v>-8.9688267966266721E-2</v>
      </c>
      <c r="AS53" s="754">
        <f t="shared" ca="1" si="45"/>
        <v>-9.4259135003085248E-2</v>
      </c>
      <c r="AT53" s="754">
        <f t="shared" ca="1" si="45"/>
        <v>-9.7026467905379832E-2</v>
      </c>
      <c r="AU53" s="754">
        <f t="shared" ca="1" si="45"/>
        <v>-9.8962860676692799E-2</v>
      </c>
      <c r="AV53" s="754">
        <f t="shared" ca="1" si="45"/>
        <v>-0.10070408204046544</v>
      </c>
      <c r="AW53" s="754">
        <f t="shared" ca="1" si="45"/>
        <v>-9.9440020028850995E-2</v>
      </c>
      <c r="AX53" s="754">
        <f t="shared" ca="1" si="45"/>
        <v>-9.8774722267990001E-2</v>
      </c>
      <c r="AY53" s="754">
        <f t="shared" ca="1" si="45"/>
        <v>-9.7165858300286345E-2</v>
      </c>
      <c r="AZ53" s="754">
        <f t="shared" ca="1" si="45"/>
        <v>1048079.6521558886</v>
      </c>
      <c r="BA53" s="754">
        <f t="shared" ca="1" si="45"/>
        <v>0</v>
      </c>
      <c r="BB53" s="754">
        <f t="shared" ca="1" si="45"/>
        <v>0</v>
      </c>
      <c r="BC53" s="754">
        <f t="shared" ca="1" si="45"/>
        <v>0</v>
      </c>
      <c r="BD53" s="754">
        <f t="shared" ca="1" si="45"/>
        <v>0</v>
      </c>
      <c r="BE53" s="754">
        <f t="shared" ca="1" si="45"/>
        <v>0</v>
      </c>
      <c r="BF53" s="754">
        <f t="shared" ca="1" si="45"/>
        <v>0</v>
      </c>
      <c r="BG53" s="754">
        <f t="shared" ca="1" si="45"/>
        <v>0</v>
      </c>
      <c r="BH53" s="754">
        <f t="shared" ca="1" si="45"/>
        <v>0</v>
      </c>
      <c r="BI53" s="754">
        <f t="shared" ca="1" si="45"/>
        <v>0</v>
      </c>
      <c r="BJ53" s="754">
        <f t="shared" ca="1" si="45"/>
        <v>0</v>
      </c>
      <c r="BK53" s="754">
        <f t="shared" ca="1" si="45"/>
        <v>0</v>
      </c>
      <c r="BL53" s="754">
        <f t="shared" ca="1" si="45"/>
        <v>0</v>
      </c>
    </row>
    <row r="54" spans="1:64">
      <c r="A54" s="776" t="s">
        <v>682</v>
      </c>
      <c r="B54" s="755"/>
      <c r="C54" s="703"/>
      <c r="D54" s="756">
        <f>D42-D53</f>
        <v>0</v>
      </c>
      <c r="E54" s="756">
        <f ca="1">E42-E53</f>
        <v>0</v>
      </c>
      <c r="F54" s="756">
        <f t="shared" ref="F54:BL54" ca="1" si="46">F42-F53</f>
        <v>0</v>
      </c>
      <c r="G54" s="756">
        <f t="shared" ca="1" si="46"/>
        <v>0</v>
      </c>
      <c r="H54" s="756">
        <f t="shared" ca="1" si="46"/>
        <v>0</v>
      </c>
      <c r="I54" s="756">
        <f t="shared" ca="1" si="46"/>
        <v>0</v>
      </c>
      <c r="J54" s="756">
        <f t="shared" ca="1" si="46"/>
        <v>0</v>
      </c>
      <c r="K54" s="756">
        <f t="shared" ca="1" si="46"/>
        <v>0</v>
      </c>
      <c r="L54" s="756">
        <f t="shared" ca="1" si="46"/>
        <v>0</v>
      </c>
      <c r="M54" s="756">
        <f t="shared" ca="1" si="46"/>
        <v>0</v>
      </c>
      <c r="N54" s="756">
        <f t="shared" ca="1" si="46"/>
        <v>0</v>
      </c>
      <c r="O54" s="756">
        <f t="shared" ca="1" si="46"/>
        <v>0</v>
      </c>
      <c r="P54" s="756">
        <f t="shared" ca="1" si="46"/>
        <v>0</v>
      </c>
      <c r="Q54" s="756">
        <f t="shared" ca="1" si="46"/>
        <v>0</v>
      </c>
      <c r="R54" s="756">
        <f t="shared" ca="1" si="46"/>
        <v>0</v>
      </c>
      <c r="S54" s="756">
        <f t="shared" ca="1" si="46"/>
        <v>0</v>
      </c>
      <c r="T54" s="756">
        <f t="shared" ca="1" si="46"/>
        <v>0</v>
      </c>
      <c r="U54" s="756">
        <f t="shared" ca="1" si="46"/>
        <v>0</v>
      </c>
      <c r="V54" s="756">
        <f t="shared" ca="1" si="46"/>
        <v>0</v>
      </c>
      <c r="W54" s="756">
        <f t="shared" ca="1" si="46"/>
        <v>0</v>
      </c>
      <c r="X54" s="756">
        <f t="shared" ca="1" si="46"/>
        <v>0</v>
      </c>
      <c r="Y54" s="756">
        <f t="shared" ca="1" si="46"/>
        <v>0</v>
      </c>
      <c r="Z54" s="756">
        <f t="shared" ca="1" si="46"/>
        <v>0</v>
      </c>
      <c r="AA54" s="756">
        <f t="shared" ca="1" si="46"/>
        <v>0</v>
      </c>
      <c r="AB54" s="756">
        <f t="shared" ca="1" si="46"/>
        <v>0</v>
      </c>
      <c r="AC54" s="756">
        <f t="shared" ca="1" si="46"/>
        <v>0</v>
      </c>
      <c r="AD54" s="756">
        <f t="shared" ca="1" si="46"/>
        <v>0</v>
      </c>
      <c r="AE54" s="756">
        <f t="shared" ca="1" si="46"/>
        <v>0</v>
      </c>
      <c r="AF54" s="756">
        <f t="shared" ca="1" si="46"/>
        <v>0</v>
      </c>
      <c r="AG54" s="756">
        <f t="shared" ca="1" si="46"/>
        <v>0</v>
      </c>
      <c r="AH54" s="756">
        <f t="shared" ca="1" si="46"/>
        <v>0</v>
      </c>
      <c r="AI54" s="756">
        <f t="shared" ca="1" si="46"/>
        <v>0</v>
      </c>
      <c r="AJ54" s="756">
        <f t="shared" ca="1" si="46"/>
        <v>0</v>
      </c>
      <c r="AK54" s="756">
        <f t="shared" ca="1" si="46"/>
        <v>0</v>
      </c>
      <c r="AL54" s="756">
        <f t="shared" ca="1" si="46"/>
        <v>0</v>
      </c>
      <c r="AM54" s="756">
        <f t="shared" ca="1" si="46"/>
        <v>0</v>
      </c>
      <c r="AN54" s="756">
        <f t="shared" ca="1" si="46"/>
        <v>0</v>
      </c>
      <c r="AO54" s="756">
        <f t="shared" ca="1" si="46"/>
        <v>0</v>
      </c>
      <c r="AP54" s="756">
        <f t="shared" ca="1" si="46"/>
        <v>0</v>
      </c>
      <c r="AQ54" s="756">
        <f t="shared" ca="1" si="46"/>
        <v>0</v>
      </c>
      <c r="AR54" s="756">
        <f t="shared" ca="1" si="46"/>
        <v>0</v>
      </c>
      <c r="AS54" s="756">
        <f t="shared" ca="1" si="46"/>
        <v>0</v>
      </c>
      <c r="AT54" s="756">
        <f t="shared" ca="1" si="46"/>
        <v>0</v>
      </c>
      <c r="AU54" s="756">
        <f t="shared" ca="1" si="46"/>
        <v>0</v>
      </c>
      <c r="AV54" s="756">
        <f t="shared" ca="1" si="46"/>
        <v>0</v>
      </c>
      <c r="AW54" s="756">
        <f t="shared" ca="1" si="46"/>
        <v>0</v>
      </c>
      <c r="AX54" s="756">
        <f t="shared" ca="1" si="46"/>
        <v>0</v>
      </c>
      <c r="AY54" s="756">
        <f t="shared" ca="1" si="46"/>
        <v>0</v>
      </c>
      <c r="AZ54" s="756">
        <f t="shared" ca="1" si="46"/>
        <v>13442440.036264127</v>
      </c>
      <c r="BA54" s="756">
        <f t="shared" ca="1" si="46"/>
        <v>0</v>
      </c>
      <c r="BB54" s="756">
        <f t="shared" ca="1" si="46"/>
        <v>0</v>
      </c>
      <c r="BC54" s="756">
        <f t="shared" ca="1" si="46"/>
        <v>0</v>
      </c>
      <c r="BD54" s="756">
        <f t="shared" ca="1" si="46"/>
        <v>0</v>
      </c>
      <c r="BE54" s="756">
        <f t="shared" ca="1" si="46"/>
        <v>0</v>
      </c>
      <c r="BF54" s="756">
        <f t="shared" ca="1" si="46"/>
        <v>0</v>
      </c>
      <c r="BG54" s="756">
        <f t="shared" ca="1" si="46"/>
        <v>0</v>
      </c>
      <c r="BH54" s="756">
        <f t="shared" ca="1" si="46"/>
        <v>0</v>
      </c>
      <c r="BI54" s="756">
        <f t="shared" ca="1" si="46"/>
        <v>0</v>
      </c>
      <c r="BJ54" s="756">
        <f t="shared" ca="1" si="46"/>
        <v>0</v>
      </c>
      <c r="BK54" s="756">
        <f t="shared" ca="1" si="46"/>
        <v>0</v>
      </c>
      <c r="BL54" s="756">
        <f t="shared" ca="1" si="46"/>
        <v>0</v>
      </c>
    </row>
    <row r="55" spans="1:64">
      <c r="A55" s="777" t="s">
        <v>644</v>
      </c>
      <c r="B55" s="758">
        <f ca="1">(1+IRR(D55:BL55,0.01))^12-1</f>
        <v>0.15000000000396518</v>
      </c>
      <c r="C55" s="703"/>
      <c r="D55" s="757">
        <f ca="1">D47+D53</f>
        <v>-534505.07346667291</v>
      </c>
      <c r="E55" s="757">
        <f t="shared" ref="E55:BL55" ca="1" si="47">E47+E53</f>
        <v>-65494.926533327045</v>
      </c>
      <c r="F55" s="757">
        <f t="shared" ca="1" si="47"/>
        <v>1.6133862035746707E-9</v>
      </c>
      <c r="G55" s="757">
        <f t="shared" ca="1" si="47"/>
        <v>1.6133862035746707E-9</v>
      </c>
      <c r="H55" s="757">
        <f t="shared" ca="1" si="47"/>
        <v>1.6133862035746707E-9</v>
      </c>
      <c r="I55" s="757">
        <f t="shared" ca="1" si="47"/>
        <v>1.6133862035746707E-9</v>
      </c>
      <c r="J55" s="757">
        <f t="shared" ca="1" si="47"/>
        <v>1.6133862035746707E-9</v>
      </c>
      <c r="K55" s="757">
        <f t="shared" ca="1" si="47"/>
        <v>1.6133862035746707E-9</v>
      </c>
      <c r="L55" s="757">
        <f t="shared" ca="1" si="47"/>
        <v>1.6133862035746707E-9</v>
      </c>
      <c r="M55" s="757">
        <f t="shared" ca="1" si="47"/>
        <v>0</v>
      </c>
      <c r="N55" s="757">
        <f t="shared" ca="1" si="47"/>
        <v>0</v>
      </c>
      <c r="O55" s="757">
        <f t="shared" ca="1" si="47"/>
        <v>0</v>
      </c>
      <c r="P55" s="757">
        <f t="shared" ca="1" si="47"/>
        <v>0</v>
      </c>
      <c r="Q55" s="757">
        <f t="shared" ca="1" si="47"/>
        <v>0</v>
      </c>
      <c r="R55" s="757">
        <f t="shared" ca="1" si="47"/>
        <v>-0.14057900302577764</v>
      </c>
      <c r="S55" s="757">
        <f t="shared" ca="1" si="47"/>
        <v>0</v>
      </c>
      <c r="T55" s="757">
        <f t="shared" ca="1" si="47"/>
        <v>0</v>
      </c>
      <c r="U55" s="757">
        <f t="shared" ca="1" si="47"/>
        <v>0</v>
      </c>
      <c r="V55" s="757">
        <f t="shared" ca="1" si="47"/>
        <v>0</v>
      </c>
      <c r="W55" s="757">
        <f t="shared" ca="1" si="47"/>
        <v>0</v>
      </c>
      <c r="X55" s="757">
        <f t="shared" ca="1" si="47"/>
        <v>0</v>
      </c>
      <c r="Y55" s="757">
        <f t="shared" ca="1" si="47"/>
        <v>0</v>
      </c>
      <c r="Z55" s="757">
        <f t="shared" ca="1" si="47"/>
        <v>0</v>
      </c>
      <c r="AA55" s="757">
        <f t="shared" ca="1" si="47"/>
        <v>0</v>
      </c>
      <c r="AB55" s="757">
        <f t="shared" ca="1" si="47"/>
        <v>0</v>
      </c>
      <c r="AC55" s="757">
        <f t="shared" ca="1" si="47"/>
        <v>-1.0535310502746142E-2</v>
      </c>
      <c r="AD55" s="757">
        <f t="shared" ca="1" si="47"/>
        <v>-0.14057900305488147</v>
      </c>
      <c r="AE55" s="757">
        <f t="shared" ca="1" si="47"/>
        <v>-3.0735506676137447E-2</v>
      </c>
      <c r="AF55" s="757">
        <f t="shared" ca="1" si="47"/>
        <v>-4.1548858134774491E-2</v>
      </c>
      <c r="AG55" s="757">
        <f t="shared" ca="1" si="47"/>
        <v>-5.1797160085698124E-2</v>
      </c>
      <c r="AH55" s="757">
        <f t="shared" ca="1" si="47"/>
        <v>-7.6985652973235119E-2</v>
      </c>
      <c r="AI55" s="757">
        <f t="shared" ca="1" si="47"/>
        <v>-8.9164118267945014E-2</v>
      </c>
      <c r="AJ55" s="757">
        <f t="shared" ca="1" si="47"/>
        <v>-9.7186898157815449E-2</v>
      </c>
      <c r="AK55" s="757">
        <f t="shared" ca="1" si="47"/>
        <v>-7.0409316809673328E-2</v>
      </c>
      <c r="AL55" s="757">
        <f t="shared" ca="1" si="47"/>
        <v>-7.0804834656883031E-2</v>
      </c>
      <c r="AM55" s="757">
        <f t="shared" ca="1" si="47"/>
        <v>-7.0079820899991319E-2</v>
      </c>
      <c r="AN55" s="757">
        <f t="shared" ca="1" si="47"/>
        <v>-8.0462262754736003E-2</v>
      </c>
      <c r="AO55" s="757">
        <f t="shared" ca="1" si="47"/>
        <v>-7.9693940228025895E-2</v>
      </c>
      <c r="AP55" s="757">
        <f t="shared" ca="1" si="47"/>
        <v>-8.2710518312524073E-2</v>
      </c>
      <c r="AQ55" s="757">
        <f t="shared" ca="1" si="47"/>
        <v>-8.5993392771342769E-2</v>
      </c>
      <c r="AR55" s="757">
        <f t="shared" ca="1" si="47"/>
        <v>-8.9688267966266721E-2</v>
      </c>
      <c r="AS55" s="757">
        <f t="shared" ca="1" si="47"/>
        <v>-9.4259135003085248E-2</v>
      </c>
      <c r="AT55" s="757">
        <f t="shared" ca="1" si="47"/>
        <v>-9.7026467905379832E-2</v>
      </c>
      <c r="AU55" s="757">
        <f t="shared" ca="1" si="47"/>
        <v>-9.8962860676692799E-2</v>
      </c>
      <c r="AV55" s="757">
        <f t="shared" ca="1" si="47"/>
        <v>-0.10070408204046544</v>
      </c>
      <c r="AW55" s="757">
        <f t="shared" ca="1" si="47"/>
        <v>-9.9440020028850995E-2</v>
      </c>
      <c r="AX55" s="757">
        <f t="shared" ca="1" si="47"/>
        <v>-9.8774722267990001E-2</v>
      </c>
      <c r="AY55" s="757">
        <f t="shared" ca="1" si="47"/>
        <v>-9.7165858300286345E-2</v>
      </c>
      <c r="AZ55" s="757">
        <f t="shared" ca="1" si="47"/>
        <v>1048079.6521558886</v>
      </c>
      <c r="BA55" s="757">
        <f t="shared" ca="1" si="47"/>
        <v>0</v>
      </c>
      <c r="BB55" s="757">
        <f t="shared" ca="1" si="47"/>
        <v>0</v>
      </c>
      <c r="BC55" s="757">
        <f t="shared" ca="1" si="47"/>
        <v>0</v>
      </c>
      <c r="BD55" s="757">
        <f t="shared" ca="1" si="47"/>
        <v>0</v>
      </c>
      <c r="BE55" s="757">
        <f t="shared" ca="1" si="47"/>
        <v>0</v>
      </c>
      <c r="BF55" s="757">
        <f t="shared" ca="1" si="47"/>
        <v>0</v>
      </c>
      <c r="BG55" s="757">
        <f t="shared" ca="1" si="47"/>
        <v>0</v>
      </c>
      <c r="BH55" s="757">
        <f t="shared" ca="1" si="47"/>
        <v>0</v>
      </c>
      <c r="BI55" s="757">
        <f t="shared" ca="1" si="47"/>
        <v>0</v>
      </c>
      <c r="BJ55" s="757">
        <f t="shared" ca="1" si="47"/>
        <v>0</v>
      </c>
      <c r="BK55" s="757">
        <f t="shared" ca="1" si="47"/>
        <v>0</v>
      </c>
      <c r="BL55" s="757">
        <f t="shared" ca="1" si="47"/>
        <v>0</v>
      </c>
    </row>
    <row r="56" spans="1:64">
      <c r="A56" s="757"/>
      <c r="B56" s="758"/>
      <c r="C56" s="703"/>
      <c r="D56" s="757"/>
      <c r="E56" s="757"/>
      <c r="F56" s="757"/>
      <c r="G56" s="757"/>
      <c r="H56" s="757"/>
      <c r="I56" s="757"/>
      <c r="J56" s="757"/>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c r="BC56" s="757"/>
      <c r="BD56" s="757"/>
      <c r="BE56" s="757"/>
      <c r="BF56" s="757"/>
      <c r="BG56" s="757"/>
      <c r="BH56" s="757"/>
      <c r="BI56" s="757"/>
      <c r="BJ56" s="757"/>
      <c r="BK56" s="757"/>
      <c r="BL56" s="757"/>
    </row>
    <row r="57" spans="1:64" s="1148" customFormat="1">
      <c r="A57" s="1144" t="s">
        <v>685</v>
      </c>
      <c r="B57" s="1145"/>
      <c r="C57" s="1146"/>
      <c r="D57" s="1147"/>
      <c r="E57" s="1147"/>
      <c r="F57" s="1147"/>
      <c r="G57" s="1147"/>
      <c r="H57" s="1147"/>
      <c r="I57" s="1147"/>
      <c r="J57" s="1147"/>
      <c r="K57" s="1147"/>
      <c r="L57" s="1147"/>
      <c r="M57" s="1147"/>
      <c r="N57" s="1147"/>
      <c r="O57" s="1147"/>
      <c r="P57" s="1147"/>
      <c r="Q57" s="1147"/>
      <c r="R57" s="1147"/>
      <c r="S57" s="1147"/>
      <c r="T57" s="1147"/>
      <c r="U57" s="1147"/>
      <c r="V57" s="1147"/>
      <c r="W57" s="1147"/>
      <c r="X57" s="1147"/>
      <c r="Y57" s="1147"/>
      <c r="Z57" s="1147"/>
      <c r="AA57" s="1147"/>
      <c r="AB57" s="1147"/>
      <c r="AC57" s="1147"/>
      <c r="AD57" s="1147"/>
      <c r="AE57" s="1147"/>
      <c r="AF57" s="1147"/>
      <c r="AG57" s="1147"/>
      <c r="AH57" s="1147"/>
      <c r="AI57" s="1147"/>
      <c r="AJ57" s="1147"/>
      <c r="AK57" s="1147"/>
      <c r="AL57" s="1147"/>
      <c r="AM57" s="1147"/>
      <c r="AN57" s="1147"/>
      <c r="AO57" s="1147"/>
      <c r="AP57" s="1147"/>
      <c r="AQ57" s="1147"/>
      <c r="AR57" s="1147"/>
      <c r="AS57" s="1147"/>
      <c r="AT57" s="1147"/>
      <c r="AU57" s="1147"/>
      <c r="AV57" s="1147"/>
      <c r="AW57" s="1147"/>
      <c r="AX57" s="1147"/>
      <c r="AY57" s="1147"/>
      <c r="AZ57" s="1147"/>
      <c r="BA57" s="1147"/>
      <c r="BB57" s="1147"/>
      <c r="BC57" s="1147"/>
      <c r="BD57" s="1147"/>
      <c r="BE57" s="1147"/>
      <c r="BF57" s="1147"/>
      <c r="BG57" s="1147"/>
      <c r="BH57" s="1147"/>
      <c r="BI57" s="1147"/>
      <c r="BJ57" s="1147"/>
      <c r="BK57" s="1147"/>
      <c r="BL57" s="1147"/>
    </row>
    <row r="58" spans="1:64" s="1148" customFormat="1">
      <c r="A58" s="1149" t="s">
        <v>686</v>
      </c>
      <c r="B58" s="1145">
        <f t="shared" ref="B58:B59" si="48">SUM(D58:BL58)</f>
        <v>2400000</v>
      </c>
      <c r="C58" s="1156">
        <v>2400000</v>
      </c>
      <c r="D58" s="1145">
        <f>IF(D16='Monthly PF Cash Flow'!$C$96,$C$58,0)</f>
        <v>0</v>
      </c>
      <c r="E58" s="1145">
        <f>IF(E16='Monthly PF Cash Flow'!$C$96,$C$58,0)</f>
        <v>0</v>
      </c>
      <c r="F58" s="1145">
        <f>IF(F16='Monthly PF Cash Flow'!$C$96,$C$58,0)</f>
        <v>0</v>
      </c>
      <c r="G58" s="1145">
        <f>IF(G16='Monthly PF Cash Flow'!$C$96,$C$58,0)</f>
        <v>0</v>
      </c>
      <c r="H58" s="1145">
        <f>IF(H16='Monthly PF Cash Flow'!$C$96,$C$58,0)</f>
        <v>0</v>
      </c>
      <c r="I58" s="1145">
        <f>IF(I16='Monthly PF Cash Flow'!$C$96,$C$58,0)</f>
        <v>0</v>
      </c>
      <c r="J58" s="1145">
        <f>IF(J16='Monthly PF Cash Flow'!$C$96,$C$58,0)</f>
        <v>0</v>
      </c>
      <c r="K58" s="1145">
        <f>IF(K16='Monthly PF Cash Flow'!$C$96,$C$58,0)</f>
        <v>0</v>
      </c>
      <c r="L58" s="1145">
        <f>IF(L16='Monthly PF Cash Flow'!$C$96,$C$58,0)</f>
        <v>0</v>
      </c>
      <c r="M58" s="1145">
        <f>IF(M16='Monthly PF Cash Flow'!$C$96,$C$58,0)</f>
        <v>0</v>
      </c>
      <c r="N58" s="1145">
        <f>IF(N16='Monthly PF Cash Flow'!$C$96,$C$58,0)</f>
        <v>0</v>
      </c>
      <c r="O58" s="1145">
        <f>IF(O16='Monthly PF Cash Flow'!$C$96,$C$58,0)</f>
        <v>0</v>
      </c>
      <c r="P58" s="1145">
        <f>IF(P16='Monthly PF Cash Flow'!$C$96,$C$58,0)</f>
        <v>0</v>
      </c>
      <c r="Q58" s="1145">
        <f>IF(Q16='Monthly PF Cash Flow'!$C$96,$C$58,0)</f>
        <v>0</v>
      </c>
      <c r="R58" s="1145">
        <f>IF(R16='Monthly PF Cash Flow'!$C$96,$C$58,0)</f>
        <v>0</v>
      </c>
      <c r="S58" s="1145">
        <f>IF(S16='Monthly PF Cash Flow'!$C$96,$C$58,0)</f>
        <v>0</v>
      </c>
      <c r="T58" s="1145">
        <f>IF(T16='Monthly PF Cash Flow'!$C$96,$C$58,0)</f>
        <v>0</v>
      </c>
      <c r="U58" s="1145">
        <f>IF(U16='Monthly PF Cash Flow'!$C$96,$C$58,0)</f>
        <v>0</v>
      </c>
      <c r="V58" s="1145">
        <f>IF(V16='Monthly PF Cash Flow'!$C$96,$C$58,0)</f>
        <v>0</v>
      </c>
      <c r="W58" s="1145">
        <f>IF(W16='Monthly PF Cash Flow'!$C$96,$C$58,0)</f>
        <v>0</v>
      </c>
      <c r="X58" s="1145">
        <f>IF(X16='Monthly PF Cash Flow'!$C$96,$C$58,0)</f>
        <v>0</v>
      </c>
      <c r="Y58" s="1145">
        <f>IF(Y16='Monthly PF Cash Flow'!$C$96,$C$58,0)</f>
        <v>0</v>
      </c>
      <c r="Z58" s="1145">
        <f>IF(Z16='Monthly PF Cash Flow'!$C$96,$C$58,0)</f>
        <v>0</v>
      </c>
      <c r="AA58" s="1145">
        <f>IF(AA16='Monthly PF Cash Flow'!$C$96,$C$58,0)</f>
        <v>0</v>
      </c>
      <c r="AB58" s="1145">
        <f>IF(AB16='Monthly PF Cash Flow'!$C$96,$C$58,0)</f>
        <v>0</v>
      </c>
      <c r="AC58" s="1145">
        <f>IF(AC16='Monthly PF Cash Flow'!$C$96,$C$58,0)</f>
        <v>0</v>
      </c>
      <c r="AD58" s="1145">
        <f>IF(AD16='Monthly PF Cash Flow'!$C$96,$C$58,0)</f>
        <v>0</v>
      </c>
      <c r="AE58" s="1145">
        <f>IF(AE16='Monthly PF Cash Flow'!$C$96,$C$58,0)</f>
        <v>0</v>
      </c>
      <c r="AF58" s="1145">
        <f>IF(AF16='Monthly PF Cash Flow'!$C$96,$C$58,0)</f>
        <v>0</v>
      </c>
      <c r="AG58" s="1145">
        <f>IF(AG16='Monthly PF Cash Flow'!$C$96,$C$58,0)</f>
        <v>0</v>
      </c>
      <c r="AH58" s="1145">
        <f>IF(AH16='Monthly PF Cash Flow'!$C$96,$C$58,0)</f>
        <v>0</v>
      </c>
      <c r="AI58" s="1145">
        <f>IF(AI16='Monthly PF Cash Flow'!$C$96,$C$58,0)</f>
        <v>0</v>
      </c>
      <c r="AJ58" s="1145">
        <f>IF(AJ16='Monthly PF Cash Flow'!$C$96,$C$58,0)</f>
        <v>0</v>
      </c>
      <c r="AK58" s="1145">
        <f>IF(AK16='Monthly PF Cash Flow'!$C$96,$C$58,0)</f>
        <v>0</v>
      </c>
      <c r="AL58" s="1145">
        <f>IF(AL16='Monthly PF Cash Flow'!$C$96,$C$58,0)</f>
        <v>0</v>
      </c>
      <c r="AM58" s="1145">
        <f>IF(AM16='Monthly PF Cash Flow'!$C$96,$C$58,0)</f>
        <v>0</v>
      </c>
      <c r="AN58" s="1145">
        <f>IF(AN16='Monthly PF Cash Flow'!$C$96,$C$58,0)</f>
        <v>0</v>
      </c>
      <c r="AO58" s="1145">
        <f>IF(AO16='Monthly PF Cash Flow'!$C$96,$C$58,0)</f>
        <v>0</v>
      </c>
      <c r="AP58" s="1145">
        <f>IF(AP16='Monthly PF Cash Flow'!$C$96,$C$58,0)</f>
        <v>0</v>
      </c>
      <c r="AQ58" s="1145">
        <f>IF(AQ16='Monthly PF Cash Flow'!$C$96,$C$58,0)</f>
        <v>0</v>
      </c>
      <c r="AR58" s="1145">
        <f>IF(AR16='Monthly PF Cash Flow'!$C$96,$C$58,0)</f>
        <v>0</v>
      </c>
      <c r="AS58" s="1145">
        <f>IF(AS16='Monthly PF Cash Flow'!$C$96,$C$58,0)</f>
        <v>0</v>
      </c>
      <c r="AT58" s="1145">
        <f>IF(AT16='Monthly PF Cash Flow'!$C$96,$C$58,0)</f>
        <v>0</v>
      </c>
      <c r="AU58" s="1145">
        <f>IF(AU16='Monthly PF Cash Flow'!$C$96,$C$58,0)</f>
        <v>0</v>
      </c>
      <c r="AV58" s="1145">
        <f>IF(AV16='Monthly PF Cash Flow'!$C$96,$C$58,0)</f>
        <v>0</v>
      </c>
      <c r="AW58" s="1145">
        <f>IF(AW16='Monthly PF Cash Flow'!$C$96,$C$58,0)</f>
        <v>0</v>
      </c>
      <c r="AX58" s="1145">
        <f>IF(AX16='Monthly PF Cash Flow'!$C$96,$C$58,0)</f>
        <v>0</v>
      </c>
      <c r="AY58" s="1145">
        <f>IF(AY16='Monthly PF Cash Flow'!$C$96,$C$58,0)</f>
        <v>0</v>
      </c>
      <c r="AZ58" s="1145">
        <f>IF(AZ16='Monthly PF Cash Flow'!$C$96,$C$58,0)</f>
        <v>2400000</v>
      </c>
      <c r="BA58" s="1145">
        <f>IF(BA16='Monthly PF Cash Flow'!$C$96,$C$58,0)</f>
        <v>0</v>
      </c>
      <c r="BB58" s="1145">
        <f>IF(BB16='Monthly PF Cash Flow'!$C$96,$C$58,0)</f>
        <v>0</v>
      </c>
      <c r="BC58" s="1145">
        <f>IF(BC16='Monthly PF Cash Flow'!$C$96,$C$58,0)</f>
        <v>0</v>
      </c>
      <c r="BD58" s="1145">
        <f>IF(BD16='Monthly PF Cash Flow'!$C$96,$C$58,0)</f>
        <v>0</v>
      </c>
      <c r="BE58" s="1145">
        <f>IF(BE16='Monthly PF Cash Flow'!$C$96,$C$58,0)</f>
        <v>0</v>
      </c>
      <c r="BF58" s="1145">
        <f>IF(BF16='Monthly PF Cash Flow'!$C$96,$C$58,0)</f>
        <v>0</v>
      </c>
      <c r="BG58" s="1145">
        <f>IF(BG16='Monthly PF Cash Flow'!$C$96,$C$58,0)</f>
        <v>0</v>
      </c>
      <c r="BH58" s="1145">
        <f>IF(BH16='Monthly PF Cash Flow'!$C$96,$C$58,0)</f>
        <v>0</v>
      </c>
      <c r="BI58" s="1145">
        <f>IF(BI16='Monthly PF Cash Flow'!$C$96,$C$58,0)</f>
        <v>0</v>
      </c>
      <c r="BJ58" s="1145">
        <f>IF(BJ16='Monthly PF Cash Flow'!$C$96,$C$58,0)</f>
        <v>0</v>
      </c>
      <c r="BK58" s="1145">
        <f>IF(BK16='Monthly PF Cash Flow'!$C$96,$C$58,0)</f>
        <v>0</v>
      </c>
      <c r="BL58" s="1145">
        <f>IF(BL16='Monthly PF Cash Flow'!$C$96,$C$58,0)</f>
        <v>0</v>
      </c>
    </row>
    <row r="59" spans="1:64" s="1155" customFormat="1">
      <c r="A59" s="1151" t="s">
        <v>687</v>
      </c>
      <c r="B59" s="1152">
        <f t="shared" ca="1" si="48"/>
        <v>11042440.036258908</v>
      </c>
      <c r="C59" s="1153"/>
      <c r="D59" s="1154">
        <f>D54-D58</f>
        <v>0</v>
      </c>
      <c r="E59" s="1154">
        <f t="shared" ref="E59:BL59" ca="1" si="49">E54-E58</f>
        <v>0</v>
      </c>
      <c r="F59" s="1154">
        <f t="shared" ca="1" si="49"/>
        <v>0</v>
      </c>
      <c r="G59" s="1154">
        <f t="shared" ca="1" si="49"/>
        <v>0</v>
      </c>
      <c r="H59" s="1154">
        <f t="shared" ca="1" si="49"/>
        <v>0</v>
      </c>
      <c r="I59" s="1154">
        <f t="shared" ca="1" si="49"/>
        <v>0</v>
      </c>
      <c r="J59" s="1154">
        <f t="shared" ca="1" si="49"/>
        <v>0</v>
      </c>
      <c r="K59" s="1154">
        <f t="shared" ca="1" si="49"/>
        <v>0</v>
      </c>
      <c r="L59" s="1154">
        <f t="shared" ca="1" si="49"/>
        <v>0</v>
      </c>
      <c r="M59" s="1154">
        <f t="shared" ca="1" si="49"/>
        <v>0</v>
      </c>
      <c r="N59" s="1154">
        <f t="shared" ca="1" si="49"/>
        <v>0</v>
      </c>
      <c r="O59" s="1154">
        <f t="shared" ca="1" si="49"/>
        <v>0</v>
      </c>
      <c r="P59" s="1154">
        <f t="shared" ca="1" si="49"/>
        <v>0</v>
      </c>
      <c r="Q59" s="1154">
        <f t="shared" ca="1" si="49"/>
        <v>0</v>
      </c>
      <c r="R59" s="1154">
        <f t="shared" ca="1" si="49"/>
        <v>0</v>
      </c>
      <c r="S59" s="1154">
        <f t="shared" ca="1" si="49"/>
        <v>0</v>
      </c>
      <c r="T59" s="1154">
        <f t="shared" ca="1" si="49"/>
        <v>0</v>
      </c>
      <c r="U59" s="1154">
        <f t="shared" ca="1" si="49"/>
        <v>0</v>
      </c>
      <c r="V59" s="1154">
        <f t="shared" ca="1" si="49"/>
        <v>0</v>
      </c>
      <c r="W59" s="1154">
        <f t="shared" ca="1" si="49"/>
        <v>0</v>
      </c>
      <c r="X59" s="1154">
        <f t="shared" ca="1" si="49"/>
        <v>0</v>
      </c>
      <c r="Y59" s="1154">
        <f t="shared" ca="1" si="49"/>
        <v>0</v>
      </c>
      <c r="Z59" s="1154">
        <f t="shared" ca="1" si="49"/>
        <v>0</v>
      </c>
      <c r="AA59" s="1154">
        <f t="shared" ca="1" si="49"/>
        <v>0</v>
      </c>
      <c r="AB59" s="1154">
        <f t="shared" ca="1" si="49"/>
        <v>0</v>
      </c>
      <c r="AC59" s="1154">
        <f t="shared" ca="1" si="49"/>
        <v>0</v>
      </c>
      <c r="AD59" s="1154">
        <f t="shared" ca="1" si="49"/>
        <v>0</v>
      </c>
      <c r="AE59" s="1154">
        <f t="shared" ca="1" si="49"/>
        <v>0</v>
      </c>
      <c r="AF59" s="1154">
        <f t="shared" ca="1" si="49"/>
        <v>0</v>
      </c>
      <c r="AG59" s="1154">
        <f t="shared" ca="1" si="49"/>
        <v>0</v>
      </c>
      <c r="AH59" s="1154">
        <f t="shared" ca="1" si="49"/>
        <v>0</v>
      </c>
      <c r="AI59" s="1154">
        <f t="shared" ca="1" si="49"/>
        <v>0</v>
      </c>
      <c r="AJ59" s="1154">
        <f t="shared" ca="1" si="49"/>
        <v>0</v>
      </c>
      <c r="AK59" s="1154">
        <f t="shared" ca="1" si="49"/>
        <v>0</v>
      </c>
      <c r="AL59" s="1154">
        <f t="shared" ca="1" si="49"/>
        <v>0</v>
      </c>
      <c r="AM59" s="1154">
        <f t="shared" ca="1" si="49"/>
        <v>0</v>
      </c>
      <c r="AN59" s="1154">
        <f t="shared" ca="1" si="49"/>
        <v>0</v>
      </c>
      <c r="AO59" s="1154">
        <f t="shared" ca="1" si="49"/>
        <v>0</v>
      </c>
      <c r="AP59" s="1154">
        <f t="shared" ca="1" si="49"/>
        <v>0</v>
      </c>
      <c r="AQ59" s="1154">
        <f t="shared" ca="1" si="49"/>
        <v>0</v>
      </c>
      <c r="AR59" s="1154">
        <f t="shared" ca="1" si="49"/>
        <v>0</v>
      </c>
      <c r="AS59" s="1154">
        <f t="shared" ca="1" si="49"/>
        <v>0</v>
      </c>
      <c r="AT59" s="1154">
        <f t="shared" ca="1" si="49"/>
        <v>0</v>
      </c>
      <c r="AU59" s="1154">
        <f t="shared" ca="1" si="49"/>
        <v>0</v>
      </c>
      <c r="AV59" s="1154">
        <f t="shared" ca="1" si="49"/>
        <v>0</v>
      </c>
      <c r="AW59" s="1154">
        <f t="shared" ca="1" si="49"/>
        <v>0</v>
      </c>
      <c r="AX59" s="1154">
        <f t="shared" ca="1" si="49"/>
        <v>0</v>
      </c>
      <c r="AY59" s="1154">
        <f t="shared" ca="1" si="49"/>
        <v>0</v>
      </c>
      <c r="AZ59" s="1154">
        <f t="shared" ca="1" si="49"/>
        <v>11042440.036264127</v>
      </c>
      <c r="BA59" s="1154">
        <f t="shared" ca="1" si="49"/>
        <v>0</v>
      </c>
      <c r="BB59" s="1154">
        <f t="shared" ca="1" si="49"/>
        <v>0</v>
      </c>
      <c r="BC59" s="1154">
        <f t="shared" ca="1" si="49"/>
        <v>0</v>
      </c>
      <c r="BD59" s="1154">
        <f t="shared" ca="1" si="49"/>
        <v>0</v>
      </c>
      <c r="BE59" s="1154">
        <f t="shared" ca="1" si="49"/>
        <v>0</v>
      </c>
      <c r="BF59" s="1154">
        <f t="shared" ca="1" si="49"/>
        <v>0</v>
      </c>
      <c r="BG59" s="1154">
        <f t="shared" ca="1" si="49"/>
        <v>0</v>
      </c>
      <c r="BH59" s="1154">
        <f t="shared" ca="1" si="49"/>
        <v>0</v>
      </c>
      <c r="BI59" s="1154">
        <f t="shared" ca="1" si="49"/>
        <v>0</v>
      </c>
      <c r="BJ59" s="1154">
        <f t="shared" ca="1" si="49"/>
        <v>0</v>
      </c>
      <c r="BK59" s="1154">
        <f t="shared" ca="1" si="49"/>
        <v>0</v>
      </c>
      <c r="BL59" s="1154">
        <f t="shared" ca="1" si="49"/>
        <v>0</v>
      </c>
    </row>
    <row r="60" spans="1:64" s="772" customFormat="1">
      <c r="A60" s="701"/>
      <c r="B60" s="773"/>
      <c r="C60" s="703"/>
      <c r="D60" s="701"/>
      <c r="E60" s="701"/>
      <c r="F60" s="701"/>
      <c r="G60" s="701"/>
      <c r="H60" s="701"/>
      <c r="I60" s="701"/>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1"/>
      <c r="AJ60" s="701"/>
      <c r="AK60" s="701"/>
      <c r="AL60" s="701"/>
      <c r="AM60" s="701"/>
      <c r="AN60" s="701"/>
      <c r="AO60" s="701"/>
      <c r="AP60" s="701"/>
      <c r="AQ60" s="701"/>
      <c r="AR60" s="701"/>
      <c r="AS60" s="701"/>
      <c r="AT60" s="701"/>
      <c r="AU60" s="701"/>
      <c r="AV60" s="701"/>
      <c r="AW60" s="701"/>
      <c r="AX60" s="701"/>
      <c r="AY60" s="701"/>
      <c r="AZ60" s="701"/>
      <c r="BA60" s="701"/>
      <c r="BB60" s="701"/>
      <c r="BC60" s="701"/>
      <c r="BD60" s="701"/>
      <c r="BE60" s="701"/>
      <c r="BF60" s="701"/>
      <c r="BG60" s="701"/>
      <c r="BH60" s="701"/>
      <c r="BI60" s="701"/>
      <c r="BJ60" s="701"/>
      <c r="BK60" s="701"/>
      <c r="BL60" s="701"/>
    </row>
    <row r="61" spans="1:64">
      <c r="A61" s="700" t="s">
        <v>629</v>
      </c>
      <c r="B61" s="752">
        <f>D10</f>
        <v>0.2</v>
      </c>
      <c r="C61" s="703"/>
      <c r="D61" s="701"/>
      <c r="E61" s="701"/>
      <c r="F61" s="701"/>
      <c r="G61" s="701"/>
      <c r="H61" s="701"/>
      <c r="I61" s="701"/>
    </row>
    <row r="62" spans="1:64">
      <c r="A62" s="774" t="s">
        <v>637</v>
      </c>
      <c r="B62" s="701"/>
      <c r="C62" s="703"/>
      <c r="D62" s="701">
        <f>B71</f>
        <v>0</v>
      </c>
      <c r="E62" s="701">
        <f ca="1">D71</f>
        <v>-6170830.5186084146</v>
      </c>
      <c r="F62" s="701">
        <f t="shared" ref="F62:BL62" ca="1" si="50">E71</f>
        <v>-7021437.8492529402</v>
      </c>
      <c r="G62" s="701">
        <f ca="1">F71</f>
        <v>-7128932.3448717734</v>
      </c>
      <c r="H62" s="701">
        <f t="shared" ca="1" si="50"/>
        <v>-7238072.5243001692</v>
      </c>
      <c r="I62" s="701">
        <f t="shared" ca="1" si="50"/>
        <v>-7348883.5820858572</v>
      </c>
      <c r="J62" s="701">
        <f t="shared" ca="1" si="50"/>
        <v>-7461391.0984917628</v>
      </c>
      <c r="K62" s="701">
        <f t="shared" ca="1" si="50"/>
        <v>-7575621.0454010824</v>
      </c>
      <c r="L62" s="701">
        <f t="shared" ca="1" si="50"/>
        <v>-7691599.7923127972</v>
      </c>
      <c r="M62" s="701">
        <f t="shared" ca="1" si="50"/>
        <v>-7809354.1124289529</v>
      </c>
      <c r="N62" s="701">
        <f t="shared" ca="1" si="50"/>
        <v>-7928911.1888351673</v>
      </c>
      <c r="O62" s="701">
        <f t="shared" ca="1" si="50"/>
        <v>-8050298.6207756689</v>
      </c>
      <c r="P62" s="701">
        <f t="shared" ca="1" si="50"/>
        <v>-8173544.4300245084</v>
      </c>
      <c r="Q62" s="701">
        <f t="shared" ca="1" si="50"/>
        <v>-8298677.0673542675</v>
      </c>
      <c r="R62" s="701">
        <f t="shared" ca="1" si="50"/>
        <v>-8425725.4191037882</v>
      </c>
      <c r="S62" s="701">
        <f t="shared" ca="1" si="50"/>
        <v>-8422100.6414514501</v>
      </c>
      <c r="T62" s="701">
        <f t="shared" ca="1" si="50"/>
        <v>-8551038.5427675787</v>
      </c>
      <c r="U62" s="701">
        <f t="shared" ca="1" si="50"/>
        <v>-8681950.4150802139</v>
      </c>
      <c r="V62" s="701">
        <f t="shared" ca="1" si="50"/>
        <v>-8814866.4788400531</v>
      </c>
      <c r="W62" s="701">
        <f t="shared" ca="1" si="50"/>
        <v>-8949817.4171569385</v>
      </c>
      <c r="X62" s="701">
        <f t="shared" ca="1" si="50"/>
        <v>-9086834.3828828558</v>
      </c>
      <c r="Y62" s="701">
        <f t="shared" ca="1" si="50"/>
        <v>-9225949.0058034509</v>
      </c>
      <c r="Z62" s="701">
        <f t="shared" ca="1" si="50"/>
        <v>-9367193.3999396507</v>
      </c>
      <c r="AA62" s="701">
        <f t="shared" ca="1" si="50"/>
        <v>-9510600.1709610354</v>
      </c>
      <c r="AB62" s="701">
        <f t="shared" ca="1" si="50"/>
        <v>-9656202.4237127118</v>
      </c>
      <c r="AC62" s="701">
        <f t="shared" ca="1" si="50"/>
        <v>-9804033.7698574625</v>
      </c>
      <c r="AD62" s="701">
        <f t="shared" ca="1" si="50"/>
        <v>-9946922.337427428</v>
      </c>
      <c r="AE62" s="701">
        <f t="shared" ca="1" si="50"/>
        <v>-9926053.5272431206</v>
      </c>
      <c r="AF62" s="701">
        <f t="shared" ca="1" si="50"/>
        <v>-10056960.234765857</v>
      </c>
      <c r="AG62" s="701">
        <f t="shared" ca="1" si="50"/>
        <v>-10182202.624876812</v>
      </c>
      <c r="AH62" s="701">
        <f t="shared" ca="1" si="50"/>
        <v>-10301981.840962974</v>
      </c>
      <c r="AI62" s="701">
        <f t="shared" ca="1" si="50"/>
        <v>-10405640.297104994</v>
      </c>
      <c r="AJ62" s="701">
        <f t="shared" ca="1" si="50"/>
        <v>-10502002.169361357</v>
      </c>
      <c r="AK62" s="701">
        <f t="shared" ca="1" si="50"/>
        <v>-10593881.879064245</v>
      </c>
      <c r="AL62" s="701">
        <f t="shared" ca="1" si="50"/>
        <v>-10705971.611999135</v>
      </c>
      <c r="AM62" s="701">
        <f t="shared" ca="1" si="50"/>
        <v>-10819201.377359023</v>
      </c>
      <c r="AN62" s="701">
        <f t="shared" ca="1" si="50"/>
        <v>-10934391.87980156</v>
      </c>
      <c r="AO62" s="701">
        <f t="shared" ca="1" si="50"/>
        <v>-11043531.994626466</v>
      </c>
      <c r="AP62" s="701">
        <f t="shared" ca="1" si="50"/>
        <v>-11154610.221293529</v>
      </c>
      <c r="AQ62" s="701">
        <f t="shared" ca="1" si="50"/>
        <v>-11264888.489002319</v>
      </c>
      <c r="AR62" s="701">
        <f t="shared" ca="1" si="50"/>
        <v>-11374150.727820732</v>
      </c>
      <c r="AS62" s="701">
        <f t="shared" ca="1" si="50"/>
        <v>-11482070.496183226</v>
      </c>
      <c r="AT62" s="701">
        <f t="shared" ca="1" si="50"/>
        <v>-11587972.900611613</v>
      </c>
      <c r="AU62" s="701">
        <f t="shared" ca="1" si="50"/>
        <v>-11693167.300761838</v>
      </c>
      <c r="AV62" s="701">
        <f t="shared" ca="1" si="50"/>
        <v>-11798263.710495071</v>
      </c>
      <c r="AW62" s="701">
        <f t="shared" ca="1" si="50"/>
        <v>-11903407.628901936</v>
      </c>
      <c r="AX62" s="701">
        <f t="shared" ca="1" si="50"/>
        <v>-12010861.034546014</v>
      </c>
      <c r="AY62" s="701">
        <f t="shared" ca="1" si="50"/>
        <v>-12120205.161469143</v>
      </c>
      <c r="AZ62" s="701">
        <f t="shared" ca="1" si="50"/>
        <v>-12232181.913622499</v>
      </c>
      <c r="BA62" s="701">
        <f t="shared" ca="1" si="50"/>
        <v>0</v>
      </c>
      <c r="BB62" s="701">
        <f t="shared" ca="1" si="50"/>
        <v>0</v>
      </c>
      <c r="BC62" s="701">
        <f t="shared" ca="1" si="50"/>
        <v>0</v>
      </c>
      <c r="BD62" s="701">
        <f t="shared" ca="1" si="50"/>
        <v>0</v>
      </c>
      <c r="BE62" s="701">
        <f t="shared" ca="1" si="50"/>
        <v>0</v>
      </c>
      <c r="BF62" s="701">
        <f t="shared" ca="1" si="50"/>
        <v>0</v>
      </c>
      <c r="BG62" s="701">
        <f t="shared" ca="1" si="50"/>
        <v>0</v>
      </c>
      <c r="BH62" s="701">
        <f t="shared" ca="1" si="50"/>
        <v>0</v>
      </c>
      <c r="BI62" s="701">
        <f t="shared" ca="1" si="50"/>
        <v>0</v>
      </c>
      <c r="BJ62" s="701">
        <f t="shared" ca="1" si="50"/>
        <v>0</v>
      </c>
      <c r="BK62" s="701">
        <f t="shared" ca="1" si="50"/>
        <v>0</v>
      </c>
      <c r="BL62" s="701">
        <f t="shared" ca="1" si="50"/>
        <v>0</v>
      </c>
    </row>
    <row r="63" spans="1:64">
      <c r="A63" s="774" t="s">
        <v>645</v>
      </c>
      <c r="B63" s="701"/>
      <c r="C63" s="699"/>
      <c r="D63" s="701">
        <f ca="1">D34+D47</f>
        <v>-6170830.5186084136</v>
      </c>
      <c r="E63" s="701">
        <f t="shared" ref="E63:BL63" ca="1" si="51">E34+E47</f>
        <v>-756135.18286102917</v>
      </c>
      <c r="F63" s="701">
        <f t="shared" ca="1" si="51"/>
        <v>1.862645149230957E-8</v>
      </c>
      <c r="G63" s="701">
        <f t="shared" ca="1" si="51"/>
        <v>1.862645149230957E-8</v>
      </c>
      <c r="H63" s="701">
        <f t="shared" ca="1" si="51"/>
        <v>1.862645149230957E-8</v>
      </c>
      <c r="I63" s="701">
        <f t="shared" ca="1" si="51"/>
        <v>1.862645149230957E-8</v>
      </c>
      <c r="J63" s="701">
        <f t="shared" ca="1" si="51"/>
        <v>1.862645149230957E-8</v>
      </c>
      <c r="K63" s="701">
        <f t="shared" ca="1" si="51"/>
        <v>1.862645149230957E-8</v>
      </c>
      <c r="L63" s="701">
        <f t="shared" ca="1" si="51"/>
        <v>2.0239837695884241E-8</v>
      </c>
      <c r="M63" s="701">
        <f t="shared" ca="1" si="51"/>
        <v>0</v>
      </c>
      <c r="N63" s="701">
        <f t="shared" ca="1" si="51"/>
        <v>0</v>
      </c>
      <c r="O63" s="701">
        <f t="shared" ca="1" si="51"/>
        <v>0</v>
      </c>
      <c r="P63" s="701">
        <f t="shared" ca="1" si="51"/>
        <v>0</v>
      </c>
      <c r="Q63" s="701">
        <f t="shared" ca="1" si="51"/>
        <v>0</v>
      </c>
      <c r="R63" s="701">
        <f t="shared" ca="1" si="51"/>
        <v>0</v>
      </c>
      <c r="S63" s="701">
        <f t="shared" ca="1" si="51"/>
        <v>0</v>
      </c>
      <c r="T63" s="701">
        <f t="shared" ca="1" si="51"/>
        <v>0</v>
      </c>
      <c r="U63" s="701">
        <f t="shared" ca="1" si="51"/>
        <v>0</v>
      </c>
      <c r="V63" s="701">
        <f t="shared" ca="1" si="51"/>
        <v>0</v>
      </c>
      <c r="W63" s="701">
        <f t="shared" ca="1" si="51"/>
        <v>0</v>
      </c>
      <c r="X63" s="701">
        <f t="shared" ca="1" si="51"/>
        <v>0</v>
      </c>
      <c r="Y63" s="701">
        <f t="shared" ca="1" si="51"/>
        <v>0</v>
      </c>
      <c r="Z63" s="701">
        <f t="shared" ca="1" si="51"/>
        <v>0</v>
      </c>
      <c r="AA63" s="701">
        <f t="shared" ca="1" si="51"/>
        <v>0</v>
      </c>
      <c r="AB63" s="701">
        <f t="shared" ca="1" si="51"/>
        <v>0</v>
      </c>
      <c r="AC63" s="701">
        <f t="shared" ca="1" si="51"/>
        <v>0</v>
      </c>
      <c r="AD63" s="701">
        <f t="shared" ca="1" si="51"/>
        <v>0</v>
      </c>
      <c r="AE63" s="701">
        <f t="shared" ca="1" si="51"/>
        <v>0</v>
      </c>
      <c r="AF63" s="701">
        <f t="shared" ca="1" si="51"/>
        <v>0</v>
      </c>
      <c r="AG63" s="701">
        <f t="shared" ca="1" si="51"/>
        <v>0</v>
      </c>
      <c r="AH63" s="701">
        <f t="shared" ca="1" si="51"/>
        <v>0</v>
      </c>
      <c r="AI63" s="701">
        <f t="shared" ca="1" si="51"/>
        <v>0</v>
      </c>
      <c r="AJ63" s="701">
        <f t="shared" ca="1" si="51"/>
        <v>0</v>
      </c>
      <c r="AK63" s="701">
        <f t="shared" ca="1" si="51"/>
        <v>0</v>
      </c>
      <c r="AL63" s="701">
        <f t="shared" ca="1" si="51"/>
        <v>0</v>
      </c>
      <c r="AM63" s="701">
        <f t="shared" ca="1" si="51"/>
        <v>0</v>
      </c>
      <c r="AN63" s="701">
        <f t="shared" ca="1" si="51"/>
        <v>0</v>
      </c>
      <c r="AO63" s="701">
        <f t="shared" ca="1" si="51"/>
        <v>0</v>
      </c>
      <c r="AP63" s="701">
        <f t="shared" ca="1" si="51"/>
        <v>0</v>
      </c>
      <c r="AQ63" s="701">
        <f t="shared" ca="1" si="51"/>
        <v>0</v>
      </c>
      <c r="AR63" s="701">
        <f t="shared" ca="1" si="51"/>
        <v>0</v>
      </c>
      <c r="AS63" s="701">
        <f t="shared" ca="1" si="51"/>
        <v>0</v>
      </c>
      <c r="AT63" s="701">
        <f t="shared" ca="1" si="51"/>
        <v>0</v>
      </c>
      <c r="AU63" s="701">
        <f t="shared" ca="1" si="51"/>
        <v>0</v>
      </c>
      <c r="AV63" s="701">
        <f t="shared" ca="1" si="51"/>
        <v>0</v>
      </c>
      <c r="AW63" s="701">
        <f t="shared" ca="1" si="51"/>
        <v>0</v>
      </c>
      <c r="AX63" s="701">
        <f t="shared" ca="1" si="51"/>
        <v>0</v>
      </c>
      <c r="AY63" s="701">
        <f t="shared" ca="1" si="51"/>
        <v>0</v>
      </c>
      <c r="AZ63" s="701">
        <f t="shared" ca="1" si="51"/>
        <v>0</v>
      </c>
      <c r="BA63" s="701">
        <f t="shared" ca="1" si="51"/>
        <v>0</v>
      </c>
      <c r="BB63" s="701">
        <f t="shared" ca="1" si="51"/>
        <v>0</v>
      </c>
      <c r="BC63" s="701">
        <f t="shared" ca="1" si="51"/>
        <v>0</v>
      </c>
      <c r="BD63" s="701">
        <f t="shared" ca="1" si="51"/>
        <v>0</v>
      </c>
      <c r="BE63" s="701">
        <f t="shared" ca="1" si="51"/>
        <v>0</v>
      </c>
      <c r="BF63" s="701">
        <f t="shared" ca="1" si="51"/>
        <v>0</v>
      </c>
      <c r="BG63" s="701">
        <f t="shared" ca="1" si="51"/>
        <v>0</v>
      </c>
      <c r="BH63" s="701">
        <f t="shared" ca="1" si="51"/>
        <v>0</v>
      </c>
      <c r="BI63" s="701">
        <f t="shared" ca="1" si="51"/>
        <v>0</v>
      </c>
      <c r="BJ63" s="701">
        <f t="shared" ca="1" si="51"/>
        <v>0</v>
      </c>
      <c r="BK63" s="701">
        <f t="shared" ca="1" si="51"/>
        <v>0</v>
      </c>
      <c r="BL63" s="701">
        <f t="shared" ca="1" si="51"/>
        <v>0</v>
      </c>
    </row>
    <row r="64" spans="1:64">
      <c r="A64" s="775">
        <f>B61</f>
        <v>0.2</v>
      </c>
      <c r="B64" s="701"/>
      <c r="C64" s="699"/>
      <c r="D64" s="701">
        <f t="shared" ref="D64:AI64" si="52">D62*((1+$B$61)^(1/12)-1)</f>
        <v>0</v>
      </c>
      <c r="E64" s="701">
        <f t="shared" ca="1" si="52"/>
        <v>-94472.147783476452</v>
      </c>
      <c r="F64" s="701">
        <f t="shared" ca="1" si="52"/>
        <v>-107494.49561883391</v>
      </c>
      <c r="G64" s="701">
        <f t="shared" ca="1" si="52"/>
        <v>-109140.17942839394</v>
      </c>
      <c r="H64" s="701">
        <f t="shared" ca="1" si="52"/>
        <v>-110811.05778568833</v>
      </c>
      <c r="I64" s="701">
        <f t="shared" ca="1" si="52"/>
        <v>-112507.51640590232</v>
      </c>
      <c r="J64" s="701">
        <f t="shared" ca="1" si="52"/>
        <v>-114229.94690931655</v>
      </c>
      <c r="K64" s="701">
        <f t="shared" ca="1" si="52"/>
        <v>-115978.74691171065</v>
      </c>
      <c r="L64" s="701">
        <f t="shared" ca="1" si="52"/>
        <v>-117754.32011615134</v>
      </c>
      <c r="M64" s="701">
        <f t="shared" ca="1" si="52"/>
        <v>-119557.07640618553</v>
      </c>
      <c r="N64" s="701">
        <f t="shared" ca="1" si="52"/>
        <v>-121387.43194046058</v>
      </c>
      <c r="O64" s="701">
        <f t="shared" ca="1" si="52"/>
        <v>-123245.8092487918</v>
      </c>
      <c r="P64" s="701">
        <f t="shared" ca="1" si="52"/>
        <v>-125132.63732970241</v>
      </c>
      <c r="Q64" s="701">
        <f t="shared" ca="1" si="52"/>
        <v>-127048.35174945592</v>
      </c>
      <c r="R64" s="701">
        <f t="shared" ca="1" si="52"/>
        <v>-128993.39474260468</v>
      </c>
      <c r="S64" s="701">
        <f t="shared" ca="1" si="52"/>
        <v>-128937.90131606814</v>
      </c>
      <c r="T64" s="701">
        <f t="shared" ca="1" si="52"/>
        <v>-130911.87231256465</v>
      </c>
      <c r="U64" s="701">
        <f t="shared" ca="1" si="52"/>
        <v>-132916.06375979952</v>
      </c>
      <c r="V64" s="701">
        <f t="shared" ca="1" si="52"/>
        <v>-134950.93831687118</v>
      </c>
      <c r="W64" s="701">
        <f t="shared" ca="1" si="52"/>
        <v>-137016.96572594455</v>
      </c>
      <c r="X64" s="701">
        <f t="shared" ca="1" si="52"/>
        <v>-139114.62292068818</v>
      </c>
      <c r="Y64" s="701">
        <f t="shared" ca="1" si="52"/>
        <v>-141244.39413637226</v>
      </c>
      <c r="Z64" s="701">
        <f t="shared" ca="1" si="52"/>
        <v>-143406.77102165282</v>
      </c>
      <c r="AA64" s="701">
        <f t="shared" ca="1" si="52"/>
        <v>-145602.25275206642</v>
      </c>
      <c r="AB64" s="701">
        <f t="shared" ca="1" si="52"/>
        <v>-147831.34614526259</v>
      </c>
      <c r="AC64" s="701">
        <f t="shared" ca="1" si="52"/>
        <v>-150094.56577800121</v>
      </c>
      <c r="AD64" s="701">
        <f t="shared" ca="1" si="52"/>
        <v>-152282.11408796246</v>
      </c>
      <c r="AE64" s="701">
        <f t="shared" ca="1" si="52"/>
        <v>-151962.62365408131</v>
      </c>
      <c r="AF64" s="701">
        <f t="shared" ca="1" si="52"/>
        <v>-153966.73603111759</v>
      </c>
      <c r="AG64" s="701">
        <f t="shared" ca="1" si="52"/>
        <v>-155884.13070783706</v>
      </c>
      <c r="AH64" s="701">
        <f t="shared" ca="1" si="52"/>
        <v>-157717.88708298909</v>
      </c>
      <c r="AI64" s="701">
        <f t="shared" ca="1" si="52"/>
        <v>-159304.84315934303</v>
      </c>
      <c r="AJ64" s="701">
        <f t="shared" ref="AJ64:BL64" ca="1" si="53">AJ62*((1+$B$61)^(1/12)-1)</f>
        <v>-160780.09239995066</v>
      </c>
      <c r="AK64" s="701">
        <f t="shared" ca="1" si="53"/>
        <v>-162186.72210517092</v>
      </c>
      <c r="AL64" s="701">
        <f t="shared" ca="1" si="53"/>
        <v>-163902.75656486038</v>
      </c>
      <c r="AM64" s="701">
        <f t="shared" ca="1" si="53"/>
        <v>-165636.24431732905</v>
      </c>
      <c r="AN64" s="701">
        <f t="shared" ca="1" si="53"/>
        <v>-167399.7499163223</v>
      </c>
      <c r="AO64" s="701">
        <f t="shared" ca="1" si="53"/>
        <v>-169070.62728457147</v>
      </c>
      <c r="AP64" s="701">
        <f t="shared" ca="1" si="53"/>
        <v>-170771.17611889332</v>
      </c>
      <c r="AQ64" s="701">
        <f t="shared" ca="1" si="53"/>
        <v>-172459.4780051425</v>
      </c>
      <c r="AR64" s="701">
        <f t="shared" ca="1" si="53"/>
        <v>-174132.22502706756</v>
      </c>
      <c r="AS64" s="701">
        <f t="shared" ca="1" si="53"/>
        <v>-175784.419537151</v>
      </c>
      <c r="AT64" s="701">
        <f t="shared" ca="1" si="53"/>
        <v>-177405.729273598</v>
      </c>
      <c r="AU64" s="701">
        <f t="shared" ca="1" si="53"/>
        <v>-179016.19983943476</v>
      </c>
      <c r="AV64" s="701">
        <f t="shared" ca="1" si="53"/>
        <v>-180625.17022387337</v>
      </c>
      <c r="AW64" s="701">
        <f t="shared" ca="1" si="53"/>
        <v>-182234.86794094942</v>
      </c>
      <c r="AX64" s="701">
        <f t="shared" ca="1" si="53"/>
        <v>-183879.92268475308</v>
      </c>
      <c r="AY64" s="701">
        <f t="shared" ca="1" si="53"/>
        <v>-185553.92337020158</v>
      </c>
      <c r="AZ64" s="701">
        <f t="shared" ca="1" si="53"/>
        <v>-187268.22815394908</v>
      </c>
      <c r="BA64" s="701">
        <f t="shared" ca="1" si="53"/>
        <v>0</v>
      </c>
      <c r="BB64" s="701">
        <f t="shared" ca="1" si="53"/>
        <v>0</v>
      </c>
      <c r="BC64" s="701">
        <f t="shared" ca="1" si="53"/>
        <v>0</v>
      </c>
      <c r="BD64" s="701">
        <f t="shared" ca="1" si="53"/>
        <v>0</v>
      </c>
      <c r="BE64" s="701">
        <f t="shared" ca="1" si="53"/>
        <v>0</v>
      </c>
      <c r="BF64" s="701">
        <f t="shared" ca="1" si="53"/>
        <v>0</v>
      </c>
      <c r="BG64" s="701">
        <f t="shared" ca="1" si="53"/>
        <v>0</v>
      </c>
      <c r="BH64" s="701">
        <f t="shared" ca="1" si="53"/>
        <v>0</v>
      </c>
      <c r="BI64" s="701">
        <f t="shared" ca="1" si="53"/>
        <v>0</v>
      </c>
      <c r="BJ64" s="701">
        <f t="shared" ca="1" si="53"/>
        <v>0</v>
      </c>
      <c r="BK64" s="701">
        <f t="shared" ca="1" si="53"/>
        <v>0</v>
      </c>
      <c r="BL64" s="701">
        <f t="shared" ca="1" si="53"/>
        <v>0</v>
      </c>
    </row>
    <row r="65" spans="1:64">
      <c r="A65" s="774" t="s">
        <v>639</v>
      </c>
      <c r="B65" s="701"/>
      <c r="C65" s="699"/>
      <c r="D65" s="701">
        <f>D37+D50</f>
        <v>0</v>
      </c>
      <c r="E65" s="701">
        <f t="shared" ref="E65:BL65" ca="1" si="54">E37+E50</f>
        <v>0</v>
      </c>
      <c r="F65" s="701">
        <f t="shared" ca="1" si="54"/>
        <v>0</v>
      </c>
      <c r="G65" s="701">
        <f t="shared" ca="1" si="54"/>
        <v>0</v>
      </c>
      <c r="H65" s="701">
        <f t="shared" ca="1" si="54"/>
        <v>0</v>
      </c>
      <c r="I65" s="701">
        <f t="shared" ca="1" si="54"/>
        <v>0</v>
      </c>
      <c r="J65" s="701">
        <f t="shared" ca="1" si="54"/>
        <v>0</v>
      </c>
      <c r="K65" s="701">
        <f t="shared" ca="1" si="54"/>
        <v>0</v>
      </c>
      <c r="L65" s="701">
        <f t="shared" ca="1" si="54"/>
        <v>0</v>
      </c>
      <c r="M65" s="701">
        <f t="shared" ca="1" si="54"/>
        <v>0</v>
      </c>
      <c r="N65" s="701">
        <f t="shared" ca="1" si="54"/>
        <v>0</v>
      </c>
      <c r="O65" s="701">
        <f t="shared" ca="1" si="54"/>
        <v>0</v>
      </c>
      <c r="P65" s="701">
        <f t="shared" ca="1" si="54"/>
        <v>0</v>
      </c>
      <c r="Q65" s="701">
        <f t="shared" ca="1" si="54"/>
        <v>0</v>
      </c>
      <c r="R65" s="701">
        <f t="shared" ca="1" si="54"/>
        <v>86127.413202311101</v>
      </c>
      <c r="S65" s="701">
        <f t="shared" ca="1" si="54"/>
        <v>0</v>
      </c>
      <c r="T65" s="701">
        <f t="shared" ca="1" si="54"/>
        <v>0</v>
      </c>
      <c r="U65" s="701">
        <f t="shared" ca="1" si="54"/>
        <v>0</v>
      </c>
      <c r="V65" s="701">
        <f t="shared" ca="1" si="54"/>
        <v>0</v>
      </c>
      <c r="W65" s="701">
        <f t="shared" ca="1" si="54"/>
        <v>0</v>
      </c>
      <c r="X65" s="701">
        <f t="shared" ca="1" si="54"/>
        <v>0</v>
      </c>
      <c r="Y65" s="701">
        <f t="shared" ca="1" si="54"/>
        <v>0</v>
      </c>
      <c r="Z65" s="701">
        <f t="shared" ca="1" si="54"/>
        <v>0</v>
      </c>
      <c r="AA65" s="701">
        <f t="shared" ca="1" si="54"/>
        <v>0</v>
      </c>
      <c r="AB65" s="701">
        <f t="shared" ca="1" si="54"/>
        <v>0</v>
      </c>
      <c r="AC65" s="701">
        <f t="shared" ca="1" si="54"/>
        <v>7206.0087427061371</v>
      </c>
      <c r="AD65" s="701">
        <f t="shared" ca="1" si="54"/>
        <v>97196.141140446736</v>
      </c>
      <c r="AE65" s="701">
        <f t="shared" ca="1" si="54"/>
        <v>21055.946865947888</v>
      </c>
      <c r="AF65" s="701">
        <f ca="1">AF37+AF50</f>
        <v>28724.387467987923</v>
      </c>
      <c r="AG65" s="701">
        <f t="shared" ca="1" si="54"/>
        <v>36104.966417679243</v>
      </c>
      <c r="AH65" s="701">
        <f t="shared" ca="1" si="54"/>
        <v>54059.507925376165</v>
      </c>
      <c r="AI65" s="701">
        <f t="shared" ca="1" si="54"/>
        <v>62943.060065788086</v>
      </c>
      <c r="AJ65" s="701">
        <f t="shared" ca="1" si="54"/>
        <v>68900.47988270261</v>
      </c>
      <c r="AK65" s="701">
        <f t="shared" ca="1" si="54"/>
        <v>50097.05957852221</v>
      </c>
      <c r="AL65" s="701">
        <f t="shared" ca="1" si="54"/>
        <v>50673.06200911761</v>
      </c>
      <c r="AM65" s="701">
        <f t="shared" ca="1" si="54"/>
        <v>50445.81195463457</v>
      </c>
      <c r="AN65" s="701">
        <f t="shared" ca="1" si="54"/>
        <v>58259.71555476317</v>
      </c>
      <c r="AO65" s="701">
        <f t="shared" ca="1" si="54"/>
        <v>57992.480314047338</v>
      </c>
      <c r="AP65" s="701">
        <f t="shared" ca="1" si="54"/>
        <v>60492.991125167217</v>
      </c>
      <c r="AQ65" s="701">
        <f t="shared" ca="1" si="54"/>
        <v>63197.325187124254</v>
      </c>
      <c r="AR65" s="701">
        <f t="shared" ca="1" si="54"/>
        <v>66212.546362612702</v>
      </c>
      <c r="AS65" s="701">
        <f t="shared" ca="1" si="54"/>
        <v>69882.109380630471</v>
      </c>
      <c r="AT65" s="701">
        <f t="shared" ca="1" si="54"/>
        <v>72211.426165391909</v>
      </c>
      <c r="AU65" s="701">
        <f t="shared" ca="1" si="54"/>
        <v>73919.889087109943</v>
      </c>
      <c r="AV65" s="701">
        <f t="shared" ca="1" si="54"/>
        <v>75481.35254099837</v>
      </c>
      <c r="AW65" s="701">
        <f t="shared" ca="1" si="54"/>
        <v>74781.561758040159</v>
      </c>
      <c r="AX65" s="701">
        <f t="shared" ca="1" si="54"/>
        <v>74535.894558091793</v>
      </c>
      <c r="AY65" s="701">
        <f t="shared" ca="1" si="54"/>
        <v>73577.268404592178</v>
      </c>
      <c r="AZ65" s="701">
        <f t="shared" ca="1" si="54"/>
        <v>118972.27618888613</v>
      </c>
      <c r="BA65" s="701">
        <f t="shared" ca="1" si="54"/>
        <v>0</v>
      </c>
      <c r="BB65" s="701">
        <f t="shared" ca="1" si="54"/>
        <v>0</v>
      </c>
      <c r="BC65" s="701">
        <f t="shared" ca="1" si="54"/>
        <v>0</v>
      </c>
      <c r="BD65" s="701">
        <f t="shared" ca="1" si="54"/>
        <v>0</v>
      </c>
      <c r="BE65" s="701">
        <f t="shared" ca="1" si="54"/>
        <v>0</v>
      </c>
      <c r="BF65" s="701">
        <f t="shared" ca="1" si="54"/>
        <v>0</v>
      </c>
      <c r="BG65" s="701">
        <f t="shared" ca="1" si="54"/>
        <v>0</v>
      </c>
      <c r="BH65" s="701">
        <f t="shared" ca="1" si="54"/>
        <v>0</v>
      </c>
      <c r="BI65" s="701">
        <f t="shared" ca="1" si="54"/>
        <v>0</v>
      </c>
      <c r="BJ65" s="701">
        <f t="shared" ca="1" si="54"/>
        <v>0</v>
      </c>
      <c r="BK65" s="701">
        <f t="shared" ca="1" si="54"/>
        <v>0</v>
      </c>
      <c r="BL65" s="701">
        <f t="shared" ca="1" si="54"/>
        <v>0</v>
      </c>
    </row>
    <row r="66" spans="1:64">
      <c r="A66" s="774" t="s">
        <v>640</v>
      </c>
      <c r="B66" s="701"/>
      <c r="C66" s="699"/>
      <c r="D66" s="701">
        <f>D39+D51</f>
        <v>0</v>
      </c>
      <c r="E66" s="701">
        <f t="shared" ref="E66:BL66" ca="1" si="55">E39+E51</f>
        <v>0</v>
      </c>
      <c r="F66" s="701">
        <f t="shared" ca="1" si="55"/>
        <v>0</v>
      </c>
      <c r="G66" s="701">
        <f t="shared" ca="1" si="55"/>
        <v>0</v>
      </c>
      <c r="H66" s="701">
        <f t="shared" ca="1" si="55"/>
        <v>0</v>
      </c>
      <c r="I66" s="701">
        <f t="shared" ca="1" si="55"/>
        <v>0</v>
      </c>
      <c r="J66" s="701">
        <f t="shared" ca="1" si="55"/>
        <v>0</v>
      </c>
      <c r="K66" s="701">
        <f t="shared" ca="1" si="55"/>
        <v>0</v>
      </c>
      <c r="L66" s="701">
        <f t="shared" ca="1" si="55"/>
        <v>0</v>
      </c>
      <c r="M66" s="701">
        <f t="shared" ca="1" si="55"/>
        <v>0</v>
      </c>
      <c r="N66" s="701">
        <f t="shared" ca="1" si="55"/>
        <v>0</v>
      </c>
      <c r="O66" s="701">
        <f t="shared" ca="1" si="55"/>
        <v>0</v>
      </c>
      <c r="P66" s="701">
        <f t="shared" ca="1" si="55"/>
        <v>0</v>
      </c>
      <c r="Q66" s="701">
        <f t="shared" ca="1" si="55"/>
        <v>0</v>
      </c>
      <c r="R66" s="701">
        <f t="shared" ca="1" si="55"/>
        <v>46490.759192695186</v>
      </c>
      <c r="S66" s="701">
        <f t="shared" ca="1" si="55"/>
        <v>0</v>
      </c>
      <c r="T66" s="701">
        <f t="shared" ca="1" si="55"/>
        <v>0</v>
      </c>
      <c r="U66" s="701">
        <f t="shared" ca="1" si="55"/>
        <v>0</v>
      </c>
      <c r="V66" s="701">
        <f t="shared" ca="1" si="55"/>
        <v>0</v>
      </c>
      <c r="W66" s="701">
        <f t="shared" ca="1" si="55"/>
        <v>0</v>
      </c>
      <c r="X66" s="701">
        <f t="shared" ca="1" si="55"/>
        <v>0</v>
      </c>
      <c r="Y66" s="701">
        <f t="shared" ca="1" si="55"/>
        <v>0</v>
      </c>
      <c r="Z66" s="701">
        <f t="shared" ca="1" si="55"/>
        <v>0</v>
      </c>
      <c r="AA66" s="701">
        <f t="shared" ca="1" si="55"/>
        <v>0</v>
      </c>
      <c r="AB66" s="701">
        <f t="shared" ca="1" si="55"/>
        <v>0</v>
      </c>
      <c r="AC66" s="701">
        <f t="shared" ca="1" si="55"/>
        <v>-1.0535310502746142E-2</v>
      </c>
      <c r="AD66" s="701">
        <f t="shared" ca="1" si="55"/>
        <v>75954.783131044795</v>
      </c>
      <c r="AE66" s="701">
        <f t="shared" ca="1" si="55"/>
        <v>-3.0735506676137447E-2</v>
      </c>
      <c r="AF66" s="701">
        <f t="shared" ca="1" si="55"/>
        <v>-4.1548858134774491E-2</v>
      </c>
      <c r="AG66" s="701">
        <f t="shared" ca="1" si="55"/>
        <v>-5.1797160085698124E-2</v>
      </c>
      <c r="AH66" s="701">
        <f t="shared" ca="1" si="55"/>
        <v>-7.6985652973235119E-2</v>
      </c>
      <c r="AI66" s="701">
        <f t="shared" ca="1" si="55"/>
        <v>-8.9164118267945014E-2</v>
      </c>
      <c r="AJ66" s="701">
        <f t="shared" ca="1" si="55"/>
        <v>-9.7186898157815449E-2</v>
      </c>
      <c r="AK66" s="701">
        <f t="shared" ca="1" si="55"/>
        <v>-7.0409316809673328E-2</v>
      </c>
      <c r="AL66" s="701">
        <f t="shared" ca="1" si="55"/>
        <v>-7.0804834656883031E-2</v>
      </c>
      <c r="AM66" s="701">
        <f t="shared" ca="1" si="55"/>
        <v>-7.0079820899991319E-2</v>
      </c>
      <c r="AN66" s="701">
        <f t="shared" ca="1" si="55"/>
        <v>-8.0462262754736003E-2</v>
      </c>
      <c r="AO66" s="701">
        <f t="shared" ca="1" si="55"/>
        <v>-7.9693940228025895E-2</v>
      </c>
      <c r="AP66" s="701">
        <f t="shared" ca="1" si="55"/>
        <v>-8.2710518312524073E-2</v>
      </c>
      <c r="AQ66" s="701">
        <f t="shared" ca="1" si="55"/>
        <v>-8.5993392771342769E-2</v>
      </c>
      <c r="AR66" s="701">
        <f t="shared" ca="1" si="55"/>
        <v>-8.9688267966266721E-2</v>
      </c>
      <c r="AS66" s="701">
        <f t="shared" ca="1" si="55"/>
        <v>-9.4259135003085248E-2</v>
      </c>
      <c r="AT66" s="701">
        <f t="shared" ca="1" si="55"/>
        <v>-9.7026467905379832E-2</v>
      </c>
      <c r="AU66" s="701">
        <f t="shared" ca="1" si="55"/>
        <v>-9.8962860676692799E-2</v>
      </c>
      <c r="AV66" s="701">
        <f t="shared" ca="1" si="55"/>
        <v>-0.10070408204046544</v>
      </c>
      <c r="AW66" s="701">
        <f t="shared" ca="1" si="55"/>
        <v>-9.9440020028850995E-2</v>
      </c>
      <c r="AX66" s="701">
        <f t="shared" ca="1" si="55"/>
        <v>-9.8774722267990001E-2</v>
      </c>
      <c r="AY66" s="701">
        <f t="shared" ca="1" si="55"/>
        <v>-9.7165858300286345E-2</v>
      </c>
      <c r="AZ66" s="701">
        <f ca="1">AZ39+AZ51</f>
        <v>10155622.6990618</v>
      </c>
      <c r="BA66" s="701">
        <f t="shared" ca="1" si="55"/>
        <v>0</v>
      </c>
      <c r="BB66" s="701">
        <f t="shared" ca="1" si="55"/>
        <v>0</v>
      </c>
      <c r="BC66" s="701">
        <f t="shared" ca="1" si="55"/>
        <v>0</v>
      </c>
      <c r="BD66" s="701">
        <f t="shared" ca="1" si="55"/>
        <v>0</v>
      </c>
      <c r="BE66" s="701">
        <f t="shared" ca="1" si="55"/>
        <v>0</v>
      </c>
      <c r="BF66" s="701">
        <f t="shared" ca="1" si="55"/>
        <v>0</v>
      </c>
      <c r="BG66" s="701">
        <f t="shared" ca="1" si="55"/>
        <v>0</v>
      </c>
      <c r="BH66" s="701">
        <f t="shared" ca="1" si="55"/>
        <v>0</v>
      </c>
      <c r="BI66" s="701">
        <f t="shared" ca="1" si="55"/>
        <v>0</v>
      </c>
      <c r="BJ66" s="701">
        <f t="shared" ca="1" si="55"/>
        <v>0</v>
      </c>
      <c r="BK66" s="701">
        <f t="shared" ca="1" si="55"/>
        <v>0</v>
      </c>
      <c r="BL66" s="701">
        <f t="shared" ca="1" si="55"/>
        <v>0</v>
      </c>
    </row>
    <row r="67" spans="1:64">
      <c r="A67" s="774" t="s">
        <v>541</v>
      </c>
      <c r="B67" s="701"/>
      <c r="C67" s="703"/>
      <c r="D67" s="754">
        <f t="shared" ref="D67:AI67" ca="1" si="56">SUM(D62:D66)</f>
        <v>-6170830.5186084136</v>
      </c>
      <c r="E67" s="754">
        <f t="shared" ca="1" si="56"/>
        <v>-7021437.8492529206</v>
      </c>
      <c r="F67" s="754">
        <f t="shared" ca="1" si="56"/>
        <v>-7128932.3448717557</v>
      </c>
      <c r="G67" s="754">
        <f t="shared" ca="1" si="56"/>
        <v>-7238072.5243001487</v>
      </c>
      <c r="H67" s="754">
        <f t="shared" ca="1" si="56"/>
        <v>-7348883.5820858385</v>
      </c>
      <c r="I67" s="754">
        <f t="shared" ca="1" si="56"/>
        <v>-7461391.0984917404</v>
      </c>
      <c r="J67" s="754">
        <f t="shared" ca="1" si="56"/>
        <v>-7575621.045401061</v>
      </c>
      <c r="K67" s="754">
        <f t="shared" ca="1" si="56"/>
        <v>-7691599.7923127748</v>
      </c>
      <c r="L67" s="754">
        <f t="shared" ca="1" si="56"/>
        <v>-7809354.1124289278</v>
      </c>
      <c r="M67" s="754">
        <f t="shared" ca="1" si="56"/>
        <v>-7928911.1888351385</v>
      </c>
      <c r="N67" s="754">
        <f t="shared" ca="1" si="56"/>
        <v>-8050298.6207756279</v>
      </c>
      <c r="O67" s="754">
        <f t="shared" ca="1" si="56"/>
        <v>-8173544.4300244609</v>
      </c>
      <c r="P67" s="754">
        <f t="shared" ca="1" si="56"/>
        <v>-8298677.0673542107</v>
      </c>
      <c r="Q67" s="754">
        <f t="shared" ca="1" si="56"/>
        <v>-8425725.419103723</v>
      </c>
      <c r="R67" s="754">
        <f t="shared" ca="1" si="56"/>
        <v>-8422100.6414513849</v>
      </c>
      <c r="S67" s="754">
        <f t="shared" ca="1" si="56"/>
        <v>-8551038.5427675173</v>
      </c>
      <c r="T67" s="754">
        <f t="shared" ca="1" si="56"/>
        <v>-8681950.4150801431</v>
      </c>
      <c r="U67" s="754">
        <f t="shared" ca="1" si="56"/>
        <v>-8814866.478840014</v>
      </c>
      <c r="V67" s="754">
        <f t="shared" ca="1" si="56"/>
        <v>-8949817.4171569236</v>
      </c>
      <c r="W67" s="754">
        <f t="shared" ca="1" si="56"/>
        <v>-9086834.3828828838</v>
      </c>
      <c r="X67" s="754">
        <f t="shared" ca="1" si="56"/>
        <v>-9225949.0058035441</v>
      </c>
      <c r="Y67" s="754">
        <f t="shared" ca="1" si="56"/>
        <v>-9367193.3999398239</v>
      </c>
      <c r="Z67" s="754">
        <f t="shared" ca="1" si="56"/>
        <v>-9510600.1709613036</v>
      </c>
      <c r="AA67" s="754">
        <f t="shared" ca="1" si="56"/>
        <v>-9656202.4237131011</v>
      </c>
      <c r="AB67" s="754">
        <f t="shared" ca="1" si="56"/>
        <v>-9804033.7698579747</v>
      </c>
      <c r="AC67" s="754">
        <f t="shared" ca="1" si="56"/>
        <v>-9946922.3374280687</v>
      </c>
      <c r="AD67" s="754">
        <f t="shared" ca="1" si="56"/>
        <v>-9926053.5272438992</v>
      </c>
      <c r="AE67" s="754">
        <f t="shared" ca="1" si="56"/>
        <v>-10056960.234766759</v>
      </c>
      <c r="AF67" s="754">
        <f t="shared" ca="1" si="56"/>
        <v>-10182202.624877844</v>
      </c>
      <c r="AG67" s="754">
        <f t="shared" ca="1" si="56"/>
        <v>-10301981.840964131</v>
      </c>
      <c r="AH67" s="754">
        <f t="shared" ca="1" si="56"/>
        <v>-10405640.29710624</v>
      </c>
      <c r="AI67" s="754">
        <f t="shared" ca="1" si="56"/>
        <v>-10502002.169362666</v>
      </c>
      <c r="AJ67" s="754">
        <f t="shared" ref="AJ67:BL67" ca="1" si="57">SUM(AJ62:AJ66)</f>
        <v>-10593881.879065504</v>
      </c>
      <c r="AK67" s="754">
        <f t="shared" ca="1" si="57"/>
        <v>-10705971.61200021</v>
      </c>
      <c r="AL67" s="754">
        <f t="shared" ca="1" si="57"/>
        <v>-10819201.377359712</v>
      </c>
      <c r="AM67" s="754">
        <f t="shared" ca="1" si="57"/>
        <v>-10934391.879801538</v>
      </c>
      <c r="AN67" s="754">
        <f t="shared" ca="1" si="57"/>
        <v>-11043531.994625382</v>
      </c>
      <c r="AO67" s="754">
        <f t="shared" ca="1" si="57"/>
        <v>-11154610.221290929</v>
      </c>
      <c r="AP67" s="754">
        <f t="shared" ca="1" si="57"/>
        <v>-11264888.488997774</v>
      </c>
      <c r="AQ67" s="754">
        <f t="shared" ca="1" si="57"/>
        <v>-11374150.72781373</v>
      </c>
      <c r="AR67" s="754">
        <f t="shared" ca="1" si="57"/>
        <v>-11482070.496173454</v>
      </c>
      <c r="AS67" s="754">
        <f t="shared" ca="1" si="57"/>
        <v>-11587972.900598882</v>
      </c>
      <c r="AT67" s="754">
        <f t="shared" ca="1" si="57"/>
        <v>-11693167.300746286</v>
      </c>
      <c r="AU67" s="754">
        <f t="shared" ca="1" si="57"/>
        <v>-11798263.710477022</v>
      </c>
      <c r="AV67" s="754">
        <f t="shared" ca="1" si="57"/>
        <v>-11903407.628882028</v>
      </c>
      <c r="AW67" s="754">
        <f t="shared" ca="1" si="57"/>
        <v>-12010861.034524865</v>
      </c>
      <c r="AX67" s="754">
        <f t="shared" ca="1" si="57"/>
        <v>-12120205.161447397</v>
      </c>
      <c r="AY67" s="754">
        <f t="shared" ca="1" si="57"/>
        <v>-12232181.913600611</v>
      </c>
      <c r="AZ67" s="754">
        <f t="shared" ca="1" si="57"/>
        <v>-2144855.1665257625</v>
      </c>
      <c r="BA67" s="754">
        <f t="shared" ca="1" si="57"/>
        <v>0</v>
      </c>
      <c r="BB67" s="754">
        <f t="shared" ca="1" si="57"/>
        <v>0</v>
      </c>
      <c r="BC67" s="754">
        <f t="shared" ca="1" si="57"/>
        <v>0</v>
      </c>
      <c r="BD67" s="754">
        <f t="shared" ca="1" si="57"/>
        <v>0</v>
      </c>
      <c r="BE67" s="754">
        <f t="shared" ca="1" si="57"/>
        <v>0</v>
      </c>
      <c r="BF67" s="754">
        <f t="shared" ca="1" si="57"/>
        <v>0</v>
      </c>
      <c r="BG67" s="754">
        <f t="shared" ca="1" si="57"/>
        <v>0</v>
      </c>
      <c r="BH67" s="754">
        <f t="shared" ca="1" si="57"/>
        <v>0</v>
      </c>
      <c r="BI67" s="754">
        <f t="shared" ca="1" si="57"/>
        <v>0</v>
      </c>
      <c r="BJ67" s="754">
        <f t="shared" ca="1" si="57"/>
        <v>0</v>
      </c>
      <c r="BK67" s="754">
        <f t="shared" ca="1" si="57"/>
        <v>0</v>
      </c>
      <c r="BL67" s="754">
        <f t="shared" ca="1" si="57"/>
        <v>0</v>
      </c>
    </row>
    <row r="68" spans="1:64">
      <c r="A68" s="778">
        <f ca="1">1-G10</f>
        <v>0.83661801225213517</v>
      </c>
      <c r="B68" s="701"/>
      <c r="C68" s="699"/>
      <c r="D68" s="701">
        <f t="shared" ref="D68:AI68" ca="1" si="58">MIN(-D67,D59*$A68)</f>
        <v>0</v>
      </c>
      <c r="E68" s="701">
        <f t="shared" ca="1" si="58"/>
        <v>0</v>
      </c>
      <c r="F68" s="701">
        <f t="shared" ca="1" si="58"/>
        <v>0</v>
      </c>
      <c r="G68" s="701">
        <f t="shared" ca="1" si="58"/>
        <v>0</v>
      </c>
      <c r="H68" s="701">
        <f t="shared" ca="1" si="58"/>
        <v>0</v>
      </c>
      <c r="I68" s="701">
        <f t="shared" ca="1" si="58"/>
        <v>0</v>
      </c>
      <c r="J68" s="701">
        <f t="shared" ca="1" si="58"/>
        <v>0</v>
      </c>
      <c r="K68" s="701">
        <f t="shared" ca="1" si="58"/>
        <v>0</v>
      </c>
      <c r="L68" s="701">
        <f t="shared" ca="1" si="58"/>
        <v>0</v>
      </c>
      <c r="M68" s="701">
        <f t="shared" ca="1" si="58"/>
        <v>0</v>
      </c>
      <c r="N68" s="701">
        <f t="shared" ca="1" si="58"/>
        <v>0</v>
      </c>
      <c r="O68" s="701">
        <f t="shared" ca="1" si="58"/>
        <v>0</v>
      </c>
      <c r="P68" s="701">
        <f t="shared" ca="1" si="58"/>
        <v>0</v>
      </c>
      <c r="Q68" s="701">
        <f t="shared" ca="1" si="58"/>
        <v>0</v>
      </c>
      <c r="R68" s="701">
        <f t="shared" ca="1" si="58"/>
        <v>0</v>
      </c>
      <c r="S68" s="701">
        <f t="shared" ca="1" si="58"/>
        <v>0</v>
      </c>
      <c r="T68" s="701">
        <f t="shared" ca="1" si="58"/>
        <v>0</v>
      </c>
      <c r="U68" s="701">
        <f t="shared" ca="1" si="58"/>
        <v>0</v>
      </c>
      <c r="V68" s="701">
        <f t="shared" ca="1" si="58"/>
        <v>0</v>
      </c>
      <c r="W68" s="701">
        <f t="shared" ca="1" si="58"/>
        <v>0</v>
      </c>
      <c r="X68" s="701">
        <f t="shared" ca="1" si="58"/>
        <v>0</v>
      </c>
      <c r="Y68" s="701">
        <f t="shared" ca="1" si="58"/>
        <v>0</v>
      </c>
      <c r="Z68" s="701">
        <f t="shared" ca="1" si="58"/>
        <v>0</v>
      </c>
      <c r="AA68" s="701">
        <f t="shared" ca="1" si="58"/>
        <v>0</v>
      </c>
      <c r="AB68" s="701">
        <f t="shared" ca="1" si="58"/>
        <v>0</v>
      </c>
      <c r="AC68" s="701">
        <f t="shared" ca="1" si="58"/>
        <v>0</v>
      </c>
      <c r="AD68" s="701">
        <f t="shared" ca="1" si="58"/>
        <v>0</v>
      </c>
      <c r="AE68" s="701">
        <f t="shared" ca="1" si="58"/>
        <v>0</v>
      </c>
      <c r="AF68" s="701">
        <f t="shared" ca="1" si="58"/>
        <v>0</v>
      </c>
      <c r="AG68" s="701">
        <f t="shared" ca="1" si="58"/>
        <v>0</v>
      </c>
      <c r="AH68" s="701">
        <f t="shared" ca="1" si="58"/>
        <v>0</v>
      </c>
      <c r="AI68" s="701">
        <f t="shared" ca="1" si="58"/>
        <v>0</v>
      </c>
      <c r="AJ68" s="701">
        <f t="shared" ref="AJ68:BL68" ca="1" si="59">MIN(-AJ67,AJ59*$A68)</f>
        <v>0</v>
      </c>
      <c r="AK68" s="701">
        <f t="shared" ca="1" si="59"/>
        <v>0</v>
      </c>
      <c r="AL68" s="701">
        <f t="shared" ca="1" si="59"/>
        <v>0</v>
      </c>
      <c r="AM68" s="701">
        <f t="shared" ca="1" si="59"/>
        <v>0</v>
      </c>
      <c r="AN68" s="701">
        <f t="shared" ca="1" si="59"/>
        <v>0</v>
      </c>
      <c r="AO68" s="701">
        <f t="shared" ca="1" si="59"/>
        <v>0</v>
      </c>
      <c r="AP68" s="701">
        <f t="shared" ca="1" si="59"/>
        <v>0</v>
      </c>
      <c r="AQ68" s="701">
        <f t="shared" ca="1" si="59"/>
        <v>0</v>
      </c>
      <c r="AR68" s="701">
        <f t="shared" ca="1" si="59"/>
        <v>0</v>
      </c>
      <c r="AS68" s="701">
        <f t="shared" ca="1" si="59"/>
        <v>0</v>
      </c>
      <c r="AT68" s="701">
        <f t="shared" ca="1" si="59"/>
        <v>0</v>
      </c>
      <c r="AU68" s="701">
        <f t="shared" ca="1" si="59"/>
        <v>0</v>
      </c>
      <c r="AV68" s="701">
        <f t="shared" ca="1" si="59"/>
        <v>0</v>
      </c>
      <c r="AW68" s="701">
        <f t="shared" ca="1" si="59"/>
        <v>0</v>
      </c>
      <c r="AX68" s="701">
        <f t="shared" ca="1" si="59"/>
        <v>0</v>
      </c>
      <c r="AY68" s="701">
        <f t="shared" ca="1" si="59"/>
        <v>0</v>
      </c>
      <c r="AZ68" s="701">
        <f t="shared" ca="1" si="59"/>
        <v>2144855.1665257625</v>
      </c>
      <c r="BA68" s="701">
        <f t="shared" ca="1" si="59"/>
        <v>0</v>
      </c>
      <c r="BB68" s="701">
        <f t="shared" ca="1" si="59"/>
        <v>0</v>
      </c>
      <c r="BC68" s="701">
        <f t="shared" ca="1" si="59"/>
        <v>0</v>
      </c>
      <c r="BD68" s="701">
        <f t="shared" ca="1" si="59"/>
        <v>0</v>
      </c>
      <c r="BE68" s="701">
        <f t="shared" ca="1" si="59"/>
        <v>0</v>
      </c>
      <c r="BF68" s="701">
        <f t="shared" ca="1" si="59"/>
        <v>0</v>
      </c>
      <c r="BG68" s="701">
        <f t="shared" ca="1" si="59"/>
        <v>0</v>
      </c>
      <c r="BH68" s="701">
        <f t="shared" ca="1" si="59"/>
        <v>0</v>
      </c>
      <c r="BI68" s="701">
        <f t="shared" ca="1" si="59"/>
        <v>0</v>
      </c>
      <c r="BJ68" s="701">
        <f t="shared" ca="1" si="59"/>
        <v>0</v>
      </c>
      <c r="BK68" s="701">
        <f t="shared" ca="1" si="59"/>
        <v>0</v>
      </c>
      <c r="BL68" s="701">
        <f t="shared" ca="1" si="59"/>
        <v>0</v>
      </c>
    </row>
    <row r="69" spans="1:64">
      <c r="A69" s="774" t="s">
        <v>675</v>
      </c>
      <c r="B69" s="702">
        <f ca="1">E10</f>
        <v>0.91338198774786505</v>
      </c>
      <c r="C69" s="699"/>
      <c r="D69" s="701">
        <v>0</v>
      </c>
      <c r="E69" s="701">
        <f t="shared" ref="E69:T70" ca="1" si="60">E$68*$B69</f>
        <v>0</v>
      </c>
      <c r="F69" s="701">
        <f t="shared" ca="1" si="60"/>
        <v>0</v>
      </c>
      <c r="G69" s="701">
        <f t="shared" ca="1" si="60"/>
        <v>0</v>
      </c>
      <c r="H69" s="701">
        <f t="shared" ca="1" si="60"/>
        <v>0</v>
      </c>
      <c r="I69" s="701">
        <f t="shared" ca="1" si="60"/>
        <v>0</v>
      </c>
      <c r="J69" s="701">
        <f t="shared" ca="1" si="60"/>
        <v>0</v>
      </c>
      <c r="K69" s="701">
        <f t="shared" ca="1" si="60"/>
        <v>0</v>
      </c>
      <c r="L69" s="701">
        <f t="shared" ca="1" si="60"/>
        <v>0</v>
      </c>
      <c r="M69" s="701">
        <f t="shared" ca="1" si="60"/>
        <v>0</v>
      </c>
      <c r="N69" s="701">
        <f t="shared" ca="1" si="60"/>
        <v>0</v>
      </c>
      <c r="O69" s="701">
        <f t="shared" ca="1" si="60"/>
        <v>0</v>
      </c>
      <c r="P69" s="701">
        <f t="shared" ca="1" si="60"/>
        <v>0</v>
      </c>
      <c r="Q69" s="701">
        <f t="shared" ca="1" si="60"/>
        <v>0</v>
      </c>
      <c r="R69" s="701">
        <f t="shared" ca="1" si="60"/>
        <v>0</v>
      </c>
      <c r="S69" s="701">
        <f t="shared" ca="1" si="60"/>
        <v>0</v>
      </c>
      <c r="T69" s="701">
        <f t="shared" ca="1" si="60"/>
        <v>0</v>
      </c>
      <c r="U69" s="701">
        <f t="shared" ref="U69:AJ70" ca="1" si="61">U$68*$B69</f>
        <v>0</v>
      </c>
      <c r="V69" s="701">
        <f t="shared" ca="1" si="61"/>
        <v>0</v>
      </c>
      <c r="W69" s="701">
        <f t="shared" ca="1" si="61"/>
        <v>0</v>
      </c>
      <c r="X69" s="701">
        <f t="shared" ca="1" si="61"/>
        <v>0</v>
      </c>
      <c r="Y69" s="701">
        <f t="shared" ca="1" si="61"/>
        <v>0</v>
      </c>
      <c r="Z69" s="701">
        <f t="shared" ca="1" si="61"/>
        <v>0</v>
      </c>
      <c r="AA69" s="701">
        <f t="shared" ca="1" si="61"/>
        <v>0</v>
      </c>
      <c r="AB69" s="701">
        <f t="shared" ca="1" si="61"/>
        <v>0</v>
      </c>
      <c r="AC69" s="701">
        <f t="shared" ca="1" si="61"/>
        <v>0</v>
      </c>
      <c r="AD69" s="701">
        <f t="shared" ca="1" si="61"/>
        <v>0</v>
      </c>
      <c r="AE69" s="701">
        <f t="shared" ca="1" si="61"/>
        <v>0</v>
      </c>
      <c r="AF69" s="701">
        <f t="shared" ca="1" si="61"/>
        <v>0</v>
      </c>
      <c r="AG69" s="701">
        <f t="shared" ca="1" si="61"/>
        <v>0</v>
      </c>
      <c r="AH69" s="701">
        <f t="shared" ca="1" si="61"/>
        <v>0</v>
      </c>
      <c r="AI69" s="701">
        <f t="shared" ca="1" si="61"/>
        <v>0</v>
      </c>
      <c r="AJ69" s="701">
        <f t="shared" ca="1" si="61"/>
        <v>0</v>
      </c>
      <c r="AK69" s="701">
        <f t="shared" ref="AK69:AZ70" ca="1" si="62">AK$68*$B69</f>
        <v>0</v>
      </c>
      <c r="AL69" s="701">
        <f t="shared" ca="1" si="62"/>
        <v>0</v>
      </c>
      <c r="AM69" s="701">
        <f t="shared" ca="1" si="62"/>
        <v>0</v>
      </c>
      <c r="AN69" s="701">
        <f t="shared" ca="1" si="62"/>
        <v>0</v>
      </c>
      <c r="AO69" s="701">
        <f t="shared" ca="1" si="62"/>
        <v>0</v>
      </c>
      <c r="AP69" s="701">
        <f t="shared" ca="1" si="62"/>
        <v>0</v>
      </c>
      <c r="AQ69" s="701">
        <f t="shared" ca="1" si="62"/>
        <v>0</v>
      </c>
      <c r="AR69" s="701">
        <f t="shared" ca="1" si="62"/>
        <v>0</v>
      </c>
      <c r="AS69" s="701">
        <f t="shared" ca="1" si="62"/>
        <v>0</v>
      </c>
      <c r="AT69" s="701">
        <f t="shared" ca="1" si="62"/>
        <v>0</v>
      </c>
      <c r="AU69" s="701">
        <f t="shared" ca="1" si="62"/>
        <v>0</v>
      </c>
      <c r="AV69" s="701">
        <f t="shared" ca="1" si="62"/>
        <v>0</v>
      </c>
      <c r="AW69" s="701">
        <f t="shared" ca="1" si="62"/>
        <v>0</v>
      </c>
      <c r="AX69" s="701">
        <f t="shared" ca="1" si="62"/>
        <v>0</v>
      </c>
      <c r="AY69" s="701">
        <f t="shared" ca="1" si="62"/>
        <v>0</v>
      </c>
      <c r="AZ69" s="701">
        <f t="shared" ca="1" si="62"/>
        <v>1959072.075432579</v>
      </c>
      <c r="BA69" s="701">
        <f t="shared" ref="BA69:BL70" ca="1" si="63">BA$68*$B69</f>
        <v>0</v>
      </c>
      <c r="BB69" s="701">
        <f t="shared" ca="1" si="63"/>
        <v>0</v>
      </c>
      <c r="BC69" s="701">
        <f t="shared" ca="1" si="63"/>
        <v>0</v>
      </c>
      <c r="BD69" s="701">
        <f t="shared" ca="1" si="63"/>
        <v>0</v>
      </c>
      <c r="BE69" s="701">
        <f t="shared" ca="1" si="63"/>
        <v>0</v>
      </c>
      <c r="BF69" s="701">
        <f t="shared" ca="1" si="63"/>
        <v>0</v>
      </c>
      <c r="BG69" s="701">
        <f t="shared" ca="1" si="63"/>
        <v>0</v>
      </c>
      <c r="BH69" s="701">
        <f t="shared" ca="1" si="63"/>
        <v>0</v>
      </c>
      <c r="BI69" s="701">
        <f t="shared" ca="1" si="63"/>
        <v>0</v>
      </c>
      <c r="BJ69" s="701">
        <f t="shared" ca="1" si="63"/>
        <v>0</v>
      </c>
      <c r="BK69" s="701">
        <f t="shared" ca="1" si="63"/>
        <v>0</v>
      </c>
      <c r="BL69" s="701">
        <f t="shared" ca="1" si="63"/>
        <v>0</v>
      </c>
    </row>
    <row r="70" spans="1:64">
      <c r="A70" s="774" t="s">
        <v>676</v>
      </c>
      <c r="B70" s="702">
        <f ca="1">1-B69</f>
        <v>8.6618012252134946E-2</v>
      </c>
      <c r="C70" s="699"/>
      <c r="D70" s="701">
        <v>0</v>
      </c>
      <c r="E70" s="701">
        <f t="shared" ca="1" si="60"/>
        <v>0</v>
      </c>
      <c r="F70" s="701">
        <f t="shared" ca="1" si="60"/>
        <v>0</v>
      </c>
      <c r="G70" s="701">
        <f t="shared" ca="1" si="60"/>
        <v>0</v>
      </c>
      <c r="H70" s="701">
        <f t="shared" ca="1" si="60"/>
        <v>0</v>
      </c>
      <c r="I70" s="701">
        <f t="shared" ca="1" si="60"/>
        <v>0</v>
      </c>
      <c r="J70" s="701">
        <f t="shared" ca="1" si="60"/>
        <v>0</v>
      </c>
      <c r="K70" s="701">
        <f t="shared" ca="1" si="60"/>
        <v>0</v>
      </c>
      <c r="L70" s="701">
        <f t="shared" ca="1" si="60"/>
        <v>0</v>
      </c>
      <c r="M70" s="701">
        <f t="shared" ca="1" si="60"/>
        <v>0</v>
      </c>
      <c r="N70" s="701">
        <f t="shared" ca="1" si="60"/>
        <v>0</v>
      </c>
      <c r="O70" s="701">
        <f t="shared" ca="1" si="60"/>
        <v>0</v>
      </c>
      <c r="P70" s="701">
        <f t="shared" ca="1" si="60"/>
        <v>0</v>
      </c>
      <c r="Q70" s="701">
        <f t="shared" ca="1" si="60"/>
        <v>0</v>
      </c>
      <c r="R70" s="701">
        <f t="shared" ca="1" si="60"/>
        <v>0</v>
      </c>
      <c r="S70" s="701">
        <f t="shared" ca="1" si="60"/>
        <v>0</v>
      </c>
      <c r="T70" s="701">
        <f t="shared" ca="1" si="60"/>
        <v>0</v>
      </c>
      <c r="U70" s="701">
        <f t="shared" ca="1" si="61"/>
        <v>0</v>
      </c>
      <c r="V70" s="701">
        <f t="shared" ca="1" si="61"/>
        <v>0</v>
      </c>
      <c r="W70" s="701">
        <f t="shared" ca="1" si="61"/>
        <v>0</v>
      </c>
      <c r="X70" s="701">
        <f t="shared" ca="1" si="61"/>
        <v>0</v>
      </c>
      <c r="Y70" s="701">
        <f t="shared" ca="1" si="61"/>
        <v>0</v>
      </c>
      <c r="Z70" s="701">
        <f t="shared" ca="1" si="61"/>
        <v>0</v>
      </c>
      <c r="AA70" s="701">
        <f t="shared" ca="1" si="61"/>
        <v>0</v>
      </c>
      <c r="AB70" s="701">
        <f t="shared" ca="1" si="61"/>
        <v>0</v>
      </c>
      <c r="AC70" s="701">
        <f t="shared" ca="1" si="61"/>
        <v>0</v>
      </c>
      <c r="AD70" s="701">
        <f t="shared" ca="1" si="61"/>
        <v>0</v>
      </c>
      <c r="AE70" s="701">
        <f t="shared" ca="1" si="61"/>
        <v>0</v>
      </c>
      <c r="AF70" s="701">
        <f t="shared" ca="1" si="61"/>
        <v>0</v>
      </c>
      <c r="AG70" s="701">
        <f t="shared" ca="1" si="61"/>
        <v>0</v>
      </c>
      <c r="AH70" s="701">
        <f t="shared" ca="1" si="61"/>
        <v>0</v>
      </c>
      <c r="AI70" s="701">
        <f t="shared" ca="1" si="61"/>
        <v>0</v>
      </c>
      <c r="AJ70" s="701">
        <f t="shared" ca="1" si="61"/>
        <v>0</v>
      </c>
      <c r="AK70" s="701">
        <f t="shared" ca="1" si="62"/>
        <v>0</v>
      </c>
      <c r="AL70" s="701">
        <f t="shared" ca="1" si="62"/>
        <v>0</v>
      </c>
      <c r="AM70" s="701">
        <f t="shared" ca="1" si="62"/>
        <v>0</v>
      </c>
      <c r="AN70" s="701">
        <f t="shared" ca="1" si="62"/>
        <v>0</v>
      </c>
      <c r="AO70" s="701">
        <f t="shared" ca="1" si="62"/>
        <v>0</v>
      </c>
      <c r="AP70" s="701">
        <f t="shared" ca="1" si="62"/>
        <v>0</v>
      </c>
      <c r="AQ70" s="701">
        <f t="shared" ca="1" si="62"/>
        <v>0</v>
      </c>
      <c r="AR70" s="701">
        <f t="shared" ca="1" si="62"/>
        <v>0</v>
      </c>
      <c r="AS70" s="701">
        <f t="shared" ca="1" si="62"/>
        <v>0</v>
      </c>
      <c r="AT70" s="701">
        <f t="shared" ca="1" si="62"/>
        <v>0</v>
      </c>
      <c r="AU70" s="701">
        <f t="shared" ca="1" si="62"/>
        <v>0</v>
      </c>
      <c r="AV70" s="701">
        <f t="shared" ca="1" si="62"/>
        <v>0</v>
      </c>
      <c r="AW70" s="701">
        <f t="shared" ca="1" si="62"/>
        <v>0</v>
      </c>
      <c r="AX70" s="701">
        <f t="shared" ca="1" si="62"/>
        <v>0</v>
      </c>
      <c r="AY70" s="701">
        <f t="shared" ca="1" si="62"/>
        <v>0</v>
      </c>
      <c r="AZ70" s="701">
        <f t="shared" ca="1" si="62"/>
        <v>185783.09109318344</v>
      </c>
      <c r="BA70" s="701">
        <f t="shared" ca="1" si="63"/>
        <v>0</v>
      </c>
      <c r="BB70" s="701">
        <f t="shared" ca="1" si="63"/>
        <v>0</v>
      </c>
      <c r="BC70" s="701">
        <f t="shared" ca="1" si="63"/>
        <v>0</v>
      </c>
      <c r="BD70" s="701">
        <f t="shared" ca="1" si="63"/>
        <v>0</v>
      </c>
      <c r="BE70" s="701">
        <f t="shared" ca="1" si="63"/>
        <v>0</v>
      </c>
      <c r="BF70" s="701">
        <f t="shared" ca="1" si="63"/>
        <v>0</v>
      </c>
      <c r="BG70" s="701">
        <f t="shared" ca="1" si="63"/>
        <v>0</v>
      </c>
      <c r="BH70" s="701">
        <f t="shared" ca="1" si="63"/>
        <v>0</v>
      </c>
      <c r="BI70" s="701">
        <f t="shared" ca="1" si="63"/>
        <v>0</v>
      </c>
      <c r="BJ70" s="701">
        <f t="shared" ca="1" si="63"/>
        <v>0</v>
      </c>
      <c r="BK70" s="701">
        <f t="shared" ca="1" si="63"/>
        <v>0</v>
      </c>
      <c r="BL70" s="701">
        <f t="shared" ca="1" si="63"/>
        <v>0</v>
      </c>
    </row>
    <row r="71" spans="1:64">
      <c r="A71" s="774" t="s">
        <v>646</v>
      </c>
      <c r="B71" s="701"/>
      <c r="C71" s="703"/>
      <c r="D71" s="754">
        <f t="shared" ref="D71:BL71" ca="1" si="64">SUM(D67:D68)</f>
        <v>-6170830.5186084136</v>
      </c>
      <c r="E71" s="754">
        <f t="shared" ca="1" si="64"/>
        <v>-7021437.8492529206</v>
      </c>
      <c r="F71" s="754">
        <f t="shared" ca="1" si="64"/>
        <v>-7128932.3448717557</v>
      </c>
      <c r="G71" s="754">
        <f t="shared" ca="1" si="64"/>
        <v>-7238072.5243001487</v>
      </c>
      <c r="H71" s="754">
        <f t="shared" ca="1" si="64"/>
        <v>-7348883.5820858385</v>
      </c>
      <c r="I71" s="754">
        <f t="shared" ca="1" si="64"/>
        <v>-7461391.0984917404</v>
      </c>
      <c r="J71" s="754">
        <f t="shared" ca="1" si="64"/>
        <v>-7575621.045401061</v>
      </c>
      <c r="K71" s="754">
        <f t="shared" ca="1" si="64"/>
        <v>-7691599.7923127748</v>
      </c>
      <c r="L71" s="754">
        <f t="shared" ca="1" si="64"/>
        <v>-7809354.1124289278</v>
      </c>
      <c r="M71" s="754">
        <f t="shared" ca="1" si="64"/>
        <v>-7928911.1888351385</v>
      </c>
      <c r="N71" s="754">
        <f t="shared" ca="1" si="64"/>
        <v>-8050298.6207756279</v>
      </c>
      <c r="O71" s="754">
        <f t="shared" ca="1" si="64"/>
        <v>-8173544.4300244609</v>
      </c>
      <c r="P71" s="754">
        <f t="shared" ca="1" si="64"/>
        <v>-8298677.0673542107</v>
      </c>
      <c r="Q71" s="754">
        <f t="shared" ca="1" si="64"/>
        <v>-8425725.419103723</v>
      </c>
      <c r="R71" s="754">
        <f t="shared" ca="1" si="64"/>
        <v>-8422100.6414513849</v>
      </c>
      <c r="S71" s="754">
        <f t="shared" ca="1" si="64"/>
        <v>-8551038.5427675173</v>
      </c>
      <c r="T71" s="754">
        <f t="shared" ca="1" si="64"/>
        <v>-8681950.4150801431</v>
      </c>
      <c r="U71" s="754">
        <f t="shared" ca="1" si="64"/>
        <v>-8814866.478840014</v>
      </c>
      <c r="V71" s="754">
        <f t="shared" ca="1" si="64"/>
        <v>-8949817.4171569236</v>
      </c>
      <c r="W71" s="754">
        <f t="shared" ca="1" si="64"/>
        <v>-9086834.3828828838</v>
      </c>
      <c r="X71" s="754">
        <f t="shared" ca="1" si="64"/>
        <v>-9225949.0058035441</v>
      </c>
      <c r="Y71" s="754">
        <f t="shared" ca="1" si="64"/>
        <v>-9367193.3999398239</v>
      </c>
      <c r="Z71" s="754">
        <f t="shared" ca="1" si="64"/>
        <v>-9510600.1709613036</v>
      </c>
      <c r="AA71" s="754">
        <f t="shared" ca="1" si="64"/>
        <v>-9656202.4237131011</v>
      </c>
      <c r="AB71" s="754">
        <f t="shared" ca="1" si="64"/>
        <v>-9804033.7698579747</v>
      </c>
      <c r="AC71" s="754">
        <f t="shared" ca="1" si="64"/>
        <v>-9946922.3374280687</v>
      </c>
      <c r="AD71" s="754">
        <f t="shared" ca="1" si="64"/>
        <v>-9926053.5272438992</v>
      </c>
      <c r="AE71" s="754">
        <f t="shared" ca="1" si="64"/>
        <v>-10056960.234766759</v>
      </c>
      <c r="AF71" s="754">
        <f t="shared" ca="1" si="64"/>
        <v>-10182202.624877844</v>
      </c>
      <c r="AG71" s="754">
        <f t="shared" ca="1" si="64"/>
        <v>-10301981.840964131</v>
      </c>
      <c r="AH71" s="754">
        <f t="shared" ca="1" si="64"/>
        <v>-10405640.29710624</v>
      </c>
      <c r="AI71" s="754">
        <f t="shared" ca="1" si="64"/>
        <v>-10502002.169362666</v>
      </c>
      <c r="AJ71" s="754">
        <f t="shared" ca="1" si="64"/>
        <v>-10593881.879065504</v>
      </c>
      <c r="AK71" s="754">
        <f t="shared" ca="1" si="64"/>
        <v>-10705971.61200021</v>
      </c>
      <c r="AL71" s="754">
        <f t="shared" ca="1" si="64"/>
        <v>-10819201.377359712</v>
      </c>
      <c r="AM71" s="754">
        <f t="shared" ca="1" si="64"/>
        <v>-10934391.879801538</v>
      </c>
      <c r="AN71" s="754">
        <f t="shared" ca="1" si="64"/>
        <v>-11043531.994625382</v>
      </c>
      <c r="AO71" s="754">
        <f t="shared" ca="1" si="64"/>
        <v>-11154610.221290929</v>
      </c>
      <c r="AP71" s="754">
        <f t="shared" ca="1" si="64"/>
        <v>-11264888.488997774</v>
      </c>
      <c r="AQ71" s="754">
        <f t="shared" ca="1" si="64"/>
        <v>-11374150.72781373</v>
      </c>
      <c r="AR71" s="754">
        <f t="shared" ca="1" si="64"/>
        <v>-11482070.496173454</v>
      </c>
      <c r="AS71" s="754">
        <f t="shared" ca="1" si="64"/>
        <v>-11587972.900598882</v>
      </c>
      <c r="AT71" s="754">
        <f t="shared" ca="1" si="64"/>
        <v>-11693167.300746286</v>
      </c>
      <c r="AU71" s="754">
        <f t="shared" ca="1" si="64"/>
        <v>-11798263.710477022</v>
      </c>
      <c r="AV71" s="754">
        <f t="shared" ca="1" si="64"/>
        <v>-11903407.628882028</v>
      </c>
      <c r="AW71" s="754">
        <f t="shared" ca="1" si="64"/>
        <v>-12010861.034524865</v>
      </c>
      <c r="AX71" s="754">
        <f t="shared" ca="1" si="64"/>
        <v>-12120205.161447397</v>
      </c>
      <c r="AY71" s="754">
        <f t="shared" ca="1" si="64"/>
        <v>-12232181.913600611</v>
      </c>
      <c r="AZ71" s="754">
        <f t="shared" ca="1" si="64"/>
        <v>0</v>
      </c>
      <c r="BA71" s="754">
        <f t="shared" ca="1" si="64"/>
        <v>0</v>
      </c>
      <c r="BB71" s="754">
        <f t="shared" ca="1" si="64"/>
        <v>0</v>
      </c>
      <c r="BC71" s="754">
        <f t="shared" ca="1" si="64"/>
        <v>0</v>
      </c>
      <c r="BD71" s="754">
        <f t="shared" ca="1" si="64"/>
        <v>0</v>
      </c>
      <c r="BE71" s="754">
        <f t="shared" ca="1" si="64"/>
        <v>0</v>
      </c>
      <c r="BF71" s="754">
        <f t="shared" ca="1" si="64"/>
        <v>0</v>
      </c>
      <c r="BG71" s="754">
        <f t="shared" ca="1" si="64"/>
        <v>0</v>
      </c>
      <c r="BH71" s="754">
        <f t="shared" ca="1" si="64"/>
        <v>0</v>
      </c>
      <c r="BI71" s="754">
        <f t="shared" ca="1" si="64"/>
        <v>0</v>
      </c>
      <c r="BJ71" s="754">
        <f t="shared" ca="1" si="64"/>
        <v>0</v>
      </c>
      <c r="BK71" s="754">
        <f t="shared" ca="1" si="64"/>
        <v>0</v>
      </c>
      <c r="BL71" s="754">
        <f t="shared" ca="1" si="64"/>
        <v>0</v>
      </c>
    </row>
    <row r="72" spans="1:64">
      <c r="A72" s="779">
        <f ca="1">1-A68</f>
        <v>0.16338198774786483</v>
      </c>
      <c r="B72" s="701"/>
      <c r="C72" s="699"/>
      <c r="D72" s="701">
        <f t="shared" ref="D72:BL72" ca="1" si="65">D68/$A68*$A72</f>
        <v>0</v>
      </c>
      <c r="E72" s="701">
        <f t="shared" ca="1" si="65"/>
        <v>0</v>
      </c>
      <c r="F72" s="701">
        <f t="shared" ca="1" si="65"/>
        <v>0</v>
      </c>
      <c r="G72" s="701">
        <f t="shared" ca="1" si="65"/>
        <v>0</v>
      </c>
      <c r="H72" s="701">
        <f t="shared" ca="1" si="65"/>
        <v>0</v>
      </c>
      <c r="I72" s="701">
        <f t="shared" ca="1" si="65"/>
        <v>0</v>
      </c>
      <c r="J72" s="701">
        <f t="shared" ca="1" si="65"/>
        <v>0</v>
      </c>
      <c r="K72" s="701">
        <f t="shared" ca="1" si="65"/>
        <v>0</v>
      </c>
      <c r="L72" s="701">
        <f t="shared" ca="1" si="65"/>
        <v>0</v>
      </c>
      <c r="M72" s="701">
        <f t="shared" ca="1" si="65"/>
        <v>0</v>
      </c>
      <c r="N72" s="701">
        <f t="shared" ca="1" si="65"/>
        <v>0</v>
      </c>
      <c r="O72" s="701">
        <f t="shared" ca="1" si="65"/>
        <v>0</v>
      </c>
      <c r="P72" s="701">
        <f t="shared" ca="1" si="65"/>
        <v>0</v>
      </c>
      <c r="Q72" s="701">
        <f t="shared" ca="1" si="65"/>
        <v>0</v>
      </c>
      <c r="R72" s="701">
        <f t="shared" ca="1" si="65"/>
        <v>0</v>
      </c>
      <c r="S72" s="701">
        <f t="shared" ca="1" si="65"/>
        <v>0</v>
      </c>
      <c r="T72" s="701">
        <f t="shared" ca="1" si="65"/>
        <v>0</v>
      </c>
      <c r="U72" s="701">
        <f t="shared" ca="1" si="65"/>
        <v>0</v>
      </c>
      <c r="V72" s="701">
        <f t="shared" ca="1" si="65"/>
        <v>0</v>
      </c>
      <c r="W72" s="701">
        <f t="shared" ca="1" si="65"/>
        <v>0</v>
      </c>
      <c r="X72" s="701">
        <f t="shared" ca="1" si="65"/>
        <v>0</v>
      </c>
      <c r="Y72" s="701">
        <f t="shared" ca="1" si="65"/>
        <v>0</v>
      </c>
      <c r="Z72" s="701">
        <f t="shared" ca="1" si="65"/>
        <v>0</v>
      </c>
      <c r="AA72" s="701">
        <f t="shared" ca="1" si="65"/>
        <v>0</v>
      </c>
      <c r="AB72" s="701">
        <f t="shared" ca="1" si="65"/>
        <v>0</v>
      </c>
      <c r="AC72" s="701">
        <f t="shared" ca="1" si="65"/>
        <v>0</v>
      </c>
      <c r="AD72" s="701">
        <f t="shared" ca="1" si="65"/>
        <v>0</v>
      </c>
      <c r="AE72" s="701">
        <f t="shared" ca="1" si="65"/>
        <v>0</v>
      </c>
      <c r="AF72" s="701">
        <f t="shared" ca="1" si="65"/>
        <v>0</v>
      </c>
      <c r="AG72" s="701">
        <f t="shared" ca="1" si="65"/>
        <v>0</v>
      </c>
      <c r="AH72" s="701">
        <f t="shared" ca="1" si="65"/>
        <v>0</v>
      </c>
      <c r="AI72" s="701">
        <f t="shared" ca="1" si="65"/>
        <v>0</v>
      </c>
      <c r="AJ72" s="701">
        <f t="shared" ca="1" si="65"/>
        <v>0</v>
      </c>
      <c r="AK72" s="701">
        <f t="shared" ca="1" si="65"/>
        <v>0</v>
      </c>
      <c r="AL72" s="701">
        <f t="shared" ca="1" si="65"/>
        <v>0</v>
      </c>
      <c r="AM72" s="701">
        <f t="shared" ca="1" si="65"/>
        <v>0</v>
      </c>
      <c r="AN72" s="701">
        <f t="shared" ca="1" si="65"/>
        <v>0</v>
      </c>
      <c r="AO72" s="701">
        <f t="shared" ca="1" si="65"/>
        <v>0</v>
      </c>
      <c r="AP72" s="701">
        <f t="shared" ca="1" si="65"/>
        <v>0</v>
      </c>
      <c r="AQ72" s="701">
        <f t="shared" ca="1" si="65"/>
        <v>0</v>
      </c>
      <c r="AR72" s="701">
        <f t="shared" ca="1" si="65"/>
        <v>0</v>
      </c>
      <c r="AS72" s="701">
        <f t="shared" ca="1" si="65"/>
        <v>0</v>
      </c>
      <c r="AT72" s="701">
        <f t="shared" ca="1" si="65"/>
        <v>0</v>
      </c>
      <c r="AU72" s="701">
        <f t="shared" ca="1" si="65"/>
        <v>0</v>
      </c>
      <c r="AV72" s="701">
        <f t="shared" ca="1" si="65"/>
        <v>0</v>
      </c>
      <c r="AW72" s="701">
        <f t="shared" ca="1" si="65"/>
        <v>0</v>
      </c>
      <c r="AX72" s="701">
        <f t="shared" ca="1" si="65"/>
        <v>0</v>
      </c>
      <c r="AY72" s="701">
        <f t="shared" ca="1" si="65"/>
        <v>0</v>
      </c>
      <c r="AZ72" s="701">
        <f t="shared" ca="1" si="65"/>
        <v>418865.83292046783</v>
      </c>
      <c r="BA72" s="701">
        <f t="shared" ca="1" si="65"/>
        <v>0</v>
      </c>
      <c r="BB72" s="701">
        <f t="shared" ca="1" si="65"/>
        <v>0</v>
      </c>
      <c r="BC72" s="701">
        <f t="shared" ca="1" si="65"/>
        <v>0</v>
      </c>
      <c r="BD72" s="701">
        <f t="shared" ca="1" si="65"/>
        <v>0</v>
      </c>
      <c r="BE72" s="701">
        <f t="shared" ca="1" si="65"/>
        <v>0</v>
      </c>
      <c r="BF72" s="701">
        <f t="shared" ca="1" si="65"/>
        <v>0</v>
      </c>
      <c r="BG72" s="701">
        <f t="shared" ca="1" si="65"/>
        <v>0</v>
      </c>
      <c r="BH72" s="701">
        <f t="shared" ca="1" si="65"/>
        <v>0</v>
      </c>
      <c r="BI72" s="701">
        <f t="shared" ca="1" si="65"/>
        <v>0</v>
      </c>
      <c r="BJ72" s="701">
        <f t="shared" ca="1" si="65"/>
        <v>0</v>
      </c>
      <c r="BK72" s="701">
        <f t="shared" ca="1" si="65"/>
        <v>0</v>
      </c>
      <c r="BL72" s="701">
        <f t="shared" ca="1" si="65"/>
        <v>0</v>
      </c>
    </row>
    <row r="73" spans="1:64">
      <c r="A73" s="776" t="s">
        <v>643</v>
      </c>
      <c r="B73" s="755"/>
      <c r="C73" s="703"/>
      <c r="D73" s="756">
        <f ca="1">D59-SUM(D69:D70)-D72</f>
        <v>0</v>
      </c>
      <c r="E73" s="756">
        <f t="shared" ref="E73:BL73" ca="1" si="66">E59-SUM(E69:E70)-E72</f>
        <v>0</v>
      </c>
      <c r="F73" s="756">
        <f t="shared" ca="1" si="66"/>
        <v>0</v>
      </c>
      <c r="G73" s="756">
        <f t="shared" ca="1" si="66"/>
        <v>0</v>
      </c>
      <c r="H73" s="756">
        <f t="shared" ca="1" si="66"/>
        <v>0</v>
      </c>
      <c r="I73" s="756">
        <f t="shared" ca="1" si="66"/>
        <v>0</v>
      </c>
      <c r="J73" s="756">
        <f t="shared" ca="1" si="66"/>
        <v>0</v>
      </c>
      <c r="K73" s="756">
        <f t="shared" ca="1" si="66"/>
        <v>0</v>
      </c>
      <c r="L73" s="756">
        <f t="shared" ca="1" si="66"/>
        <v>0</v>
      </c>
      <c r="M73" s="756">
        <f t="shared" ca="1" si="66"/>
        <v>0</v>
      </c>
      <c r="N73" s="756">
        <f t="shared" ca="1" si="66"/>
        <v>0</v>
      </c>
      <c r="O73" s="756">
        <f t="shared" ca="1" si="66"/>
        <v>0</v>
      </c>
      <c r="P73" s="756">
        <f t="shared" ca="1" si="66"/>
        <v>0</v>
      </c>
      <c r="Q73" s="756">
        <f t="shared" ca="1" si="66"/>
        <v>0</v>
      </c>
      <c r="R73" s="756">
        <f t="shared" ca="1" si="66"/>
        <v>0</v>
      </c>
      <c r="S73" s="756">
        <f t="shared" ca="1" si="66"/>
        <v>0</v>
      </c>
      <c r="T73" s="756">
        <f t="shared" ca="1" si="66"/>
        <v>0</v>
      </c>
      <c r="U73" s="756">
        <f t="shared" ca="1" si="66"/>
        <v>0</v>
      </c>
      <c r="V73" s="756">
        <f t="shared" ca="1" si="66"/>
        <v>0</v>
      </c>
      <c r="W73" s="756">
        <f t="shared" ca="1" si="66"/>
        <v>0</v>
      </c>
      <c r="X73" s="756">
        <f t="shared" ca="1" si="66"/>
        <v>0</v>
      </c>
      <c r="Y73" s="756">
        <f t="shared" ca="1" si="66"/>
        <v>0</v>
      </c>
      <c r="Z73" s="756">
        <f t="shared" ca="1" si="66"/>
        <v>0</v>
      </c>
      <c r="AA73" s="756">
        <f t="shared" ca="1" si="66"/>
        <v>0</v>
      </c>
      <c r="AB73" s="756">
        <f t="shared" ca="1" si="66"/>
        <v>0</v>
      </c>
      <c r="AC73" s="756">
        <f t="shared" ca="1" si="66"/>
        <v>0</v>
      </c>
      <c r="AD73" s="756">
        <f t="shared" ca="1" si="66"/>
        <v>0</v>
      </c>
      <c r="AE73" s="756">
        <f t="shared" ca="1" si="66"/>
        <v>0</v>
      </c>
      <c r="AF73" s="756">
        <f t="shared" ca="1" si="66"/>
        <v>0</v>
      </c>
      <c r="AG73" s="756">
        <f t="shared" ca="1" si="66"/>
        <v>0</v>
      </c>
      <c r="AH73" s="756">
        <f t="shared" ca="1" si="66"/>
        <v>0</v>
      </c>
      <c r="AI73" s="756">
        <f t="shared" ca="1" si="66"/>
        <v>0</v>
      </c>
      <c r="AJ73" s="756">
        <f t="shared" ca="1" si="66"/>
        <v>0</v>
      </c>
      <c r="AK73" s="756">
        <f t="shared" ca="1" si="66"/>
        <v>0</v>
      </c>
      <c r="AL73" s="756">
        <f t="shared" ca="1" si="66"/>
        <v>0</v>
      </c>
      <c r="AM73" s="756">
        <f t="shared" ca="1" si="66"/>
        <v>0</v>
      </c>
      <c r="AN73" s="756">
        <f t="shared" ca="1" si="66"/>
        <v>0</v>
      </c>
      <c r="AO73" s="756">
        <f t="shared" ca="1" si="66"/>
        <v>0</v>
      </c>
      <c r="AP73" s="756">
        <f t="shared" ca="1" si="66"/>
        <v>0</v>
      </c>
      <c r="AQ73" s="756">
        <f t="shared" ca="1" si="66"/>
        <v>0</v>
      </c>
      <c r="AR73" s="756">
        <f t="shared" ca="1" si="66"/>
        <v>0</v>
      </c>
      <c r="AS73" s="756">
        <f t="shared" ca="1" si="66"/>
        <v>0</v>
      </c>
      <c r="AT73" s="756">
        <f t="shared" ca="1" si="66"/>
        <v>0</v>
      </c>
      <c r="AU73" s="756">
        <f t="shared" ca="1" si="66"/>
        <v>0</v>
      </c>
      <c r="AV73" s="756">
        <f t="shared" ca="1" si="66"/>
        <v>0</v>
      </c>
      <c r="AW73" s="756">
        <f t="shared" ca="1" si="66"/>
        <v>0</v>
      </c>
      <c r="AX73" s="756">
        <f t="shared" ca="1" si="66"/>
        <v>0</v>
      </c>
      <c r="AY73" s="756">
        <f t="shared" ca="1" si="66"/>
        <v>0</v>
      </c>
      <c r="AZ73" s="756">
        <f t="shared" ca="1" si="66"/>
        <v>8478719.0368178971</v>
      </c>
      <c r="BA73" s="756">
        <f t="shared" ca="1" si="66"/>
        <v>0</v>
      </c>
      <c r="BB73" s="756">
        <f t="shared" ca="1" si="66"/>
        <v>0</v>
      </c>
      <c r="BC73" s="756">
        <f t="shared" ca="1" si="66"/>
        <v>0</v>
      </c>
      <c r="BD73" s="756">
        <f t="shared" ca="1" si="66"/>
        <v>0</v>
      </c>
      <c r="BE73" s="756">
        <f t="shared" ca="1" si="66"/>
        <v>0</v>
      </c>
      <c r="BF73" s="756">
        <f t="shared" ca="1" si="66"/>
        <v>0</v>
      </c>
      <c r="BG73" s="756">
        <f t="shared" ca="1" si="66"/>
        <v>0</v>
      </c>
      <c r="BH73" s="756">
        <f t="shared" ca="1" si="66"/>
        <v>0</v>
      </c>
      <c r="BI73" s="756">
        <f t="shared" ca="1" si="66"/>
        <v>0</v>
      </c>
      <c r="BJ73" s="756">
        <f t="shared" ca="1" si="66"/>
        <v>0</v>
      </c>
      <c r="BK73" s="756">
        <f t="shared" ca="1" si="66"/>
        <v>0</v>
      </c>
      <c r="BL73" s="756">
        <f t="shared" ca="1" si="66"/>
        <v>0</v>
      </c>
    </row>
    <row r="74" spans="1:64">
      <c r="A74" s="777" t="s">
        <v>644</v>
      </c>
      <c r="B74" s="758">
        <f ca="1">(1+IRR(D74:BL74,0.01))^12-1</f>
        <v>0.20000000000382623</v>
      </c>
      <c r="C74" s="703"/>
      <c r="D74" s="757">
        <f t="shared" ref="D74:AI74" ca="1" si="67">+D63+D65+D66+D68</f>
        <v>-6170830.5186084136</v>
      </c>
      <c r="E74" s="757">
        <f t="shared" ca="1" si="67"/>
        <v>-756135.18286102917</v>
      </c>
      <c r="F74" s="757">
        <f t="shared" ca="1" si="67"/>
        <v>1.862645149230957E-8</v>
      </c>
      <c r="G74" s="757">
        <f t="shared" ca="1" si="67"/>
        <v>1.862645149230957E-8</v>
      </c>
      <c r="H74" s="757">
        <f t="shared" ca="1" si="67"/>
        <v>1.862645149230957E-8</v>
      </c>
      <c r="I74" s="757">
        <f t="shared" ca="1" si="67"/>
        <v>1.862645149230957E-8</v>
      </c>
      <c r="J74" s="757">
        <f t="shared" ca="1" si="67"/>
        <v>1.862645149230957E-8</v>
      </c>
      <c r="K74" s="757">
        <f t="shared" ca="1" si="67"/>
        <v>1.862645149230957E-8</v>
      </c>
      <c r="L74" s="757">
        <f t="shared" ca="1" si="67"/>
        <v>2.0239837695884241E-8</v>
      </c>
      <c r="M74" s="757">
        <f t="shared" ca="1" si="67"/>
        <v>0</v>
      </c>
      <c r="N74" s="757">
        <f t="shared" ca="1" si="67"/>
        <v>0</v>
      </c>
      <c r="O74" s="757">
        <f t="shared" ca="1" si="67"/>
        <v>0</v>
      </c>
      <c r="P74" s="757">
        <f t="shared" ca="1" si="67"/>
        <v>0</v>
      </c>
      <c r="Q74" s="757">
        <f t="shared" ca="1" si="67"/>
        <v>0</v>
      </c>
      <c r="R74" s="757">
        <f t="shared" ca="1" si="67"/>
        <v>132618.17239500629</v>
      </c>
      <c r="S74" s="757">
        <f t="shared" ca="1" si="67"/>
        <v>0</v>
      </c>
      <c r="T74" s="757">
        <f t="shared" ca="1" si="67"/>
        <v>0</v>
      </c>
      <c r="U74" s="757">
        <f t="shared" ca="1" si="67"/>
        <v>0</v>
      </c>
      <c r="V74" s="757">
        <f t="shared" ca="1" si="67"/>
        <v>0</v>
      </c>
      <c r="W74" s="757">
        <f t="shared" ca="1" si="67"/>
        <v>0</v>
      </c>
      <c r="X74" s="757">
        <f t="shared" ca="1" si="67"/>
        <v>0</v>
      </c>
      <c r="Y74" s="757">
        <f t="shared" ca="1" si="67"/>
        <v>0</v>
      </c>
      <c r="Z74" s="757">
        <f t="shared" ca="1" si="67"/>
        <v>0</v>
      </c>
      <c r="AA74" s="757">
        <f t="shared" ca="1" si="67"/>
        <v>0</v>
      </c>
      <c r="AB74" s="757">
        <f t="shared" ca="1" si="67"/>
        <v>0</v>
      </c>
      <c r="AC74" s="757">
        <f t="shared" ca="1" si="67"/>
        <v>7205.9982073956344</v>
      </c>
      <c r="AD74" s="757">
        <f t="shared" ca="1" si="67"/>
        <v>173150.92427149153</v>
      </c>
      <c r="AE74" s="757">
        <f t="shared" ca="1" si="67"/>
        <v>21055.916130441212</v>
      </c>
      <c r="AF74" s="757">
        <f t="shared" ca="1" si="67"/>
        <v>28724.345919129788</v>
      </c>
      <c r="AG74" s="757">
        <f t="shared" ca="1" si="67"/>
        <v>36104.914620519157</v>
      </c>
      <c r="AH74" s="757">
        <f t="shared" ca="1" si="67"/>
        <v>54059.430939723192</v>
      </c>
      <c r="AI74" s="757">
        <f t="shared" ca="1" si="67"/>
        <v>62942.970901669818</v>
      </c>
      <c r="AJ74" s="757">
        <f t="shared" ref="AJ74:BL74" ca="1" si="68">+AJ63+AJ65+AJ66+AJ68</f>
        <v>68900.382695804452</v>
      </c>
      <c r="AK74" s="757">
        <f t="shared" ca="1" si="68"/>
        <v>50096.989169205401</v>
      </c>
      <c r="AL74" s="757">
        <f t="shared" ca="1" si="68"/>
        <v>50672.991204282953</v>
      </c>
      <c r="AM74" s="757">
        <f t="shared" ca="1" si="68"/>
        <v>50445.74187481367</v>
      </c>
      <c r="AN74" s="757">
        <f t="shared" ca="1" si="68"/>
        <v>58259.635092500415</v>
      </c>
      <c r="AO74" s="757">
        <f t="shared" ca="1" si="68"/>
        <v>57992.40062010711</v>
      </c>
      <c r="AP74" s="757">
        <f t="shared" ca="1" si="68"/>
        <v>60492.908414648904</v>
      </c>
      <c r="AQ74" s="757">
        <f t="shared" ca="1" si="68"/>
        <v>63197.239193731482</v>
      </c>
      <c r="AR74" s="757">
        <f t="shared" ca="1" si="68"/>
        <v>66212.456674344736</v>
      </c>
      <c r="AS74" s="757">
        <f t="shared" ca="1" si="68"/>
        <v>69882.015121495468</v>
      </c>
      <c r="AT74" s="757">
        <f t="shared" ca="1" si="68"/>
        <v>72211.329138924004</v>
      </c>
      <c r="AU74" s="757">
        <f t="shared" ca="1" si="68"/>
        <v>73919.790124249266</v>
      </c>
      <c r="AV74" s="757">
        <f t="shared" ca="1" si="68"/>
        <v>75481.25183691633</v>
      </c>
      <c r="AW74" s="757">
        <f t="shared" ca="1" si="68"/>
        <v>74781.462318020131</v>
      </c>
      <c r="AX74" s="757">
        <f t="shared" ca="1" si="68"/>
        <v>74535.795783369525</v>
      </c>
      <c r="AY74" s="757">
        <f t="shared" ca="1" si="68"/>
        <v>73577.171238733878</v>
      </c>
      <c r="AZ74" s="757">
        <f t="shared" ca="1" si="68"/>
        <v>12419450.141776448</v>
      </c>
      <c r="BA74" s="757">
        <f t="shared" ca="1" si="68"/>
        <v>0</v>
      </c>
      <c r="BB74" s="757">
        <f t="shared" ca="1" si="68"/>
        <v>0</v>
      </c>
      <c r="BC74" s="757">
        <f t="shared" ca="1" si="68"/>
        <v>0</v>
      </c>
      <c r="BD74" s="757">
        <f t="shared" ca="1" si="68"/>
        <v>0</v>
      </c>
      <c r="BE74" s="757">
        <f t="shared" ca="1" si="68"/>
        <v>0</v>
      </c>
      <c r="BF74" s="757">
        <f t="shared" ca="1" si="68"/>
        <v>0</v>
      </c>
      <c r="BG74" s="757">
        <f t="shared" ca="1" si="68"/>
        <v>0</v>
      </c>
      <c r="BH74" s="757">
        <f t="shared" ca="1" si="68"/>
        <v>0</v>
      </c>
      <c r="BI74" s="757">
        <f t="shared" ca="1" si="68"/>
        <v>0</v>
      </c>
      <c r="BJ74" s="757">
        <f t="shared" ca="1" si="68"/>
        <v>0</v>
      </c>
      <c r="BK74" s="757">
        <f t="shared" ca="1" si="68"/>
        <v>0</v>
      </c>
      <c r="BL74" s="757">
        <f t="shared" ca="1" si="68"/>
        <v>0</v>
      </c>
    </row>
    <row r="75" spans="1:64">
      <c r="A75" s="701"/>
      <c r="B75" s="701"/>
      <c r="C75" s="703"/>
      <c r="D75" s="701"/>
      <c r="E75" s="701"/>
      <c r="F75" s="701"/>
      <c r="G75" s="701"/>
      <c r="H75" s="701"/>
      <c r="I75" s="701"/>
    </row>
    <row r="76" spans="1:64" s="1148" customFormat="1">
      <c r="A76" s="1144" t="s">
        <v>685</v>
      </c>
      <c r="B76" s="1145"/>
      <c r="C76" s="1146"/>
      <c r="D76" s="1147"/>
      <c r="E76" s="1147"/>
      <c r="F76" s="1147"/>
      <c r="G76" s="1147"/>
      <c r="H76" s="1147"/>
      <c r="I76" s="1147"/>
      <c r="J76" s="1147"/>
      <c r="K76" s="1147"/>
      <c r="L76" s="1147"/>
      <c r="M76" s="1147"/>
      <c r="N76" s="1147"/>
      <c r="O76" s="1147"/>
      <c r="P76" s="1147"/>
      <c r="Q76" s="1147"/>
      <c r="R76" s="1147"/>
      <c r="S76" s="1147"/>
      <c r="T76" s="1147"/>
      <c r="U76" s="1147"/>
      <c r="V76" s="1147"/>
      <c r="W76" s="1147"/>
      <c r="X76" s="1147"/>
      <c r="Y76" s="1147"/>
      <c r="Z76" s="1147"/>
      <c r="AA76" s="1147"/>
      <c r="AB76" s="1147"/>
      <c r="AC76" s="1147"/>
      <c r="AD76" s="1147"/>
      <c r="AE76" s="1147"/>
      <c r="AF76" s="1147"/>
      <c r="AG76" s="1147"/>
      <c r="AH76" s="1147"/>
      <c r="AI76" s="1147"/>
      <c r="AJ76" s="1147"/>
      <c r="AK76" s="1147"/>
      <c r="AL76" s="1147"/>
      <c r="AM76" s="1147"/>
      <c r="AN76" s="1147"/>
      <c r="AO76" s="1147"/>
      <c r="AP76" s="1147"/>
      <c r="AQ76" s="1147"/>
      <c r="AR76" s="1147"/>
      <c r="AS76" s="1147"/>
      <c r="AT76" s="1147"/>
      <c r="AU76" s="1147"/>
      <c r="AV76" s="1147"/>
      <c r="AW76" s="1147"/>
      <c r="AX76" s="1147"/>
      <c r="AY76" s="1147"/>
      <c r="AZ76" s="1147"/>
      <c r="BA76" s="1147"/>
      <c r="BB76" s="1147"/>
      <c r="BC76" s="1147"/>
      <c r="BD76" s="1147"/>
      <c r="BE76" s="1147"/>
      <c r="BF76" s="1147"/>
      <c r="BG76" s="1147"/>
      <c r="BH76" s="1147"/>
      <c r="BI76" s="1147"/>
      <c r="BJ76" s="1147"/>
      <c r="BK76" s="1147"/>
      <c r="BL76" s="1147"/>
    </row>
    <row r="77" spans="1:64" s="1148" customFormat="1">
      <c r="A77" s="1149" t="s">
        <v>686</v>
      </c>
      <c r="B77" s="1145">
        <f t="shared" ref="B77:B78" si="69">SUM(D77:BL77)</f>
        <v>0</v>
      </c>
      <c r="C77" s="1150">
        <f>IF(C58=0,C3,0)</f>
        <v>0</v>
      </c>
      <c r="D77" s="1145">
        <f>IF(D$16='Monthly PF Cash Flow'!$C$96,$C$77,0)</f>
        <v>0</v>
      </c>
      <c r="E77" s="1145">
        <f>IF(E$16='Monthly PF Cash Flow'!$C$96,$C$77,0)</f>
        <v>0</v>
      </c>
      <c r="F77" s="1145">
        <f>IF(F$16='Monthly PF Cash Flow'!$C$96,$C$77,0)</f>
        <v>0</v>
      </c>
      <c r="G77" s="1145">
        <f>IF(G$16='Monthly PF Cash Flow'!$C$96,$C$77,0)</f>
        <v>0</v>
      </c>
      <c r="H77" s="1145">
        <f>IF(H$16='Monthly PF Cash Flow'!$C$96,$C$77,0)</f>
        <v>0</v>
      </c>
      <c r="I77" s="1145">
        <f>IF(I$16='Monthly PF Cash Flow'!$C$96,$C$77,0)</f>
        <v>0</v>
      </c>
      <c r="J77" s="1145">
        <f>IF(J$16='Monthly PF Cash Flow'!$C$96,$C$77,0)</f>
        <v>0</v>
      </c>
      <c r="K77" s="1145">
        <f>IF(K$16='Monthly PF Cash Flow'!$C$96,$C$77,0)</f>
        <v>0</v>
      </c>
      <c r="L77" s="1145">
        <f>IF(L$16='Monthly PF Cash Flow'!$C$96,$C$77,0)</f>
        <v>0</v>
      </c>
      <c r="M77" s="1145">
        <f>IF(M$16='Monthly PF Cash Flow'!$C$96,$C$77,0)</f>
        <v>0</v>
      </c>
      <c r="N77" s="1145">
        <f>IF(N$16='Monthly PF Cash Flow'!$C$96,$C$77,0)</f>
        <v>0</v>
      </c>
      <c r="O77" s="1145">
        <f>IF(O$16='Monthly PF Cash Flow'!$C$96,$C$77,0)</f>
        <v>0</v>
      </c>
      <c r="P77" s="1145">
        <f>IF(P$16='Monthly PF Cash Flow'!$C$96,$C$77,0)</f>
        <v>0</v>
      </c>
      <c r="Q77" s="1145">
        <f>IF(Q$16='Monthly PF Cash Flow'!$C$96,$C$77,0)</f>
        <v>0</v>
      </c>
      <c r="R77" s="1145">
        <f>IF(R$16='Monthly PF Cash Flow'!$C$96,$C$77,0)</f>
        <v>0</v>
      </c>
      <c r="S77" s="1145">
        <f>IF(S$16='Monthly PF Cash Flow'!$C$96,$C$77,0)</f>
        <v>0</v>
      </c>
      <c r="T77" s="1145">
        <f>IF(T$16='Monthly PF Cash Flow'!$C$96,$C$77,0)</f>
        <v>0</v>
      </c>
      <c r="U77" s="1145">
        <f>IF(U$16='Monthly PF Cash Flow'!$C$96,$C$77,0)</f>
        <v>0</v>
      </c>
      <c r="V77" s="1145">
        <f>IF(V$16='Monthly PF Cash Flow'!$C$96,$C$77,0)</f>
        <v>0</v>
      </c>
      <c r="W77" s="1145">
        <f>IF(W$16='Monthly PF Cash Flow'!$C$96,$C$77,0)</f>
        <v>0</v>
      </c>
      <c r="X77" s="1145">
        <f>IF(X$16='Monthly PF Cash Flow'!$C$96,$C$77,0)</f>
        <v>0</v>
      </c>
      <c r="Y77" s="1145">
        <f>IF(Y$16='Monthly PF Cash Flow'!$C$96,$C$77,0)</f>
        <v>0</v>
      </c>
      <c r="Z77" s="1145">
        <f>IF(Z$16='Monthly PF Cash Flow'!$C$96,$C$77,0)</f>
        <v>0</v>
      </c>
      <c r="AA77" s="1145">
        <f>IF(AA$16='Monthly PF Cash Flow'!$C$96,$C$77,0)</f>
        <v>0</v>
      </c>
      <c r="AB77" s="1145">
        <f>IF(AB$16='Monthly PF Cash Flow'!$C$96,$C$77,0)</f>
        <v>0</v>
      </c>
      <c r="AC77" s="1145">
        <f>IF(AC$16='Monthly PF Cash Flow'!$C$96,$C$77,0)</f>
        <v>0</v>
      </c>
      <c r="AD77" s="1145">
        <f>IF(AD$16='Monthly PF Cash Flow'!$C$96,$C$77,0)</f>
        <v>0</v>
      </c>
      <c r="AE77" s="1145">
        <f>IF(AE$16='Monthly PF Cash Flow'!$C$96,$C$77,0)</f>
        <v>0</v>
      </c>
      <c r="AF77" s="1145">
        <f>IF(AF$16='Monthly PF Cash Flow'!$C$96,$C$77,0)</f>
        <v>0</v>
      </c>
      <c r="AG77" s="1145">
        <f>IF(AG$16='Monthly PF Cash Flow'!$C$96,$C$77,0)</f>
        <v>0</v>
      </c>
      <c r="AH77" s="1145">
        <f>IF(AH$16='Monthly PF Cash Flow'!$C$96,$C$77,0)</f>
        <v>0</v>
      </c>
      <c r="AI77" s="1145">
        <f>IF(AI$16='Monthly PF Cash Flow'!$C$96,$C$77,0)</f>
        <v>0</v>
      </c>
      <c r="AJ77" s="1145">
        <f>IF(AJ$16='Monthly PF Cash Flow'!$C$96,$C$77,0)</f>
        <v>0</v>
      </c>
      <c r="AK77" s="1145">
        <f>IF(AK$16='Monthly PF Cash Flow'!$C$96,$C$77,0)</f>
        <v>0</v>
      </c>
      <c r="AL77" s="1145">
        <f>IF(AL$16='Monthly PF Cash Flow'!$C$96,$C$77,0)</f>
        <v>0</v>
      </c>
      <c r="AM77" s="1145">
        <f>IF(AM$16='Monthly PF Cash Flow'!$C$96,$C$77,0)</f>
        <v>0</v>
      </c>
      <c r="AN77" s="1145">
        <f>IF(AN$16='Monthly PF Cash Flow'!$C$96,$C$77,0)</f>
        <v>0</v>
      </c>
      <c r="AO77" s="1145">
        <f>IF(AO$16='Monthly PF Cash Flow'!$C$96,$C$77,0)</f>
        <v>0</v>
      </c>
      <c r="AP77" s="1145">
        <f>IF(AP$16='Monthly PF Cash Flow'!$C$96,$C$77,0)</f>
        <v>0</v>
      </c>
      <c r="AQ77" s="1145">
        <f>IF(AQ$16='Monthly PF Cash Flow'!$C$96,$C$77,0)</f>
        <v>0</v>
      </c>
      <c r="AR77" s="1145">
        <f>IF(AR$16='Monthly PF Cash Flow'!$C$96,$C$77,0)</f>
        <v>0</v>
      </c>
      <c r="AS77" s="1145">
        <f>IF(AS$16='Monthly PF Cash Flow'!$C$96,$C$77,0)</f>
        <v>0</v>
      </c>
      <c r="AT77" s="1145">
        <f>IF(AT$16='Monthly PF Cash Flow'!$C$96,$C$77,0)</f>
        <v>0</v>
      </c>
      <c r="AU77" s="1145">
        <f>IF(AU$16='Monthly PF Cash Flow'!$C$96,$C$77,0)</f>
        <v>0</v>
      </c>
      <c r="AV77" s="1145">
        <f>IF(AV$16='Monthly PF Cash Flow'!$C$96,$C$77,0)</f>
        <v>0</v>
      </c>
      <c r="AW77" s="1145">
        <f>IF(AW$16='Monthly PF Cash Flow'!$C$96,$C$77,0)</f>
        <v>0</v>
      </c>
      <c r="AX77" s="1145">
        <f>IF(AX$16='Monthly PF Cash Flow'!$C$96,$C$77,0)</f>
        <v>0</v>
      </c>
      <c r="AY77" s="1145">
        <f>IF(AY$16='Monthly PF Cash Flow'!$C$96,$C$77,0)</f>
        <v>0</v>
      </c>
      <c r="AZ77" s="1145">
        <f>IF(AZ$16='Monthly PF Cash Flow'!$C$96,$C$77,0)</f>
        <v>0</v>
      </c>
      <c r="BA77" s="1145">
        <f>IF(BA$16='Monthly PF Cash Flow'!$C$96,$C$77,0)</f>
        <v>0</v>
      </c>
      <c r="BB77" s="1145">
        <f>IF(BB$16='Monthly PF Cash Flow'!$C$96,$C$77,0)</f>
        <v>0</v>
      </c>
      <c r="BC77" s="1145">
        <f>IF(BC$16='Monthly PF Cash Flow'!$C$96,$C$77,0)</f>
        <v>0</v>
      </c>
      <c r="BD77" s="1145">
        <f>IF(BD$16='Monthly PF Cash Flow'!$C$96,$C$77,0)</f>
        <v>0</v>
      </c>
      <c r="BE77" s="1145">
        <f>IF(BE$16='Monthly PF Cash Flow'!$C$96,$C$77,0)</f>
        <v>0</v>
      </c>
      <c r="BF77" s="1145">
        <f>IF(BF$16='Monthly PF Cash Flow'!$C$96,$C$77,0)</f>
        <v>0</v>
      </c>
      <c r="BG77" s="1145">
        <f>IF(BG$16='Monthly PF Cash Flow'!$C$96,$C$77,0)</f>
        <v>0</v>
      </c>
      <c r="BH77" s="1145">
        <f>IF(BH$16='Monthly PF Cash Flow'!$C$96,$C$77,0)</f>
        <v>0</v>
      </c>
      <c r="BI77" s="1145">
        <f>IF(BI$16='Monthly PF Cash Flow'!$C$96,$C$77,0)</f>
        <v>0</v>
      </c>
      <c r="BJ77" s="1145">
        <f>IF(BJ$16='Monthly PF Cash Flow'!$C$96,$C$77,0)</f>
        <v>0</v>
      </c>
      <c r="BK77" s="1145">
        <f>IF(BK$16='Monthly PF Cash Flow'!$C$96,$C$77,0)</f>
        <v>0</v>
      </c>
      <c r="BL77" s="1145">
        <f>IF(BL$16='Monthly PF Cash Flow'!$C$96,$C$77,0)</f>
        <v>0</v>
      </c>
    </row>
    <row r="78" spans="1:64" s="1155" customFormat="1">
      <c r="A78" s="1151" t="s">
        <v>999</v>
      </c>
      <c r="B78" s="1152">
        <f t="shared" ca="1" si="69"/>
        <v>8478719.0368092787</v>
      </c>
      <c r="C78" s="1153"/>
      <c r="D78" s="1154">
        <f ca="1">D73-D77</f>
        <v>0</v>
      </c>
      <c r="E78" s="1154">
        <f t="shared" ref="E78:BL78" ca="1" si="70">E73-E77</f>
        <v>0</v>
      </c>
      <c r="F78" s="1154">
        <f t="shared" ca="1" si="70"/>
        <v>0</v>
      </c>
      <c r="G78" s="1154">
        <f t="shared" ca="1" si="70"/>
        <v>0</v>
      </c>
      <c r="H78" s="1154">
        <f t="shared" ca="1" si="70"/>
        <v>0</v>
      </c>
      <c r="I78" s="1154">
        <f t="shared" ca="1" si="70"/>
        <v>0</v>
      </c>
      <c r="J78" s="1154">
        <f t="shared" ca="1" si="70"/>
        <v>0</v>
      </c>
      <c r="K78" s="1154">
        <f t="shared" ca="1" si="70"/>
        <v>0</v>
      </c>
      <c r="L78" s="1154">
        <f t="shared" ca="1" si="70"/>
        <v>0</v>
      </c>
      <c r="M78" s="1154">
        <f t="shared" ca="1" si="70"/>
        <v>0</v>
      </c>
      <c r="N78" s="1154">
        <f t="shared" ca="1" si="70"/>
        <v>0</v>
      </c>
      <c r="O78" s="1154">
        <f t="shared" ca="1" si="70"/>
        <v>0</v>
      </c>
      <c r="P78" s="1154">
        <f t="shared" ca="1" si="70"/>
        <v>0</v>
      </c>
      <c r="Q78" s="1154">
        <f t="shared" ca="1" si="70"/>
        <v>0</v>
      </c>
      <c r="R78" s="1154">
        <f t="shared" ca="1" si="70"/>
        <v>0</v>
      </c>
      <c r="S78" s="1154">
        <f t="shared" ca="1" si="70"/>
        <v>0</v>
      </c>
      <c r="T78" s="1154">
        <f t="shared" ca="1" si="70"/>
        <v>0</v>
      </c>
      <c r="U78" s="1154">
        <f t="shared" ca="1" si="70"/>
        <v>0</v>
      </c>
      <c r="V78" s="1154">
        <f t="shared" ca="1" si="70"/>
        <v>0</v>
      </c>
      <c r="W78" s="1154">
        <f t="shared" ca="1" si="70"/>
        <v>0</v>
      </c>
      <c r="X78" s="1154">
        <f t="shared" ca="1" si="70"/>
        <v>0</v>
      </c>
      <c r="Y78" s="1154">
        <f t="shared" ca="1" si="70"/>
        <v>0</v>
      </c>
      <c r="Z78" s="1154">
        <f t="shared" ca="1" si="70"/>
        <v>0</v>
      </c>
      <c r="AA78" s="1154">
        <f t="shared" ca="1" si="70"/>
        <v>0</v>
      </c>
      <c r="AB78" s="1154">
        <f t="shared" ca="1" si="70"/>
        <v>0</v>
      </c>
      <c r="AC78" s="1154">
        <f t="shared" ca="1" si="70"/>
        <v>0</v>
      </c>
      <c r="AD78" s="1154">
        <f t="shared" ca="1" si="70"/>
        <v>0</v>
      </c>
      <c r="AE78" s="1154">
        <f t="shared" ca="1" si="70"/>
        <v>0</v>
      </c>
      <c r="AF78" s="1154">
        <f t="shared" ca="1" si="70"/>
        <v>0</v>
      </c>
      <c r="AG78" s="1154">
        <f t="shared" ca="1" si="70"/>
        <v>0</v>
      </c>
      <c r="AH78" s="1154">
        <f t="shared" ca="1" si="70"/>
        <v>0</v>
      </c>
      <c r="AI78" s="1154">
        <f t="shared" ca="1" si="70"/>
        <v>0</v>
      </c>
      <c r="AJ78" s="1154">
        <f t="shared" ca="1" si="70"/>
        <v>0</v>
      </c>
      <c r="AK78" s="1154">
        <f t="shared" ca="1" si="70"/>
        <v>0</v>
      </c>
      <c r="AL78" s="1154">
        <f t="shared" ca="1" si="70"/>
        <v>0</v>
      </c>
      <c r="AM78" s="1154">
        <f t="shared" ca="1" si="70"/>
        <v>0</v>
      </c>
      <c r="AN78" s="1154">
        <f t="shared" ca="1" si="70"/>
        <v>0</v>
      </c>
      <c r="AO78" s="1154">
        <f t="shared" ca="1" si="70"/>
        <v>0</v>
      </c>
      <c r="AP78" s="1154">
        <f t="shared" ca="1" si="70"/>
        <v>0</v>
      </c>
      <c r="AQ78" s="1154">
        <f t="shared" ca="1" si="70"/>
        <v>0</v>
      </c>
      <c r="AR78" s="1154">
        <f t="shared" ca="1" si="70"/>
        <v>0</v>
      </c>
      <c r="AS78" s="1154">
        <f t="shared" ca="1" si="70"/>
        <v>0</v>
      </c>
      <c r="AT78" s="1154">
        <f t="shared" ca="1" si="70"/>
        <v>0</v>
      </c>
      <c r="AU78" s="1154">
        <f t="shared" ca="1" si="70"/>
        <v>0</v>
      </c>
      <c r="AV78" s="1154">
        <f t="shared" ca="1" si="70"/>
        <v>0</v>
      </c>
      <c r="AW78" s="1154">
        <f t="shared" ca="1" si="70"/>
        <v>0</v>
      </c>
      <c r="AX78" s="1154">
        <f t="shared" ca="1" si="70"/>
        <v>0</v>
      </c>
      <c r="AY78" s="1154">
        <f t="shared" ca="1" si="70"/>
        <v>0</v>
      </c>
      <c r="AZ78" s="1154">
        <f t="shared" ca="1" si="70"/>
        <v>8478719.0368178971</v>
      </c>
      <c r="BA78" s="1154">
        <f t="shared" ca="1" si="70"/>
        <v>0</v>
      </c>
      <c r="BB78" s="1154">
        <f t="shared" ca="1" si="70"/>
        <v>0</v>
      </c>
      <c r="BC78" s="1154">
        <f t="shared" ca="1" si="70"/>
        <v>0</v>
      </c>
      <c r="BD78" s="1154">
        <f t="shared" ca="1" si="70"/>
        <v>0</v>
      </c>
      <c r="BE78" s="1154">
        <f t="shared" ca="1" si="70"/>
        <v>0</v>
      </c>
      <c r="BF78" s="1154">
        <f t="shared" ca="1" si="70"/>
        <v>0</v>
      </c>
      <c r="BG78" s="1154">
        <f t="shared" ca="1" si="70"/>
        <v>0</v>
      </c>
      <c r="BH78" s="1154">
        <f t="shared" ca="1" si="70"/>
        <v>0</v>
      </c>
      <c r="BI78" s="1154">
        <f t="shared" ca="1" si="70"/>
        <v>0</v>
      </c>
      <c r="BJ78" s="1154">
        <f t="shared" ca="1" si="70"/>
        <v>0</v>
      </c>
      <c r="BK78" s="1154">
        <f t="shared" ca="1" si="70"/>
        <v>0</v>
      </c>
      <c r="BL78" s="1154">
        <f t="shared" ca="1" si="70"/>
        <v>0</v>
      </c>
    </row>
    <row r="79" spans="1:64">
      <c r="A79" s="701"/>
      <c r="B79" s="701"/>
      <c r="C79" s="703"/>
      <c r="D79" s="701"/>
      <c r="E79" s="701"/>
      <c r="F79" s="701"/>
      <c r="G79" s="701"/>
      <c r="H79" s="701"/>
      <c r="I79" s="701"/>
    </row>
    <row r="80" spans="1:64">
      <c r="A80" s="700" t="s">
        <v>631</v>
      </c>
      <c r="B80" s="752">
        <f>D11</f>
        <v>0.25</v>
      </c>
      <c r="C80" s="703"/>
      <c r="D80" s="701"/>
      <c r="E80" s="701"/>
      <c r="F80" s="701"/>
      <c r="G80" s="701"/>
      <c r="H80" s="701"/>
      <c r="I80" s="701"/>
    </row>
    <row r="81" spans="1:64">
      <c r="A81" s="774" t="s">
        <v>637</v>
      </c>
      <c r="B81" s="701"/>
      <c r="C81" s="703"/>
      <c r="D81" s="701">
        <f>B91</f>
        <v>0</v>
      </c>
      <c r="E81" s="701">
        <f ca="1">D91</f>
        <v>-6170830.5186084146</v>
      </c>
      <c r="F81" s="701">
        <f t="shared" ref="F81:BL81" ca="1" si="71">E91</f>
        <v>-7042787.6554931058</v>
      </c>
      <c r="G81" s="701">
        <f ca="1">F91</f>
        <v>-7174975.6041935263</v>
      </c>
      <c r="H81" s="701">
        <f t="shared" ca="1" si="71"/>
        <v>-7309644.6235489743</v>
      </c>
      <c r="I81" s="701">
        <f t="shared" ca="1" si="71"/>
        <v>-7446841.2814323576</v>
      </c>
      <c r="J81" s="701">
        <f t="shared" ca="1" si="71"/>
        <v>-7586613.0197613416</v>
      </c>
      <c r="K81" s="701">
        <f t="shared" ca="1" si="71"/>
        <v>-7729008.170903516</v>
      </c>
      <c r="L81" s="701">
        <f t="shared" ca="1" si="71"/>
        <v>-7874075.9743894953</v>
      </c>
      <c r="M81" s="701">
        <f t="shared" ca="1" si="71"/>
        <v>-8021866.5939396983</v>
      </c>
      <c r="N81" s="701">
        <f t="shared" ca="1" si="71"/>
        <v>-8172431.1348107392</v>
      </c>
      <c r="O81" s="701">
        <f t="shared" ca="1" si="71"/>
        <v>-8325821.661467297</v>
      </c>
      <c r="P81" s="701">
        <f t="shared" ca="1" si="71"/>
        <v>-8482091.2155858036</v>
      </c>
      <c r="Q81" s="701">
        <f t="shared" ca="1" si="71"/>
        <v>-8641293.8343959898</v>
      </c>
      <c r="R81" s="701">
        <f t="shared" ca="1" si="71"/>
        <v>-8803484.5693666711</v>
      </c>
      <c r="S81" s="701">
        <f t="shared" ca="1" si="71"/>
        <v>-8836101.3328472637</v>
      </c>
      <c r="T81" s="701">
        <f t="shared" ca="1" si="71"/>
        <v>-9001948.4614040256</v>
      </c>
      <c r="U81" s="701">
        <f t="shared" ca="1" si="71"/>
        <v>-9170908.4186863191</v>
      </c>
      <c r="V81" s="701">
        <f t="shared" ca="1" si="71"/>
        <v>-9343039.6302017327</v>
      </c>
      <c r="W81" s="701">
        <f t="shared" ca="1" si="71"/>
        <v>-9518401.6180617381</v>
      </c>
      <c r="X81" s="701">
        <f t="shared" ca="1" si="71"/>
        <v>-9697055.0215640757</v>
      </c>
      <c r="Y81" s="701">
        <f t="shared" ca="1" si="71"/>
        <v>-9879061.6181615368</v>
      </c>
      <c r="Z81" s="701">
        <f t="shared" ca="1" si="71"/>
        <v>-10064484.34482431</v>
      </c>
      <c r="AA81" s="701">
        <f t="shared" ca="1" si="71"/>
        <v>-10253387.319803262</v>
      </c>
      <c r="AB81" s="701">
        <f t="shared" ca="1" si="71"/>
        <v>-10445835.864801709</v>
      </c>
      <c r="AC81" s="701">
        <f t="shared" ca="1" si="71"/>
        <v>-10641896.527563343</v>
      </c>
      <c r="AD81" s="701">
        <f t="shared" ca="1" si="71"/>
        <v>-10834431.106676707</v>
      </c>
      <c r="AE81" s="701">
        <f t="shared" ca="1" si="71"/>
        <v>-10864634.492286267</v>
      </c>
      <c r="AF81" s="701">
        <f t="shared" ca="1" si="71"/>
        <v>-11047499.781388808</v>
      </c>
      <c r="AG81" s="701">
        <f t="shared" ca="1" si="71"/>
        <v>-11226128.887795206</v>
      </c>
      <c r="AH81" s="701">
        <f t="shared" ca="1" si="71"/>
        <v>-11400730.162556639</v>
      </c>
      <c r="AI81" s="701">
        <f t="shared" ca="1" si="71"/>
        <v>-11560654.058615344</v>
      </c>
      <c r="AJ81" s="701">
        <f t="shared" ca="1" si="71"/>
        <v>-11714696.068716422</v>
      </c>
      <c r="AK81" s="701">
        <f t="shared" ca="1" si="71"/>
        <v>-11865671.922350882</v>
      </c>
      <c r="AL81" s="701">
        <f t="shared" ca="1" si="71"/>
        <v>-12038284.875335993</v>
      </c>
      <c r="AM81" s="701">
        <f t="shared" ca="1" si="71"/>
        <v>-12213561.644564485</v>
      </c>
      <c r="AN81" s="701">
        <f t="shared" ca="1" si="71"/>
        <v>-12392355.479274578</v>
      </c>
      <c r="AO81" s="701">
        <f t="shared" ca="1" si="71"/>
        <v>-12566691.249653971</v>
      </c>
      <c r="AP81" s="701">
        <f t="shared" ca="1" si="71"/>
        <v>-12744566.40880193</v>
      </c>
      <c r="AQ81" s="701">
        <f t="shared" ca="1" si="71"/>
        <v>-12923279.646178203</v>
      </c>
      <c r="AR81" s="701">
        <f t="shared" ca="1" si="71"/>
        <v>-13102642.868911216</v>
      </c>
      <c r="AS81" s="701">
        <f t="shared" ca="1" si="71"/>
        <v>-13282357.390047366</v>
      </c>
      <c r="AT81" s="701">
        <f t="shared" ca="1" si="71"/>
        <v>-13461775.462233156</v>
      </c>
      <c r="AU81" s="701">
        <f t="shared" ca="1" si="71"/>
        <v>-13642231.765769266</v>
      </c>
      <c r="AV81" s="701">
        <f t="shared" ca="1" si="71"/>
        <v>-13824366.640526894</v>
      </c>
      <c r="AW81" s="701">
        <f t="shared" ca="1" si="71"/>
        <v>-14008358.591326265</v>
      </c>
      <c r="AX81" s="701">
        <f t="shared" ca="1" si="71"/>
        <v>-14196503.725350782</v>
      </c>
      <c r="AY81" s="701">
        <f t="shared" ca="1" si="71"/>
        <v>-14388425.871812398</v>
      </c>
      <c r="AZ81" s="701">
        <f t="shared" ca="1" si="71"/>
        <v>-14584908.880468259</v>
      </c>
      <c r="BA81" s="701">
        <f t="shared" ca="1" si="71"/>
        <v>0</v>
      </c>
      <c r="BB81" s="701">
        <f t="shared" ca="1" si="71"/>
        <v>0</v>
      </c>
      <c r="BC81" s="701">
        <f t="shared" ca="1" si="71"/>
        <v>0</v>
      </c>
      <c r="BD81" s="701">
        <f t="shared" ca="1" si="71"/>
        <v>0</v>
      </c>
      <c r="BE81" s="701">
        <f t="shared" ca="1" si="71"/>
        <v>0</v>
      </c>
      <c r="BF81" s="701">
        <f t="shared" ca="1" si="71"/>
        <v>0</v>
      </c>
      <c r="BG81" s="701">
        <f t="shared" ca="1" si="71"/>
        <v>0</v>
      </c>
      <c r="BH81" s="701">
        <f t="shared" ca="1" si="71"/>
        <v>0</v>
      </c>
      <c r="BI81" s="701">
        <f t="shared" ca="1" si="71"/>
        <v>0</v>
      </c>
      <c r="BJ81" s="701">
        <f t="shared" ca="1" si="71"/>
        <v>0</v>
      </c>
      <c r="BK81" s="701">
        <f t="shared" ca="1" si="71"/>
        <v>0</v>
      </c>
      <c r="BL81" s="701">
        <f t="shared" ca="1" si="71"/>
        <v>0</v>
      </c>
    </row>
    <row r="82" spans="1:64">
      <c r="A82" s="774" t="s">
        <v>645</v>
      </c>
      <c r="B82" s="701"/>
      <c r="C82" s="699"/>
      <c r="D82" s="701">
        <f t="shared" ref="D82:AI82" ca="1" si="72">D63</f>
        <v>-6170830.5186084136</v>
      </c>
      <c r="E82" s="701">
        <f t="shared" ca="1" si="72"/>
        <v>-756135.18286102917</v>
      </c>
      <c r="F82" s="701">
        <f t="shared" ca="1" si="72"/>
        <v>1.862645149230957E-8</v>
      </c>
      <c r="G82" s="701">
        <f t="shared" ca="1" si="72"/>
        <v>1.862645149230957E-8</v>
      </c>
      <c r="H82" s="701">
        <f t="shared" ca="1" si="72"/>
        <v>1.862645149230957E-8</v>
      </c>
      <c r="I82" s="701">
        <f t="shared" ca="1" si="72"/>
        <v>1.862645149230957E-8</v>
      </c>
      <c r="J82" s="701">
        <f t="shared" ca="1" si="72"/>
        <v>1.862645149230957E-8</v>
      </c>
      <c r="K82" s="701">
        <f t="shared" ca="1" si="72"/>
        <v>1.862645149230957E-8</v>
      </c>
      <c r="L82" s="701">
        <f t="shared" ca="1" si="72"/>
        <v>2.0239837695884241E-8</v>
      </c>
      <c r="M82" s="701">
        <f t="shared" ca="1" si="72"/>
        <v>0</v>
      </c>
      <c r="N82" s="701">
        <f t="shared" ca="1" si="72"/>
        <v>0</v>
      </c>
      <c r="O82" s="701">
        <f t="shared" ca="1" si="72"/>
        <v>0</v>
      </c>
      <c r="P82" s="701">
        <f t="shared" ca="1" si="72"/>
        <v>0</v>
      </c>
      <c r="Q82" s="701">
        <f t="shared" ca="1" si="72"/>
        <v>0</v>
      </c>
      <c r="R82" s="701">
        <f t="shared" ca="1" si="72"/>
        <v>0</v>
      </c>
      <c r="S82" s="701">
        <f t="shared" ca="1" si="72"/>
        <v>0</v>
      </c>
      <c r="T82" s="701">
        <f t="shared" ca="1" si="72"/>
        <v>0</v>
      </c>
      <c r="U82" s="701">
        <f t="shared" ca="1" si="72"/>
        <v>0</v>
      </c>
      <c r="V82" s="701">
        <f t="shared" ca="1" si="72"/>
        <v>0</v>
      </c>
      <c r="W82" s="701">
        <f t="shared" ca="1" si="72"/>
        <v>0</v>
      </c>
      <c r="X82" s="701">
        <f t="shared" ca="1" si="72"/>
        <v>0</v>
      </c>
      <c r="Y82" s="701">
        <f t="shared" ca="1" si="72"/>
        <v>0</v>
      </c>
      <c r="Z82" s="701">
        <f t="shared" ca="1" si="72"/>
        <v>0</v>
      </c>
      <c r="AA82" s="701">
        <f t="shared" ca="1" si="72"/>
        <v>0</v>
      </c>
      <c r="AB82" s="701">
        <f t="shared" ca="1" si="72"/>
        <v>0</v>
      </c>
      <c r="AC82" s="701">
        <f t="shared" ca="1" si="72"/>
        <v>0</v>
      </c>
      <c r="AD82" s="701">
        <f t="shared" ca="1" si="72"/>
        <v>0</v>
      </c>
      <c r="AE82" s="701">
        <f t="shared" ca="1" si="72"/>
        <v>0</v>
      </c>
      <c r="AF82" s="701">
        <f t="shared" ca="1" si="72"/>
        <v>0</v>
      </c>
      <c r="AG82" s="701">
        <f t="shared" ca="1" si="72"/>
        <v>0</v>
      </c>
      <c r="AH82" s="701">
        <f t="shared" ca="1" si="72"/>
        <v>0</v>
      </c>
      <c r="AI82" s="701">
        <f t="shared" ca="1" si="72"/>
        <v>0</v>
      </c>
      <c r="AJ82" s="701">
        <f t="shared" ref="AJ82:BL82" ca="1" si="73">AJ63</f>
        <v>0</v>
      </c>
      <c r="AK82" s="701">
        <f t="shared" ca="1" si="73"/>
        <v>0</v>
      </c>
      <c r="AL82" s="701">
        <f t="shared" ca="1" si="73"/>
        <v>0</v>
      </c>
      <c r="AM82" s="701">
        <f t="shared" ca="1" si="73"/>
        <v>0</v>
      </c>
      <c r="AN82" s="701">
        <f t="shared" ca="1" si="73"/>
        <v>0</v>
      </c>
      <c r="AO82" s="701">
        <f t="shared" ca="1" si="73"/>
        <v>0</v>
      </c>
      <c r="AP82" s="701">
        <f t="shared" ca="1" si="73"/>
        <v>0</v>
      </c>
      <c r="AQ82" s="701">
        <f t="shared" ca="1" si="73"/>
        <v>0</v>
      </c>
      <c r="AR82" s="701">
        <f t="shared" ca="1" si="73"/>
        <v>0</v>
      </c>
      <c r="AS82" s="701">
        <f t="shared" ca="1" si="73"/>
        <v>0</v>
      </c>
      <c r="AT82" s="701">
        <f t="shared" ca="1" si="73"/>
        <v>0</v>
      </c>
      <c r="AU82" s="701">
        <f t="shared" ca="1" si="73"/>
        <v>0</v>
      </c>
      <c r="AV82" s="701">
        <f t="shared" ca="1" si="73"/>
        <v>0</v>
      </c>
      <c r="AW82" s="701">
        <f t="shared" ca="1" si="73"/>
        <v>0</v>
      </c>
      <c r="AX82" s="701">
        <f t="shared" ca="1" si="73"/>
        <v>0</v>
      </c>
      <c r="AY82" s="701">
        <f t="shared" ca="1" si="73"/>
        <v>0</v>
      </c>
      <c r="AZ82" s="701">
        <f t="shared" ca="1" si="73"/>
        <v>0</v>
      </c>
      <c r="BA82" s="701">
        <f t="shared" ca="1" si="73"/>
        <v>0</v>
      </c>
      <c r="BB82" s="701">
        <f t="shared" ca="1" si="73"/>
        <v>0</v>
      </c>
      <c r="BC82" s="701">
        <f t="shared" ca="1" si="73"/>
        <v>0</v>
      </c>
      <c r="BD82" s="701">
        <f t="shared" ca="1" si="73"/>
        <v>0</v>
      </c>
      <c r="BE82" s="701">
        <f t="shared" ca="1" si="73"/>
        <v>0</v>
      </c>
      <c r="BF82" s="701">
        <f t="shared" ca="1" si="73"/>
        <v>0</v>
      </c>
      <c r="BG82" s="701">
        <f t="shared" ca="1" si="73"/>
        <v>0</v>
      </c>
      <c r="BH82" s="701">
        <f t="shared" ca="1" si="73"/>
        <v>0</v>
      </c>
      <c r="BI82" s="701">
        <f t="shared" ca="1" si="73"/>
        <v>0</v>
      </c>
      <c r="BJ82" s="701">
        <f t="shared" ca="1" si="73"/>
        <v>0</v>
      </c>
      <c r="BK82" s="701">
        <f t="shared" ca="1" si="73"/>
        <v>0</v>
      </c>
      <c r="BL82" s="701">
        <f t="shared" ca="1" si="73"/>
        <v>0</v>
      </c>
    </row>
    <row r="83" spans="1:64">
      <c r="A83" s="775">
        <f>B80</f>
        <v>0.25</v>
      </c>
      <c r="B83" s="701"/>
      <c r="C83" s="699"/>
      <c r="D83" s="701">
        <f t="shared" ref="D83:BL83" si="74">D81*((1+$B$80)^(1/12)-1)</f>
        <v>0</v>
      </c>
      <c r="E83" s="701">
        <f t="shared" ca="1" si="74"/>
        <v>-115821.95402364242</v>
      </c>
      <c r="F83" s="701">
        <f t="shared" ca="1" si="74"/>
        <v>-132187.94870042059</v>
      </c>
      <c r="G83" s="701">
        <f t="shared" ca="1" si="74"/>
        <v>-134669.01935544683</v>
      </c>
      <c r="H83" s="701">
        <f t="shared" ca="1" si="74"/>
        <v>-137196.65788338249</v>
      </c>
      <c r="I83" s="701">
        <f t="shared" ca="1" si="74"/>
        <v>-139771.73832898028</v>
      </c>
      <c r="J83" s="701">
        <f t="shared" ca="1" si="74"/>
        <v>-142395.15114217074</v>
      </c>
      <c r="K83" s="701">
        <f t="shared" ca="1" si="74"/>
        <v>-145067.80348597516</v>
      </c>
      <c r="L83" s="701">
        <f t="shared" ca="1" si="74"/>
        <v>-147790.61955019805</v>
      </c>
      <c r="M83" s="701">
        <f t="shared" ca="1" si="74"/>
        <v>-150564.54087100746</v>
      </c>
      <c r="N83" s="701">
        <f t="shared" ca="1" si="74"/>
        <v>-153390.52665651386</v>
      </c>
      <c r="O83" s="701">
        <f t="shared" ca="1" si="74"/>
        <v>-156269.55411845827</v>
      </c>
      <c r="P83" s="701">
        <f t="shared" ca="1" si="74"/>
        <v>-159202.61881012804</v>
      </c>
      <c r="Q83" s="701">
        <f t="shared" ca="1" si="74"/>
        <v>-162190.73497061452</v>
      </c>
      <c r="R83" s="701">
        <f t="shared" ca="1" si="74"/>
        <v>-165234.93587553117</v>
      </c>
      <c r="S83" s="701">
        <f t="shared" ca="1" si="74"/>
        <v>-165847.12855670386</v>
      </c>
      <c r="T83" s="701">
        <f t="shared" ca="1" si="74"/>
        <v>-168959.95728222624</v>
      </c>
      <c r="U83" s="701">
        <f t="shared" ca="1" si="74"/>
        <v>-172131.21151537597</v>
      </c>
      <c r="V83" s="701">
        <f t="shared" ca="1" si="74"/>
        <v>-175361.98785999481</v>
      </c>
      <c r="W83" s="701">
        <f t="shared" ca="1" si="74"/>
        <v>-178653.40350237358</v>
      </c>
      <c r="X83" s="701">
        <f t="shared" ca="1" si="74"/>
        <v>-182006.59659756836</v>
      </c>
      <c r="Y83" s="701">
        <f t="shared" ca="1" si="74"/>
        <v>-185422.72666296913</v>
      </c>
      <c r="Z83" s="701">
        <f t="shared" ca="1" si="74"/>
        <v>-188902.97497925529</v>
      </c>
      <c r="AA83" s="701">
        <f t="shared" ca="1" si="74"/>
        <v>-192448.54499887646</v>
      </c>
      <c r="AB83" s="701">
        <f t="shared" ca="1" si="74"/>
        <v>-196060.6627622004</v>
      </c>
      <c r="AC83" s="701">
        <f t="shared" ca="1" si="74"/>
        <v>-199740.57732147173</v>
      </c>
      <c r="AD83" s="701">
        <f t="shared" ca="1" si="74"/>
        <v>-203354.30988190803</v>
      </c>
      <c r="AE83" s="701">
        <f t="shared" ca="1" si="74"/>
        <v>-203921.20523398096</v>
      </c>
      <c r="AF83" s="701">
        <f t="shared" ca="1" si="74"/>
        <v>-207353.45232666741</v>
      </c>
      <c r="AG83" s="701">
        <f t="shared" ca="1" si="74"/>
        <v>-210706.18938322683</v>
      </c>
      <c r="AH83" s="701">
        <f t="shared" ca="1" si="74"/>
        <v>-213983.32699977708</v>
      </c>
      <c r="AI83" s="701">
        <f t="shared" ca="1" si="74"/>
        <v>-216984.98100416712</v>
      </c>
      <c r="AJ83" s="701">
        <f t="shared" ca="1" si="74"/>
        <v>-219876.23633160398</v>
      </c>
      <c r="AK83" s="701">
        <f t="shared" ca="1" si="74"/>
        <v>-222709.94215541484</v>
      </c>
      <c r="AL83" s="701">
        <f t="shared" ca="1" si="74"/>
        <v>-225949.76043339848</v>
      </c>
      <c r="AM83" s="701">
        <f t="shared" ca="1" si="74"/>
        <v>-229239.57658468909</v>
      </c>
      <c r="AN83" s="701">
        <f t="shared" ca="1" si="74"/>
        <v>-232595.40547045358</v>
      </c>
      <c r="AO83" s="701">
        <f t="shared" ca="1" si="74"/>
        <v>-235867.5597648664</v>
      </c>
      <c r="AP83" s="701">
        <f t="shared" ca="1" si="74"/>
        <v>-239206.14578544453</v>
      </c>
      <c r="AQ83" s="701">
        <f t="shared" ca="1" si="74"/>
        <v>-242560.46191848247</v>
      </c>
      <c r="AR83" s="701">
        <f t="shared" ca="1" si="74"/>
        <v>-245926.97779900616</v>
      </c>
      <c r="AS83" s="701">
        <f t="shared" ca="1" si="74"/>
        <v>-249300.08729239507</v>
      </c>
      <c r="AT83" s="701">
        <f t="shared" ca="1" si="74"/>
        <v>-252667.63265683968</v>
      </c>
      <c r="AU83" s="701">
        <f t="shared" ca="1" si="74"/>
        <v>-256054.6648607559</v>
      </c>
      <c r="AV83" s="701">
        <f t="shared" ca="1" si="74"/>
        <v>-259473.20261295413</v>
      </c>
      <c r="AW83" s="701">
        <f t="shared" ca="1" si="74"/>
        <v>-262926.59631773061</v>
      </c>
      <c r="AX83" s="701">
        <f t="shared" ca="1" si="74"/>
        <v>-266457.94221955811</v>
      </c>
      <c r="AY83" s="701">
        <f t="shared" ca="1" si="74"/>
        <v>-270060.17986918468</v>
      </c>
      <c r="AZ83" s="701">
        <f t="shared" ca="1" si="74"/>
        <v>-273748.0215505177</v>
      </c>
      <c r="BA83" s="701">
        <f t="shared" ca="1" si="74"/>
        <v>0</v>
      </c>
      <c r="BB83" s="701">
        <f t="shared" ca="1" si="74"/>
        <v>0</v>
      </c>
      <c r="BC83" s="701">
        <f t="shared" ca="1" si="74"/>
        <v>0</v>
      </c>
      <c r="BD83" s="701">
        <f t="shared" ca="1" si="74"/>
        <v>0</v>
      </c>
      <c r="BE83" s="701">
        <f t="shared" ca="1" si="74"/>
        <v>0</v>
      </c>
      <c r="BF83" s="701">
        <f t="shared" ca="1" si="74"/>
        <v>0</v>
      </c>
      <c r="BG83" s="701">
        <f t="shared" ca="1" si="74"/>
        <v>0</v>
      </c>
      <c r="BH83" s="701">
        <f t="shared" ca="1" si="74"/>
        <v>0</v>
      </c>
      <c r="BI83" s="701">
        <f t="shared" ca="1" si="74"/>
        <v>0</v>
      </c>
      <c r="BJ83" s="701">
        <f t="shared" ca="1" si="74"/>
        <v>0</v>
      </c>
      <c r="BK83" s="701">
        <f t="shared" ca="1" si="74"/>
        <v>0</v>
      </c>
      <c r="BL83" s="701">
        <f t="shared" ca="1" si="74"/>
        <v>0</v>
      </c>
    </row>
    <row r="84" spans="1:64">
      <c r="A84" s="774" t="s">
        <v>639</v>
      </c>
      <c r="B84" s="701"/>
      <c r="C84" s="699"/>
      <c r="D84" s="701">
        <f>D50</f>
        <v>0</v>
      </c>
      <c r="E84" s="701">
        <f t="shared" ref="E84:AJ84" ca="1" si="75">E65</f>
        <v>0</v>
      </c>
      <c r="F84" s="701">
        <f t="shared" ca="1" si="75"/>
        <v>0</v>
      </c>
      <c r="G84" s="701">
        <f t="shared" ca="1" si="75"/>
        <v>0</v>
      </c>
      <c r="H84" s="701">
        <f t="shared" ca="1" si="75"/>
        <v>0</v>
      </c>
      <c r="I84" s="701">
        <f t="shared" ca="1" si="75"/>
        <v>0</v>
      </c>
      <c r="J84" s="701">
        <f t="shared" ca="1" si="75"/>
        <v>0</v>
      </c>
      <c r="K84" s="701">
        <f t="shared" ca="1" si="75"/>
        <v>0</v>
      </c>
      <c r="L84" s="701">
        <f t="shared" ca="1" si="75"/>
        <v>0</v>
      </c>
      <c r="M84" s="701">
        <f t="shared" ca="1" si="75"/>
        <v>0</v>
      </c>
      <c r="N84" s="701">
        <f t="shared" ca="1" si="75"/>
        <v>0</v>
      </c>
      <c r="O84" s="701">
        <f t="shared" ca="1" si="75"/>
        <v>0</v>
      </c>
      <c r="P84" s="701">
        <f t="shared" ca="1" si="75"/>
        <v>0</v>
      </c>
      <c r="Q84" s="701">
        <f t="shared" ca="1" si="75"/>
        <v>0</v>
      </c>
      <c r="R84" s="701">
        <f t="shared" ca="1" si="75"/>
        <v>86127.413202311101</v>
      </c>
      <c r="S84" s="701">
        <f t="shared" ca="1" si="75"/>
        <v>0</v>
      </c>
      <c r="T84" s="701">
        <f t="shared" ca="1" si="75"/>
        <v>0</v>
      </c>
      <c r="U84" s="701">
        <f t="shared" ca="1" si="75"/>
        <v>0</v>
      </c>
      <c r="V84" s="701">
        <f t="shared" ca="1" si="75"/>
        <v>0</v>
      </c>
      <c r="W84" s="701">
        <f t="shared" ca="1" si="75"/>
        <v>0</v>
      </c>
      <c r="X84" s="701">
        <f t="shared" ca="1" si="75"/>
        <v>0</v>
      </c>
      <c r="Y84" s="701">
        <f t="shared" ca="1" si="75"/>
        <v>0</v>
      </c>
      <c r="Z84" s="701">
        <f t="shared" ca="1" si="75"/>
        <v>0</v>
      </c>
      <c r="AA84" s="701">
        <f t="shared" ca="1" si="75"/>
        <v>0</v>
      </c>
      <c r="AB84" s="701">
        <f t="shared" ca="1" si="75"/>
        <v>0</v>
      </c>
      <c r="AC84" s="701">
        <f t="shared" ca="1" si="75"/>
        <v>7206.0087427061371</v>
      </c>
      <c r="AD84" s="701">
        <f t="shared" ca="1" si="75"/>
        <v>97196.141140446736</v>
      </c>
      <c r="AE84" s="701">
        <f t="shared" ca="1" si="75"/>
        <v>21055.946865947888</v>
      </c>
      <c r="AF84" s="701">
        <f t="shared" ca="1" si="75"/>
        <v>28724.387467987923</v>
      </c>
      <c r="AG84" s="701">
        <f t="shared" ca="1" si="75"/>
        <v>36104.966417679243</v>
      </c>
      <c r="AH84" s="701">
        <f t="shared" ca="1" si="75"/>
        <v>54059.507925376165</v>
      </c>
      <c r="AI84" s="701">
        <f t="shared" ca="1" si="75"/>
        <v>62943.060065788086</v>
      </c>
      <c r="AJ84" s="701">
        <f t="shared" ca="1" si="75"/>
        <v>68900.47988270261</v>
      </c>
      <c r="AK84" s="701">
        <f t="shared" ref="AK84:BL84" ca="1" si="76">AK65</f>
        <v>50097.05957852221</v>
      </c>
      <c r="AL84" s="701">
        <f t="shared" ca="1" si="76"/>
        <v>50673.06200911761</v>
      </c>
      <c r="AM84" s="701">
        <f t="shared" ca="1" si="76"/>
        <v>50445.81195463457</v>
      </c>
      <c r="AN84" s="701">
        <f t="shared" ca="1" si="76"/>
        <v>58259.71555476317</v>
      </c>
      <c r="AO84" s="701">
        <f t="shared" ca="1" si="76"/>
        <v>57992.480314047338</v>
      </c>
      <c r="AP84" s="701">
        <f t="shared" ca="1" si="76"/>
        <v>60492.991125167217</v>
      </c>
      <c r="AQ84" s="701">
        <f t="shared" ca="1" si="76"/>
        <v>63197.325187124254</v>
      </c>
      <c r="AR84" s="701">
        <f t="shared" ca="1" si="76"/>
        <v>66212.546362612702</v>
      </c>
      <c r="AS84" s="701">
        <f t="shared" ca="1" si="76"/>
        <v>69882.109380630471</v>
      </c>
      <c r="AT84" s="701">
        <f t="shared" ca="1" si="76"/>
        <v>72211.426165391909</v>
      </c>
      <c r="AU84" s="701">
        <f t="shared" ca="1" si="76"/>
        <v>73919.889087109943</v>
      </c>
      <c r="AV84" s="701">
        <f t="shared" ca="1" si="76"/>
        <v>75481.35254099837</v>
      </c>
      <c r="AW84" s="701">
        <f t="shared" ca="1" si="76"/>
        <v>74781.561758040159</v>
      </c>
      <c r="AX84" s="701">
        <f t="shared" ca="1" si="76"/>
        <v>74535.894558091793</v>
      </c>
      <c r="AY84" s="701">
        <f t="shared" ca="1" si="76"/>
        <v>73577.268404592178</v>
      </c>
      <c r="AZ84" s="701">
        <f t="shared" ca="1" si="76"/>
        <v>118972.27618888613</v>
      </c>
      <c r="BA84" s="701">
        <f t="shared" ca="1" si="76"/>
        <v>0</v>
      </c>
      <c r="BB84" s="701">
        <f t="shared" ca="1" si="76"/>
        <v>0</v>
      </c>
      <c r="BC84" s="701">
        <f t="shared" ca="1" si="76"/>
        <v>0</v>
      </c>
      <c r="BD84" s="701">
        <f t="shared" ca="1" si="76"/>
        <v>0</v>
      </c>
      <c r="BE84" s="701">
        <f t="shared" ca="1" si="76"/>
        <v>0</v>
      </c>
      <c r="BF84" s="701">
        <f t="shared" ca="1" si="76"/>
        <v>0</v>
      </c>
      <c r="BG84" s="701">
        <f t="shared" ca="1" si="76"/>
        <v>0</v>
      </c>
      <c r="BH84" s="701">
        <f t="shared" ca="1" si="76"/>
        <v>0</v>
      </c>
      <c r="BI84" s="701">
        <f t="shared" ca="1" si="76"/>
        <v>0</v>
      </c>
      <c r="BJ84" s="701">
        <f t="shared" ca="1" si="76"/>
        <v>0</v>
      </c>
      <c r="BK84" s="701">
        <f t="shared" ca="1" si="76"/>
        <v>0</v>
      </c>
      <c r="BL84" s="701">
        <f t="shared" ca="1" si="76"/>
        <v>0</v>
      </c>
    </row>
    <row r="85" spans="1:64">
      <c r="A85" s="774" t="s">
        <v>640</v>
      </c>
      <c r="B85" s="701"/>
      <c r="C85" s="699"/>
      <c r="D85" s="701">
        <f>D66</f>
        <v>0</v>
      </c>
      <c r="E85" s="701">
        <f t="shared" ref="E85:AJ85" ca="1" si="77">E66</f>
        <v>0</v>
      </c>
      <c r="F85" s="701">
        <f t="shared" ca="1" si="77"/>
        <v>0</v>
      </c>
      <c r="G85" s="701">
        <f t="shared" ca="1" si="77"/>
        <v>0</v>
      </c>
      <c r="H85" s="701">
        <f t="shared" ca="1" si="77"/>
        <v>0</v>
      </c>
      <c r="I85" s="701">
        <f t="shared" ca="1" si="77"/>
        <v>0</v>
      </c>
      <c r="J85" s="701">
        <f t="shared" ca="1" si="77"/>
        <v>0</v>
      </c>
      <c r="K85" s="701">
        <f t="shared" ca="1" si="77"/>
        <v>0</v>
      </c>
      <c r="L85" s="701">
        <f t="shared" ca="1" si="77"/>
        <v>0</v>
      </c>
      <c r="M85" s="701">
        <f t="shared" ca="1" si="77"/>
        <v>0</v>
      </c>
      <c r="N85" s="701">
        <f t="shared" ca="1" si="77"/>
        <v>0</v>
      </c>
      <c r="O85" s="701">
        <f t="shared" ca="1" si="77"/>
        <v>0</v>
      </c>
      <c r="P85" s="701">
        <f t="shared" ca="1" si="77"/>
        <v>0</v>
      </c>
      <c r="Q85" s="701">
        <f t="shared" ca="1" si="77"/>
        <v>0</v>
      </c>
      <c r="R85" s="701">
        <f t="shared" ca="1" si="77"/>
        <v>46490.759192695186</v>
      </c>
      <c r="S85" s="701">
        <f t="shared" ca="1" si="77"/>
        <v>0</v>
      </c>
      <c r="T85" s="701">
        <f t="shared" ca="1" si="77"/>
        <v>0</v>
      </c>
      <c r="U85" s="701">
        <f t="shared" ca="1" si="77"/>
        <v>0</v>
      </c>
      <c r="V85" s="701">
        <f t="shared" ca="1" si="77"/>
        <v>0</v>
      </c>
      <c r="W85" s="701">
        <f t="shared" ca="1" si="77"/>
        <v>0</v>
      </c>
      <c r="X85" s="701">
        <f t="shared" ca="1" si="77"/>
        <v>0</v>
      </c>
      <c r="Y85" s="701">
        <f t="shared" ca="1" si="77"/>
        <v>0</v>
      </c>
      <c r="Z85" s="701">
        <f t="shared" ca="1" si="77"/>
        <v>0</v>
      </c>
      <c r="AA85" s="701">
        <f t="shared" ca="1" si="77"/>
        <v>0</v>
      </c>
      <c r="AB85" s="701">
        <f t="shared" ca="1" si="77"/>
        <v>0</v>
      </c>
      <c r="AC85" s="701">
        <f t="shared" ca="1" si="77"/>
        <v>-1.0535310502746142E-2</v>
      </c>
      <c r="AD85" s="701">
        <f t="shared" ca="1" si="77"/>
        <v>75954.783131044795</v>
      </c>
      <c r="AE85" s="701">
        <f t="shared" ca="1" si="77"/>
        <v>-3.0735506676137447E-2</v>
      </c>
      <c r="AF85" s="701">
        <f t="shared" ca="1" si="77"/>
        <v>-4.1548858134774491E-2</v>
      </c>
      <c r="AG85" s="701">
        <f t="shared" ca="1" si="77"/>
        <v>-5.1797160085698124E-2</v>
      </c>
      <c r="AH85" s="701">
        <f t="shared" ca="1" si="77"/>
        <v>-7.6985652973235119E-2</v>
      </c>
      <c r="AI85" s="701">
        <f t="shared" ca="1" si="77"/>
        <v>-8.9164118267945014E-2</v>
      </c>
      <c r="AJ85" s="701">
        <f t="shared" ca="1" si="77"/>
        <v>-9.7186898157815449E-2</v>
      </c>
      <c r="AK85" s="701">
        <f t="shared" ref="AK85:BL85" ca="1" si="78">AK66</f>
        <v>-7.0409316809673328E-2</v>
      </c>
      <c r="AL85" s="701">
        <f t="shared" ca="1" si="78"/>
        <v>-7.0804834656883031E-2</v>
      </c>
      <c r="AM85" s="701">
        <f t="shared" ca="1" si="78"/>
        <v>-7.0079820899991319E-2</v>
      </c>
      <c r="AN85" s="701">
        <f t="shared" ca="1" si="78"/>
        <v>-8.0462262754736003E-2</v>
      </c>
      <c r="AO85" s="701">
        <f t="shared" ca="1" si="78"/>
        <v>-7.9693940228025895E-2</v>
      </c>
      <c r="AP85" s="701">
        <f t="shared" ca="1" si="78"/>
        <v>-8.2710518312524073E-2</v>
      </c>
      <c r="AQ85" s="701">
        <f t="shared" ca="1" si="78"/>
        <v>-8.5993392771342769E-2</v>
      </c>
      <c r="AR85" s="701">
        <f t="shared" ca="1" si="78"/>
        <v>-8.9688267966266721E-2</v>
      </c>
      <c r="AS85" s="701">
        <f t="shared" ca="1" si="78"/>
        <v>-9.4259135003085248E-2</v>
      </c>
      <c r="AT85" s="701">
        <f t="shared" ca="1" si="78"/>
        <v>-9.7026467905379832E-2</v>
      </c>
      <c r="AU85" s="701">
        <f t="shared" ca="1" si="78"/>
        <v>-9.8962860676692799E-2</v>
      </c>
      <c r="AV85" s="701">
        <f t="shared" ca="1" si="78"/>
        <v>-0.10070408204046544</v>
      </c>
      <c r="AW85" s="701">
        <f t="shared" ca="1" si="78"/>
        <v>-9.9440020028850995E-2</v>
      </c>
      <c r="AX85" s="701">
        <f t="shared" ca="1" si="78"/>
        <v>-9.8774722267990001E-2</v>
      </c>
      <c r="AY85" s="701">
        <f t="shared" ca="1" si="78"/>
        <v>-9.7165858300286345E-2</v>
      </c>
      <c r="AZ85" s="701">
        <f t="shared" ca="1" si="78"/>
        <v>10155622.6990618</v>
      </c>
      <c r="BA85" s="701">
        <f t="shared" ca="1" si="78"/>
        <v>0</v>
      </c>
      <c r="BB85" s="701">
        <f t="shared" ca="1" si="78"/>
        <v>0</v>
      </c>
      <c r="BC85" s="701">
        <f t="shared" ca="1" si="78"/>
        <v>0</v>
      </c>
      <c r="BD85" s="701">
        <f t="shared" ca="1" si="78"/>
        <v>0</v>
      </c>
      <c r="BE85" s="701">
        <f t="shared" ca="1" si="78"/>
        <v>0</v>
      </c>
      <c r="BF85" s="701">
        <f t="shared" ca="1" si="78"/>
        <v>0</v>
      </c>
      <c r="BG85" s="701">
        <f t="shared" ca="1" si="78"/>
        <v>0</v>
      </c>
      <c r="BH85" s="701">
        <f t="shared" ca="1" si="78"/>
        <v>0</v>
      </c>
      <c r="BI85" s="701">
        <f t="shared" ca="1" si="78"/>
        <v>0</v>
      </c>
      <c r="BJ85" s="701">
        <f t="shared" ca="1" si="78"/>
        <v>0</v>
      </c>
      <c r="BK85" s="701">
        <f t="shared" ca="1" si="78"/>
        <v>0</v>
      </c>
      <c r="BL85" s="701">
        <f t="shared" ca="1" si="78"/>
        <v>0</v>
      </c>
    </row>
    <row r="86" spans="1:64">
      <c r="A86" s="774" t="s">
        <v>648</v>
      </c>
      <c r="B86" s="701"/>
      <c r="C86" s="699"/>
      <c r="D86" s="701">
        <f t="shared" ref="D86:AI86" ca="1" si="79">D68</f>
        <v>0</v>
      </c>
      <c r="E86" s="701">
        <f t="shared" ca="1" si="79"/>
        <v>0</v>
      </c>
      <c r="F86" s="701">
        <f t="shared" ca="1" si="79"/>
        <v>0</v>
      </c>
      <c r="G86" s="701">
        <f t="shared" ca="1" si="79"/>
        <v>0</v>
      </c>
      <c r="H86" s="701">
        <f t="shared" ca="1" si="79"/>
        <v>0</v>
      </c>
      <c r="I86" s="701">
        <f t="shared" ca="1" si="79"/>
        <v>0</v>
      </c>
      <c r="J86" s="701">
        <f t="shared" ca="1" si="79"/>
        <v>0</v>
      </c>
      <c r="K86" s="701">
        <f t="shared" ca="1" si="79"/>
        <v>0</v>
      </c>
      <c r="L86" s="701">
        <f t="shared" ca="1" si="79"/>
        <v>0</v>
      </c>
      <c r="M86" s="701">
        <f t="shared" ca="1" si="79"/>
        <v>0</v>
      </c>
      <c r="N86" s="701">
        <f t="shared" ca="1" si="79"/>
        <v>0</v>
      </c>
      <c r="O86" s="701">
        <f t="shared" ca="1" si="79"/>
        <v>0</v>
      </c>
      <c r="P86" s="701">
        <f t="shared" ca="1" si="79"/>
        <v>0</v>
      </c>
      <c r="Q86" s="701">
        <f t="shared" ca="1" si="79"/>
        <v>0</v>
      </c>
      <c r="R86" s="701">
        <f t="shared" ca="1" si="79"/>
        <v>0</v>
      </c>
      <c r="S86" s="701">
        <f t="shared" ca="1" si="79"/>
        <v>0</v>
      </c>
      <c r="T86" s="701">
        <f t="shared" ca="1" si="79"/>
        <v>0</v>
      </c>
      <c r="U86" s="701">
        <f t="shared" ca="1" si="79"/>
        <v>0</v>
      </c>
      <c r="V86" s="701">
        <f t="shared" ca="1" si="79"/>
        <v>0</v>
      </c>
      <c r="W86" s="701">
        <f t="shared" ca="1" si="79"/>
        <v>0</v>
      </c>
      <c r="X86" s="701">
        <f t="shared" ca="1" si="79"/>
        <v>0</v>
      </c>
      <c r="Y86" s="701">
        <f t="shared" ca="1" si="79"/>
        <v>0</v>
      </c>
      <c r="Z86" s="701">
        <f t="shared" ca="1" si="79"/>
        <v>0</v>
      </c>
      <c r="AA86" s="701">
        <f t="shared" ca="1" si="79"/>
        <v>0</v>
      </c>
      <c r="AB86" s="701">
        <f t="shared" ca="1" si="79"/>
        <v>0</v>
      </c>
      <c r="AC86" s="701">
        <f t="shared" ca="1" si="79"/>
        <v>0</v>
      </c>
      <c r="AD86" s="701">
        <f t="shared" ca="1" si="79"/>
        <v>0</v>
      </c>
      <c r="AE86" s="701">
        <f t="shared" ca="1" si="79"/>
        <v>0</v>
      </c>
      <c r="AF86" s="701">
        <f t="shared" ca="1" si="79"/>
        <v>0</v>
      </c>
      <c r="AG86" s="701">
        <f t="shared" ca="1" si="79"/>
        <v>0</v>
      </c>
      <c r="AH86" s="701">
        <f t="shared" ca="1" si="79"/>
        <v>0</v>
      </c>
      <c r="AI86" s="701">
        <f t="shared" ca="1" si="79"/>
        <v>0</v>
      </c>
      <c r="AJ86" s="701">
        <f t="shared" ref="AJ86:BL86" ca="1" si="80">AJ68</f>
        <v>0</v>
      </c>
      <c r="AK86" s="701">
        <f t="shared" ca="1" si="80"/>
        <v>0</v>
      </c>
      <c r="AL86" s="701">
        <f t="shared" ca="1" si="80"/>
        <v>0</v>
      </c>
      <c r="AM86" s="701">
        <f t="shared" ca="1" si="80"/>
        <v>0</v>
      </c>
      <c r="AN86" s="701">
        <f t="shared" ca="1" si="80"/>
        <v>0</v>
      </c>
      <c r="AO86" s="701">
        <f t="shared" ca="1" si="80"/>
        <v>0</v>
      </c>
      <c r="AP86" s="701">
        <f t="shared" ca="1" si="80"/>
        <v>0</v>
      </c>
      <c r="AQ86" s="701">
        <f t="shared" ca="1" si="80"/>
        <v>0</v>
      </c>
      <c r="AR86" s="701">
        <f t="shared" ca="1" si="80"/>
        <v>0</v>
      </c>
      <c r="AS86" s="701">
        <f t="shared" ca="1" si="80"/>
        <v>0</v>
      </c>
      <c r="AT86" s="701">
        <f t="shared" ca="1" si="80"/>
        <v>0</v>
      </c>
      <c r="AU86" s="701">
        <f t="shared" ca="1" si="80"/>
        <v>0</v>
      </c>
      <c r="AV86" s="701">
        <f t="shared" ca="1" si="80"/>
        <v>0</v>
      </c>
      <c r="AW86" s="701">
        <f t="shared" ca="1" si="80"/>
        <v>0</v>
      </c>
      <c r="AX86" s="701">
        <f t="shared" ca="1" si="80"/>
        <v>0</v>
      </c>
      <c r="AY86" s="701">
        <f t="shared" ca="1" si="80"/>
        <v>0</v>
      </c>
      <c r="AZ86" s="701">
        <f t="shared" ca="1" si="80"/>
        <v>2144855.1665257625</v>
      </c>
      <c r="BA86" s="701">
        <f t="shared" ca="1" si="80"/>
        <v>0</v>
      </c>
      <c r="BB86" s="701">
        <f t="shared" ca="1" si="80"/>
        <v>0</v>
      </c>
      <c r="BC86" s="701">
        <f t="shared" ca="1" si="80"/>
        <v>0</v>
      </c>
      <c r="BD86" s="701">
        <f t="shared" ca="1" si="80"/>
        <v>0</v>
      </c>
      <c r="BE86" s="701">
        <f t="shared" ca="1" si="80"/>
        <v>0</v>
      </c>
      <c r="BF86" s="701">
        <f t="shared" ca="1" si="80"/>
        <v>0</v>
      </c>
      <c r="BG86" s="701">
        <f t="shared" ca="1" si="80"/>
        <v>0</v>
      </c>
      <c r="BH86" s="701">
        <f t="shared" ca="1" si="80"/>
        <v>0</v>
      </c>
      <c r="BI86" s="701">
        <f t="shared" ca="1" si="80"/>
        <v>0</v>
      </c>
      <c r="BJ86" s="701">
        <f t="shared" ca="1" si="80"/>
        <v>0</v>
      </c>
      <c r="BK86" s="701">
        <f t="shared" ca="1" si="80"/>
        <v>0</v>
      </c>
      <c r="BL86" s="701">
        <f t="shared" ca="1" si="80"/>
        <v>0</v>
      </c>
    </row>
    <row r="87" spans="1:64">
      <c r="A87" s="774" t="s">
        <v>541</v>
      </c>
      <c r="B87" s="701"/>
      <c r="C87" s="703"/>
      <c r="D87" s="754">
        <f ca="1">SUM(D81:D86)</f>
        <v>-6170830.5186084136</v>
      </c>
      <c r="E87" s="754">
        <f t="shared" ref="E87:BL87" ca="1" si="81">SUM(E81:E86)</f>
        <v>-7042787.6554930862</v>
      </c>
      <c r="F87" s="754">
        <f t="shared" ca="1" si="81"/>
        <v>-7174975.6041935077</v>
      </c>
      <c r="G87" s="754">
        <f t="shared" ca="1" si="81"/>
        <v>-7309644.6235489547</v>
      </c>
      <c r="H87" s="754">
        <f t="shared" ca="1" si="81"/>
        <v>-7446841.2814323381</v>
      </c>
      <c r="I87" s="754">
        <f t="shared" ca="1" si="81"/>
        <v>-7586613.0197613193</v>
      </c>
      <c r="J87" s="754">
        <f t="shared" ca="1" si="81"/>
        <v>-7729008.1709034937</v>
      </c>
      <c r="K87" s="754">
        <f t="shared" ca="1" si="81"/>
        <v>-7874075.974389473</v>
      </c>
      <c r="L87" s="754">
        <f t="shared" ca="1" si="81"/>
        <v>-8021866.5939396732</v>
      </c>
      <c r="M87" s="754">
        <f t="shared" ca="1" si="81"/>
        <v>-8172431.1348107057</v>
      </c>
      <c r="N87" s="754">
        <f t="shared" ca="1" si="81"/>
        <v>-8325821.6614672532</v>
      </c>
      <c r="O87" s="754">
        <f t="shared" ca="1" si="81"/>
        <v>-8482091.2155857552</v>
      </c>
      <c r="P87" s="754">
        <f t="shared" ca="1" si="81"/>
        <v>-8641293.834395932</v>
      </c>
      <c r="Q87" s="754">
        <f t="shared" ca="1" si="81"/>
        <v>-8803484.5693666041</v>
      </c>
      <c r="R87" s="754">
        <f t="shared" ca="1" si="81"/>
        <v>-8836101.3328471947</v>
      </c>
      <c r="S87" s="754">
        <f t="shared" ca="1" si="81"/>
        <v>-9001948.4614039678</v>
      </c>
      <c r="T87" s="754">
        <f t="shared" ca="1" si="81"/>
        <v>-9170908.4186862521</v>
      </c>
      <c r="U87" s="754">
        <f t="shared" ca="1" si="81"/>
        <v>-9343039.6302016955</v>
      </c>
      <c r="V87" s="754">
        <f t="shared" ca="1" si="81"/>
        <v>-9518401.6180617269</v>
      </c>
      <c r="W87" s="754">
        <f t="shared" ca="1" si="81"/>
        <v>-9697055.0215641111</v>
      </c>
      <c r="X87" s="754">
        <f t="shared" ca="1" si="81"/>
        <v>-9879061.6181616448</v>
      </c>
      <c r="Y87" s="754">
        <f t="shared" ca="1" si="81"/>
        <v>-10064484.344824506</v>
      </c>
      <c r="Z87" s="754">
        <f t="shared" ca="1" si="81"/>
        <v>-10253387.319803566</v>
      </c>
      <c r="AA87" s="754">
        <f t="shared" ca="1" si="81"/>
        <v>-10445835.864802139</v>
      </c>
      <c r="AB87" s="754">
        <f t="shared" ca="1" si="81"/>
        <v>-10641896.527563909</v>
      </c>
      <c r="AC87" s="754">
        <f t="shared" ca="1" si="81"/>
        <v>-10834431.106677419</v>
      </c>
      <c r="AD87" s="754">
        <f t="shared" ca="1" si="81"/>
        <v>-10864634.492287125</v>
      </c>
      <c r="AE87" s="754">
        <f t="shared" ca="1" si="81"/>
        <v>-11047499.781389806</v>
      </c>
      <c r="AF87" s="754">
        <f t="shared" ca="1" si="81"/>
        <v>-11226128.887796344</v>
      </c>
      <c r="AG87" s="754">
        <f t="shared" ca="1" si="81"/>
        <v>-11400730.162557915</v>
      </c>
      <c r="AH87" s="754">
        <f t="shared" ca="1" si="81"/>
        <v>-11560654.058616694</v>
      </c>
      <c r="AI87" s="754">
        <f t="shared" ca="1" si="81"/>
        <v>-11714696.068717841</v>
      </c>
      <c r="AJ87" s="754">
        <f t="shared" ca="1" si="81"/>
        <v>-11865671.922352223</v>
      </c>
      <c r="AK87" s="754">
        <f t="shared" ca="1" si="81"/>
        <v>-12038284.87533709</v>
      </c>
      <c r="AL87" s="754">
        <f t="shared" ca="1" si="81"/>
        <v>-12213561.644565107</v>
      </c>
      <c r="AM87" s="754">
        <f t="shared" ca="1" si="81"/>
        <v>-12392355.47927436</v>
      </c>
      <c r="AN87" s="754">
        <f t="shared" ca="1" si="81"/>
        <v>-12566691.249652531</v>
      </c>
      <c r="AO87" s="754">
        <f t="shared" ca="1" si="81"/>
        <v>-12744566.408798728</v>
      </c>
      <c r="AP87" s="754">
        <f t="shared" ca="1" si="81"/>
        <v>-12923279.646172727</v>
      </c>
      <c r="AQ87" s="754">
        <f t="shared" ca="1" si="81"/>
        <v>-13102642.868902953</v>
      </c>
      <c r="AR87" s="754">
        <f t="shared" ca="1" si="81"/>
        <v>-13282357.390035877</v>
      </c>
      <c r="AS87" s="754">
        <f t="shared" ca="1" si="81"/>
        <v>-13461775.462218266</v>
      </c>
      <c r="AT87" s="754">
        <f t="shared" ca="1" si="81"/>
        <v>-13642231.765751069</v>
      </c>
      <c r="AU87" s="754">
        <f t="shared" ca="1" si="81"/>
        <v>-13824366.64050577</v>
      </c>
      <c r="AV87" s="754">
        <f t="shared" ca="1" si="81"/>
        <v>-14008358.591302931</v>
      </c>
      <c r="AW87" s="754">
        <f t="shared" ca="1" si="81"/>
        <v>-14196503.725325976</v>
      </c>
      <c r="AX87" s="754">
        <f t="shared" ca="1" si="81"/>
        <v>-14388425.871786969</v>
      </c>
      <c r="AY87" s="754">
        <f t="shared" ca="1" si="81"/>
        <v>-14584908.880442848</v>
      </c>
      <c r="AZ87" s="754">
        <f t="shared" ca="1" si="81"/>
        <v>-2439206.760242328</v>
      </c>
      <c r="BA87" s="754">
        <f t="shared" ca="1" si="81"/>
        <v>0</v>
      </c>
      <c r="BB87" s="754">
        <f t="shared" ca="1" si="81"/>
        <v>0</v>
      </c>
      <c r="BC87" s="754">
        <f t="shared" ca="1" si="81"/>
        <v>0</v>
      </c>
      <c r="BD87" s="754">
        <f t="shared" ca="1" si="81"/>
        <v>0</v>
      </c>
      <c r="BE87" s="754">
        <f t="shared" ca="1" si="81"/>
        <v>0</v>
      </c>
      <c r="BF87" s="754">
        <f t="shared" ca="1" si="81"/>
        <v>0</v>
      </c>
      <c r="BG87" s="754">
        <f t="shared" ca="1" si="81"/>
        <v>0</v>
      </c>
      <c r="BH87" s="754">
        <f t="shared" ca="1" si="81"/>
        <v>0</v>
      </c>
      <c r="BI87" s="754">
        <f t="shared" ca="1" si="81"/>
        <v>0</v>
      </c>
      <c r="BJ87" s="754">
        <f t="shared" ca="1" si="81"/>
        <v>0</v>
      </c>
      <c r="BK87" s="754">
        <f t="shared" ca="1" si="81"/>
        <v>0</v>
      </c>
      <c r="BL87" s="754">
        <f t="shared" ca="1" si="81"/>
        <v>0</v>
      </c>
    </row>
    <row r="88" spans="1:64">
      <c r="A88" s="778">
        <f ca="1">1-G11</f>
        <v>0.71161801225213517</v>
      </c>
      <c r="B88" s="701"/>
      <c r="C88" s="699"/>
      <c r="D88" s="701">
        <v>0</v>
      </c>
      <c r="E88" s="701">
        <f t="shared" ref="E88:AJ88" ca="1" si="82">MIN(-E87,E73*$A88)</f>
        <v>0</v>
      </c>
      <c r="F88" s="701">
        <f t="shared" ca="1" si="82"/>
        <v>0</v>
      </c>
      <c r="G88" s="701">
        <f t="shared" ca="1" si="82"/>
        <v>0</v>
      </c>
      <c r="H88" s="701">
        <f t="shared" ca="1" si="82"/>
        <v>0</v>
      </c>
      <c r="I88" s="701">
        <f t="shared" ca="1" si="82"/>
        <v>0</v>
      </c>
      <c r="J88" s="701">
        <f t="shared" ca="1" si="82"/>
        <v>0</v>
      </c>
      <c r="K88" s="701">
        <f t="shared" ca="1" si="82"/>
        <v>0</v>
      </c>
      <c r="L88" s="701">
        <f t="shared" ca="1" si="82"/>
        <v>0</v>
      </c>
      <c r="M88" s="701">
        <f t="shared" ca="1" si="82"/>
        <v>0</v>
      </c>
      <c r="N88" s="701">
        <f t="shared" ca="1" si="82"/>
        <v>0</v>
      </c>
      <c r="O88" s="701">
        <f t="shared" ca="1" si="82"/>
        <v>0</v>
      </c>
      <c r="P88" s="701">
        <f t="shared" ca="1" si="82"/>
        <v>0</v>
      </c>
      <c r="Q88" s="701">
        <f t="shared" ca="1" si="82"/>
        <v>0</v>
      </c>
      <c r="R88" s="701">
        <f t="shared" ca="1" si="82"/>
        <v>0</v>
      </c>
      <c r="S88" s="701">
        <f t="shared" ca="1" si="82"/>
        <v>0</v>
      </c>
      <c r="T88" s="701">
        <f t="shared" ca="1" si="82"/>
        <v>0</v>
      </c>
      <c r="U88" s="701">
        <f t="shared" ca="1" si="82"/>
        <v>0</v>
      </c>
      <c r="V88" s="701">
        <f t="shared" ca="1" si="82"/>
        <v>0</v>
      </c>
      <c r="W88" s="701">
        <f t="shared" ca="1" si="82"/>
        <v>0</v>
      </c>
      <c r="X88" s="701">
        <f t="shared" ca="1" si="82"/>
        <v>0</v>
      </c>
      <c r="Y88" s="701">
        <f t="shared" ca="1" si="82"/>
        <v>0</v>
      </c>
      <c r="Z88" s="701">
        <f t="shared" ca="1" si="82"/>
        <v>0</v>
      </c>
      <c r="AA88" s="701">
        <f t="shared" ca="1" si="82"/>
        <v>0</v>
      </c>
      <c r="AB88" s="701">
        <f t="shared" ca="1" si="82"/>
        <v>0</v>
      </c>
      <c r="AC88" s="701">
        <f t="shared" ca="1" si="82"/>
        <v>0</v>
      </c>
      <c r="AD88" s="701">
        <f t="shared" ca="1" si="82"/>
        <v>0</v>
      </c>
      <c r="AE88" s="701">
        <f t="shared" ca="1" si="82"/>
        <v>0</v>
      </c>
      <c r="AF88" s="701">
        <f t="shared" ca="1" si="82"/>
        <v>0</v>
      </c>
      <c r="AG88" s="701">
        <f t="shared" ca="1" si="82"/>
        <v>0</v>
      </c>
      <c r="AH88" s="701">
        <f t="shared" ca="1" si="82"/>
        <v>0</v>
      </c>
      <c r="AI88" s="701">
        <f t="shared" ca="1" si="82"/>
        <v>0</v>
      </c>
      <c r="AJ88" s="701">
        <f t="shared" ca="1" si="82"/>
        <v>0</v>
      </c>
      <c r="AK88" s="701">
        <f t="shared" ref="AK88:BL88" ca="1" si="83">MIN(-AK87,AK73*$A88)</f>
        <v>0</v>
      </c>
      <c r="AL88" s="701">
        <f t="shared" ca="1" si="83"/>
        <v>0</v>
      </c>
      <c r="AM88" s="701">
        <f t="shared" ca="1" si="83"/>
        <v>0</v>
      </c>
      <c r="AN88" s="701">
        <f t="shared" ca="1" si="83"/>
        <v>0</v>
      </c>
      <c r="AO88" s="701">
        <f t="shared" ca="1" si="83"/>
        <v>0</v>
      </c>
      <c r="AP88" s="701">
        <f t="shared" ca="1" si="83"/>
        <v>0</v>
      </c>
      <c r="AQ88" s="701">
        <f t="shared" ca="1" si="83"/>
        <v>0</v>
      </c>
      <c r="AR88" s="701">
        <f t="shared" ca="1" si="83"/>
        <v>0</v>
      </c>
      <c r="AS88" s="701">
        <f t="shared" ca="1" si="83"/>
        <v>0</v>
      </c>
      <c r="AT88" s="701">
        <f t="shared" ca="1" si="83"/>
        <v>0</v>
      </c>
      <c r="AU88" s="701">
        <f t="shared" ca="1" si="83"/>
        <v>0</v>
      </c>
      <c r="AV88" s="701">
        <f t="shared" ca="1" si="83"/>
        <v>0</v>
      </c>
      <c r="AW88" s="701">
        <f t="shared" ca="1" si="83"/>
        <v>0</v>
      </c>
      <c r="AX88" s="701">
        <f t="shared" ca="1" si="83"/>
        <v>0</v>
      </c>
      <c r="AY88" s="701">
        <f t="shared" ca="1" si="83"/>
        <v>0</v>
      </c>
      <c r="AZ88" s="701">
        <f t="shared" ca="1" si="83"/>
        <v>2439206.760242328</v>
      </c>
      <c r="BA88" s="701">
        <f t="shared" ca="1" si="83"/>
        <v>0</v>
      </c>
      <c r="BB88" s="701">
        <f t="shared" ca="1" si="83"/>
        <v>0</v>
      </c>
      <c r="BC88" s="701">
        <f t="shared" ca="1" si="83"/>
        <v>0</v>
      </c>
      <c r="BD88" s="701">
        <f t="shared" ca="1" si="83"/>
        <v>0</v>
      </c>
      <c r="BE88" s="701">
        <f t="shared" ca="1" si="83"/>
        <v>0</v>
      </c>
      <c r="BF88" s="701">
        <f t="shared" ca="1" si="83"/>
        <v>0</v>
      </c>
      <c r="BG88" s="701">
        <f t="shared" ca="1" si="83"/>
        <v>0</v>
      </c>
      <c r="BH88" s="701">
        <f t="shared" ca="1" si="83"/>
        <v>0</v>
      </c>
      <c r="BI88" s="701">
        <f t="shared" ca="1" si="83"/>
        <v>0</v>
      </c>
      <c r="BJ88" s="701">
        <f t="shared" ca="1" si="83"/>
        <v>0</v>
      </c>
      <c r="BK88" s="701">
        <f t="shared" ca="1" si="83"/>
        <v>0</v>
      </c>
      <c r="BL88" s="701">
        <f t="shared" ca="1" si="83"/>
        <v>0</v>
      </c>
    </row>
    <row r="89" spans="1:64">
      <c r="A89" s="774" t="s">
        <v>675</v>
      </c>
      <c r="B89" s="702">
        <f ca="1">E11</f>
        <v>0.91338198774786505</v>
      </c>
      <c r="C89" s="699"/>
      <c r="D89" s="701">
        <v>0</v>
      </c>
      <c r="E89" s="701">
        <f t="shared" ref="E89:T90" ca="1" si="84">E$88*$B89</f>
        <v>0</v>
      </c>
      <c r="F89" s="701">
        <f t="shared" ca="1" si="84"/>
        <v>0</v>
      </c>
      <c r="G89" s="701">
        <f t="shared" ca="1" si="84"/>
        <v>0</v>
      </c>
      <c r="H89" s="701">
        <f t="shared" ca="1" si="84"/>
        <v>0</v>
      </c>
      <c r="I89" s="701">
        <f t="shared" ca="1" si="84"/>
        <v>0</v>
      </c>
      <c r="J89" s="701">
        <f t="shared" ca="1" si="84"/>
        <v>0</v>
      </c>
      <c r="K89" s="701">
        <f t="shared" ca="1" si="84"/>
        <v>0</v>
      </c>
      <c r="L89" s="701">
        <f t="shared" ca="1" si="84"/>
        <v>0</v>
      </c>
      <c r="M89" s="701">
        <f t="shared" ca="1" si="84"/>
        <v>0</v>
      </c>
      <c r="N89" s="701">
        <f t="shared" ca="1" si="84"/>
        <v>0</v>
      </c>
      <c r="O89" s="701">
        <f t="shared" ca="1" si="84"/>
        <v>0</v>
      </c>
      <c r="P89" s="701">
        <f t="shared" ca="1" si="84"/>
        <v>0</v>
      </c>
      <c r="Q89" s="701">
        <f t="shared" ca="1" si="84"/>
        <v>0</v>
      </c>
      <c r="R89" s="701">
        <f t="shared" ca="1" si="84"/>
        <v>0</v>
      </c>
      <c r="S89" s="701">
        <f t="shared" ca="1" si="84"/>
        <v>0</v>
      </c>
      <c r="T89" s="701">
        <f t="shared" ca="1" si="84"/>
        <v>0</v>
      </c>
      <c r="U89" s="701">
        <f t="shared" ref="U89:AJ90" ca="1" si="85">U$88*$B89</f>
        <v>0</v>
      </c>
      <c r="V89" s="701">
        <f t="shared" ca="1" si="85"/>
        <v>0</v>
      </c>
      <c r="W89" s="701">
        <f t="shared" ca="1" si="85"/>
        <v>0</v>
      </c>
      <c r="X89" s="701">
        <f t="shared" ca="1" si="85"/>
        <v>0</v>
      </c>
      <c r="Y89" s="701">
        <f t="shared" ca="1" si="85"/>
        <v>0</v>
      </c>
      <c r="Z89" s="701">
        <f t="shared" ca="1" si="85"/>
        <v>0</v>
      </c>
      <c r="AA89" s="701">
        <f t="shared" ca="1" si="85"/>
        <v>0</v>
      </c>
      <c r="AB89" s="701">
        <f t="shared" ca="1" si="85"/>
        <v>0</v>
      </c>
      <c r="AC89" s="701">
        <f t="shared" ca="1" si="85"/>
        <v>0</v>
      </c>
      <c r="AD89" s="701">
        <f t="shared" ca="1" si="85"/>
        <v>0</v>
      </c>
      <c r="AE89" s="701">
        <f t="shared" ca="1" si="85"/>
        <v>0</v>
      </c>
      <c r="AF89" s="701">
        <f t="shared" ca="1" si="85"/>
        <v>0</v>
      </c>
      <c r="AG89" s="701">
        <f t="shared" ca="1" si="85"/>
        <v>0</v>
      </c>
      <c r="AH89" s="701">
        <f t="shared" ca="1" si="85"/>
        <v>0</v>
      </c>
      <c r="AI89" s="701">
        <f t="shared" ca="1" si="85"/>
        <v>0</v>
      </c>
      <c r="AJ89" s="701">
        <f t="shared" ca="1" si="85"/>
        <v>0</v>
      </c>
      <c r="AK89" s="701">
        <f t="shared" ref="AK89:AZ90" ca="1" si="86">AK$88*$B89</f>
        <v>0</v>
      </c>
      <c r="AL89" s="701">
        <f t="shared" ca="1" si="86"/>
        <v>0</v>
      </c>
      <c r="AM89" s="701">
        <f t="shared" ca="1" si="86"/>
        <v>0</v>
      </c>
      <c r="AN89" s="701">
        <f t="shared" ca="1" si="86"/>
        <v>0</v>
      </c>
      <c r="AO89" s="701">
        <f t="shared" ca="1" si="86"/>
        <v>0</v>
      </c>
      <c r="AP89" s="701">
        <f t="shared" ca="1" si="86"/>
        <v>0</v>
      </c>
      <c r="AQ89" s="701">
        <f t="shared" ca="1" si="86"/>
        <v>0</v>
      </c>
      <c r="AR89" s="701">
        <f t="shared" ca="1" si="86"/>
        <v>0</v>
      </c>
      <c r="AS89" s="701">
        <f t="shared" ca="1" si="86"/>
        <v>0</v>
      </c>
      <c r="AT89" s="701">
        <f t="shared" ca="1" si="86"/>
        <v>0</v>
      </c>
      <c r="AU89" s="701">
        <f t="shared" ca="1" si="86"/>
        <v>0</v>
      </c>
      <c r="AV89" s="701">
        <f t="shared" ca="1" si="86"/>
        <v>0</v>
      </c>
      <c r="AW89" s="701">
        <f t="shared" ca="1" si="86"/>
        <v>0</v>
      </c>
      <c r="AX89" s="701">
        <f t="shared" ca="1" si="86"/>
        <v>0</v>
      </c>
      <c r="AY89" s="701">
        <f t="shared" ca="1" si="86"/>
        <v>0</v>
      </c>
      <c r="AZ89" s="701">
        <f t="shared" ca="1" si="86"/>
        <v>2227927.5191981676</v>
      </c>
      <c r="BA89" s="701">
        <f t="shared" ref="BA89:BL90" ca="1" si="87">BA$88*$B89</f>
        <v>0</v>
      </c>
      <c r="BB89" s="701">
        <f t="shared" ca="1" si="87"/>
        <v>0</v>
      </c>
      <c r="BC89" s="701">
        <f t="shared" ca="1" si="87"/>
        <v>0</v>
      </c>
      <c r="BD89" s="701">
        <f t="shared" ca="1" si="87"/>
        <v>0</v>
      </c>
      <c r="BE89" s="701">
        <f t="shared" ca="1" si="87"/>
        <v>0</v>
      </c>
      <c r="BF89" s="701">
        <f t="shared" ca="1" si="87"/>
        <v>0</v>
      </c>
      <c r="BG89" s="701">
        <f t="shared" ca="1" si="87"/>
        <v>0</v>
      </c>
      <c r="BH89" s="701">
        <f t="shared" ca="1" si="87"/>
        <v>0</v>
      </c>
      <c r="BI89" s="701">
        <f t="shared" ca="1" si="87"/>
        <v>0</v>
      </c>
      <c r="BJ89" s="701">
        <f t="shared" ca="1" si="87"/>
        <v>0</v>
      </c>
      <c r="BK89" s="701">
        <f t="shared" ca="1" si="87"/>
        <v>0</v>
      </c>
      <c r="BL89" s="701">
        <f t="shared" ca="1" si="87"/>
        <v>0</v>
      </c>
    </row>
    <row r="90" spans="1:64">
      <c r="A90" s="774" t="s">
        <v>676</v>
      </c>
      <c r="B90" s="702">
        <f ca="1">1-B89</f>
        <v>8.6618012252134946E-2</v>
      </c>
      <c r="C90" s="699"/>
      <c r="D90" s="701">
        <v>0</v>
      </c>
      <c r="E90" s="701">
        <f t="shared" ca="1" si="84"/>
        <v>0</v>
      </c>
      <c r="F90" s="701">
        <f t="shared" ca="1" si="84"/>
        <v>0</v>
      </c>
      <c r="G90" s="701">
        <f t="shared" ca="1" si="84"/>
        <v>0</v>
      </c>
      <c r="H90" s="701">
        <f t="shared" ca="1" si="84"/>
        <v>0</v>
      </c>
      <c r="I90" s="701">
        <f t="shared" ca="1" si="84"/>
        <v>0</v>
      </c>
      <c r="J90" s="701">
        <f t="shared" ca="1" si="84"/>
        <v>0</v>
      </c>
      <c r="K90" s="701">
        <f t="shared" ca="1" si="84"/>
        <v>0</v>
      </c>
      <c r="L90" s="701">
        <f t="shared" ca="1" si="84"/>
        <v>0</v>
      </c>
      <c r="M90" s="701">
        <f t="shared" ca="1" si="84"/>
        <v>0</v>
      </c>
      <c r="N90" s="701">
        <f t="shared" ca="1" si="84"/>
        <v>0</v>
      </c>
      <c r="O90" s="701">
        <f t="shared" ca="1" si="84"/>
        <v>0</v>
      </c>
      <c r="P90" s="701">
        <f t="shared" ca="1" si="84"/>
        <v>0</v>
      </c>
      <c r="Q90" s="701">
        <f t="shared" ca="1" si="84"/>
        <v>0</v>
      </c>
      <c r="R90" s="701">
        <f t="shared" ca="1" si="84"/>
        <v>0</v>
      </c>
      <c r="S90" s="701">
        <f t="shared" ca="1" si="84"/>
        <v>0</v>
      </c>
      <c r="T90" s="701">
        <f t="shared" ca="1" si="84"/>
        <v>0</v>
      </c>
      <c r="U90" s="701">
        <f t="shared" ca="1" si="85"/>
        <v>0</v>
      </c>
      <c r="V90" s="701">
        <f t="shared" ca="1" si="85"/>
        <v>0</v>
      </c>
      <c r="W90" s="701">
        <f t="shared" ca="1" si="85"/>
        <v>0</v>
      </c>
      <c r="X90" s="701">
        <f t="shared" ca="1" si="85"/>
        <v>0</v>
      </c>
      <c r="Y90" s="701">
        <f t="shared" ca="1" si="85"/>
        <v>0</v>
      </c>
      <c r="Z90" s="701">
        <f t="shared" ca="1" si="85"/>
        <v>0</v>
      </c>
      <c r="AA90" s="701">
        <f t="shared" ca="1" si="85"/>
        <v>0</v>
      </c>
      <c r="AB90" s="701">
        <f t="shared" ca="1" si="85"/>
        <v>0</v>
      </c>
      <c r="AC90" s="701">
        <f t="shared" ca="1" si="85"/>
        <v>0</v>
      </c>
      <c r="AD90" s="701">
        <f t="shared" ca="1" si="85"/>
        <v>0</v>
      </c>
      <c r="AE90" s="701">
        <f t="shared" ca="1" si="85"/>
        <v>0</v>
      </c>
      <c r="AF90" s="701">
        <f t="shared" ca="1" si="85"/>
        <v>0</v>
      </c>
      <c r="AG90" s="701">
        <f t="shared" ca="1" si="85"/>
        <v>0</v>
      </c>
      <c r="AH90" s="701">
        <f t="shared" ca="1" si="85"/>
        <v>0</v>
      </c>
      <c r="AI90" s="701">
        <f t="shared" ca="1" si="85"/>
        <v>0</v>
      </c>
      <c r="AJ90" s="701">
        <f t="shared" ca="1" si="85"/>
        <v>0</v>
      </c>
      <c r="AK90" s="701">
        <f t="shared" ca="1" si="86"/>
        <v>0</v>
      </c>
      <c r="AL90" s="701">
        <f t="shared" ca="1" si="86"/>
        <v>0</v>
      </c>
      <c r="AM90" s="701">
        <f t="shared" ca="1" si="86"/>
        <v>0</v>
      </c>
      <c r="AN90" s="701">
        <f t="shared" ca="1" si="86"/>
        <v>0</v>
      </c>
      <c r="AO90" s="701">
        <f t="shared" ca="1" si="86"/>
        <v>0</v>
      </c>
      <c r="AP90" s="701">
        <f t="shared" ca="1" si="86"/>
        <v>0</v>
      </c>
      <c r="AQ90" s="701">
        <f t="shared" ca="1" si="86"/>
        <v>0</v>
      </c>
      <c r="AR90" s="701">
        <f t="shared" ca="1" si="86"/>
        <v>0</v>
      </c>
      <c r="AS90" s="701">
        <f t="shared" ca="1" si="86"/>
        <v>0</v>
      </c>
      <c r="AT90" s="701">
        <f t="shared" ca="1" si="86"/>
        <v>0</v>
      </c>
      <c r="AU90" s="701">
        <f t="shared" ca="1" si="86"/>
        <v>0</v>
      </c>
      <c r="AV90" s="701">
        <f t="shared" ca="1" si="86"/>
        <v>0</v>
      </c>
      <c r="AW90" s="701">
        <f t="shared" ca="1" si="86"/>
        <v>0</v>
      </c>
      <c r="AX90" s="701">
        <f t="shared" ca="1" si="86"/>
        <v>0</v>
      </c>
      <c r="AY90" s="701">
        <f t="shared" ca="1" si="86"/>
        <v>0</v>
      </c>
      <c r="AZ90" s="701">
        <f t="shared" ca="1" si="86"/>
        <v>211279.24104416036</v>
      </c>
      <c r="BA90" s="701">
        <f t="shared" ca="1" si="87"/>
        <v>0</v>
      </c>
      <c r="BB90" s="701">
        <f t="shared" ca="1" si="87"/>
        <v>0</v>
      </c>
      <c r="BC90" s="701">
        <f t="shared" ca="1" si="87"/>
        <v>0</v>
      </c>
      <c r="BD90" s="701">
        <f t="shared" ca="1" si="87"/>
        <v>0</v>
      </c>
      <c r="BE90" s="701">
        <f t="shared" ca="1" si="87"/>
        <v>0</v>
      </c>
      <c r="BF90" s="701">
        <f t="shared" ca="1" si="87"/>
        <v>0</v>
      </c>
      <c r="BG90" s="701">
        <f t="shared" ca="1" si="87"/>
        <v>0</v>
      </c>
      <c r="BH90" s="701">
        <f t="shared" ca="1" si="87"/>
        <v>0</v>
      </c>
      <c r="BI90" s="701">
        <f t="shared" ca="1" si="87"/>
        <v>0</v>
      </c>
      <c r="BJ90" s="701">
        <f t="shared" ca="1" si="87"/>
        <v>0</v>
      </c>
      <c r="BK90" s="701">
        <f t="shared" ca="1" si="87"/>
        <v>0</v>
      </c>
      <c r="BL90" s="701">
        <f t="shared" ca="1" si="87"/>
        <v>0</v>
      </c>
    </row>
    <row r="91" spans="1:64">
      <c r="A91" s="774" t="s">
        <v>646</v>
      </c>
      <c r="B91" s="701"/>
      <c r="C91" s="703"/>
      <c r="D91" s="754">
        <f t="shared" ref="D91:BL91" ca="1" si="88">D87+D88</f>
        <v>-6170830.5186084136</v>
      </c>
      <c r="E91" s="754">
        <f t="shared" ca="1" si="88"/>
        <v>-7042787.6554930862</v>
      </c>
      <c r="F91" s="754">
        <f t="shared" ca="1" si="88"/>
        <v>-7174975.6041935077</v>
      </c>
      <c r="G91" s="754">
        <f t="shared" ca="1" si="88"/>
        <v>-7309644.6235489547</v>
      </c>
      <c r="H91" s="754">
        <f t="shared" ca="1" si="88"/>
        <v>-7446841.2814323381</v>
      </c>
      <c r="I91" s="754">
        <f t="shared" ca="1" si="88"/>
        <v>-7586613.0197613193</v>
      </c>
      <c r="J91" s="754">
        <f t="shared" ca="1" si="88"/>
        <v>-7729008.1709034937</v>
      </c>
      <c r="K91" s="754">
        <f t="shared" ca="1" si="88"/>
        <v>-7874075.974389473</v>
      </c>
      <c r="L91" s="754">
        <f t="shared" ca="1" si="88"/>
        <v>-8021866.5939396732</v>
      </c>
      <c r="M91" s="754">
        <f t="shared" ca="1" si="88"/>
        <v>-8172431.1348107057</v>
      </c>
      <c r="N91" s="754">
        <f t="shared" ca="1" si="88"/>
        <v>-8325821.6614672532</v>
      </c>
      <c r="O91" s="754">
        <f t="shared" ca="1" si="88"/>
        <v>-8482091.2155857552</v>
      </c>
      <c r="P91" s="754">
        <f t="shared" ca="1" si="88"/>
        <v>-8641293.834395932</v>
      </c>
      <c r="Q91" s="754">
        <f t="shared" ca="1" si="88"/>
        <v>-8803484.5693666041</v>
      </c>
      <c r="R91" s="754">
        <f t="shared" ca="1" si="88"/>
        <v>-8836101.3328471947</v>
      </c>
      <c r="S91" s="754">
        <f t="shared" ca="1" si="88"/>
        <v>-9001948.4614039678</v>
      </c>
      <c r="T91" s="754">
        <f t="shared" ca="1" si="88"/>
        <v>-9170908.4186862521</v>
      </c>
      <c r="U91" s="754">
        <f t="shared" ca="1" si="88"/>
        <v>-9343039.6302016955</v>
      </c>
      <c r="V91" s="754">
        <f t="shared" ca="1" si="88"/>
        <v>-9518401.6180617269</v>
      </c>
      <c r="W91" s="754">
        <f t="shared" ca="1" si="88"/>
        <v>-9697055.0215641111</v>
      </c>
      <c r="X91" s="754">
        <f t="shared" ca="1" si="88"/>
        <v>-9879061.6181616448</v>
      </c>
      <c r="Y91" s="754">
        <f t="shared" ca="1" si="88"/>
        <v>-10064484.344824506</v>
      </c>
      <c r="Z91" s="754">
        <f t="shared" ca="1" si="88"/>
        <v>-10253387.319803566</v>
      </c>
      <c r="AA91" s="754">
        <f t="shared" ca="1" si="88"/>
        <v>-10445835.864802139</v>
      </c>
      <c r="AB91" s="754">
        <f t="shared" ca="1" si="88"/>
        <v>-10641896.527563909</v>
      </c>
      <c r="AC91" s="754">
        <f t="shared" ca="1" si="88"/>
        <v>-10834431.106677419</v>
      </c>
      <c r="AD91" s="754">
        <f t="shared" ca="1" si="88"/>
        <v>-10864634.492287125</v>
      </c>
      <c r="AE91" s="754">
        <f t="shared" ca="1" si="88"/>
        <v>-11047499.781389806</v>
      </c>
      <c r="AF91" s="754">
        <f t="shared" ca="1" si="88"/>
        <v>-11226128.887796344</v>
      </c>
      <c r="AG91" s="754">
        <f t="shared" ca="1" si="88"/>
        <v>-11400730.162557915</v>
      </c>
      <c r="AH91" s="754">
        <f t="shared" ca="1" si="88"/>
        <v>-11560654.058616694</v>
      </c>
      <c r="AI91" s="754">
        <f t="shared" ca="1" si="88"/>
        <v>-11714696.068717841</v>
      </c>
      <c r="AJ91" s="754">
        <f t="shared" ca="1" si="88"/>
        <v>-11865671.922352223</v>
      </c>
      <c r="AK91" s="754">
        <f t="shared" ca="1" si="88"/>
        <v>-12038284.87533709</v>
      </c>
      <c r="AL91" s="754">
        <f t="shared" ca="1" si="88"/>
        <v>-12213561.644565107</v>
      </c>
      <c r="AM91" s="754">
        <f t="shared" ca="1" si="88"/>
        <v>-12392355.47927436</v>
      </c>
      <c r="AN91" s="754">
        <f t="shared" ca="1" si="88"/>
        <v>-12566691.249652531</v>
      </c>
      <c r="AO91" s="754">
        <f t="shared" ca="1" si="88"/>
        <v>-12744566.408798728</v>
      </c>
      <c r="AP91" s="754">
        <f t="shared" ca="1" si="88"/>
        <v>-12923279.646172727</v>
      </c>
      <c r="AQ91" s="754">
        <f t="shared" ca="1" si="88"/>
        <v>-13102642.868902953</v>
      </c>
      <c r="AR91" s="754">
        <f t="shared" ca="1" si="88"/>
        <v>-13282357.390035877</v>
      </c>
      <c r="AS91" s="754">
        <f t="shared" ca="1" si="88"/>
        <v>-13461775.462218266</v>
      </c>
      <c r="AT91" s="754">
        <f t="shared" ca="1" si="88"/>
        <v>-13642231.765751069</v>
      </c>
      <c r="AU91" s="754">
        <f t="shared" ca="1" si="88"/>
        <v>-13824366.64050577</v>
      </c>
      <c r="AV91" s="754">
        <f t="shared" ca="1" si="88"/>
        <v>-14008358.591302931</v>
      </c>
      <c r="AW91" s="754">
        <f t="shared" ca="1" si="88"/>
        <v>-14196503.725325976</v>
      </c>
      <c r="AX91" s="754">
        <f t="shared" ca="1" si="88"/>
        <v>-14388425.871786969</v>
      </c>
      <c r="AY91" s="754">
        <f t="shared" ca="1" si="88"/>
        <v>-14584908.880442848</v>
      </c>
      <c r="AZ91" s="754">
        <f t="shared" ca="1" si="88"/>
        <v>0</v>
      </c>
      <c r="BA91" s="754">
        <f t="shared" ca="1" si="88"/>
        <v>0</v>
      </c>
      <c r="BB91" s="754">
        <f t="shared" ca="1" si="88"/>
        <v>0</v>
      </c>
      <c r="BC91" s="754">
        <f t="shared" ca="1" si="88"/>
        <v>0</v>
      </c>
      <c r="BD91" s="754">
        <f t="shared" ca="1" si="88"/>
        <v>0</v>
      </c>
      <c r="BE91" s="754">
        <f t="shared" ca="1" si="88"/>
        <v>0</v>
      </c>
      <c r="BF91" s="754">
        <f t="shared" ca="1" si="88"/>
        <v>0</v>
      </c>
      <c r="BG91" s="754">
        <f t="shared" ca="1" si="88"/>
        <v>0</v>
      </c>
      <c r="BH91" s="754">
        <f t="shared" ca="1" si="88"/>
        <v>0</v>
      </c>
      <c r="BI91" s="754">
        <f t="shared" ca="1" si="88"/>
        <v>0</v>
      </c>
      <c r="BJ91" s="754">
        <f t="shared" ca="1" si="88"/>
        <v>0</v>
      </c>
      <c r="BK91" s="754">
        <f t="shared" ca="1" si="88"/>
        <v>0</v>
      </c>
      <c r="BL91" s="754">
        <f t="shared" ca="1" si="88"/>
        <v>0</v>
      </c>
    </row>
    <row r="92" spans="1:64">
      <c r="A92" s="779">
        <f ca="1">1-A88</f>
        <v>0.28838198774786483</v>
      </c>
      <c r="B92" s="701"/>
      <c r="C92" s="703"/>
      <c r="D92" s="701">
        <f t="shared" ref="D92:BL92" ca="1" si="89">D88/$A88*$A92</f>
        <v>0</v>
      </c>
      <c r="E92" s="701">
        <f t="shared" ca="1" si="89"/>
        <v>0</v>
      </c>
      <c r="F92" s="701">
        <f t="shared" ca="1" si="89"/>
        <v>0</v>
      </c>
      <c r="G92" s="701">
        <f t="shared" ca="1" si="89"/>
        <v>0</v>
      </c>
      <c r="H92" s="701">
        <f t="shared" ca="1" si="89"/>
        <v>0</v>
      </c>
      <c r="I92" s="701">
        <f t="shared" ca="1" si="89"/>
        <v>0</v>
      </c>
      <c r="J92" s="701">
        <f t="shared" ca="1" si="89"/>
        <v>0</v>
      </c>
      <c r="K92" s="701">
        <f t="shared" ca="1" si="89"/>
        <v>0</v>
      </c>
      <c r="L92" s="701">
        <f t="shared" ca="1" si="89"/>
        <v>0</v>
      </c>
      <c r="M92" s="701">
        <f t="shared" ca="1" si="89"/>
        <v>0</v>
      </c>
      <c r="N92" s="701">
        <f t="shared" ca="1" si="89"/>
        <v>0</v>
      </c>
      <c r="O92" s="701">
        <f t="shared" ca="1" si="89"/>
        <v>0</v>
      </c>
      <c r="P92" s="701">
        <f t="shared" ca="1" si="89"/>
        <v>0</v>
      </c>
      <c r="Q92" s="701">
        <f t="shared" ca="1" si="89"/>
        <v>0</v>
      </c>
      <c r="R92" s="701">
        <f t="shared" ca="1" si="89"/>
        <v>0</v>
      </c>
      <c r="S92" s="701">
        <f t="shared" ca="1" si="89"/>
        <v>0</v>
      </c>
      <c r="T92" s="701">
        <f t="shared" ca="1" si="89"/>
        <v>0</v>
      </c>
      <c r="U92" s="701">
        <f t="shared" ca="1" si="89"/>
        <v>0</v>
      </c>
      <c r="V92" s="701">
        <f t="shared" ca="1" si="89"/>
        <v>0</v>
      </c>
      <c r="W92" s="701">
        <f t="shared" ca="1" si="89"/>
        <v>0</v>
      </c>
      <c r="X92" s="701">
        <f t="shared" ca="1" si="89"/>
        <v>0</v>
      </c>
      <c r="Y92" s="701">
        <f t="shared" ca="1" si="89"/>
        <v>0</v>
      </c>
      <c r="Z92" s="701">
        <f t="shared" ca="1" si="89"/>
        <v>0</v>
      </c>
      <c r="AA92" s="701">
        <f t="shared" ca="1" si="89"/>
        <v>0</v>
      </c>
      <c r="AB92" s="701">
        <f t="shared" ca="1" si="89"/>
        <v>0</v>
      </c>
      <c r="AC92" s="701">
        <f t="shared" ca="1" si="89"/>
        <v>0</v>
      </c>
      <c r="AD92" s="701">
        <f t="shared" ca="1" si="89"/>
        <v>0</v>
      </c>
      <c r="AE92" s="701">
        <f t="shared" ca="1" si="89"/>
        <v>0</v>
      </c>
      <c r="AF92" s="701">
        <f t="shared" ca="1" si="89"/>
        <v>0</v>
      </c>
      <c r="AG92" s="701">
        <f t="shared" ca="1" si="89"/>
        <v>0</v>
      </c>
      <c r="AH92" s="701">
        <f t="shared" ca="1" si="89"/>
        <v>0</v>
      </c>
      <c r="AI92" s="701">
        <f t="shared" ca="1" si="89"/>
        <v>0</v>
      </c>
      <c r="AJ92" s="701">
        <f t="shared" ca="1" si="89"/>
        <v>0</v>
      </c>
      <c r="AK92" s="701">
        <f t="shared" ca="1" si="89"/>
        <v>0</v>
      </c>
      <c r="AL92" s="701">
        <f t="shared" ca="1" si="89"/>
        <v>0</v>
      </c>
      <c r="AM92" s="701">
        <f t="shared" ca="1" si="89"/>
        <v>0</v>
      </c>
      <c r="AN92" s="701">
        <f t="shared" ca="1" si="89"/>
        <v>0</v>
      </c>
      <c r="AO92" s="701">
        <f t="shared" ca="1" si="89"/>
        <v>0</v>
      </c>
      <c r="AP92" s="701">
        <f t="shared" ca="1" si="89"/>
        <v>0</v>
      </c>
      <c r="AQ92" s="701">
        <f t="shared" ca="1" si="89"/>
        <v>0</v>
      </c>
      <c r="AR92" s="701">
        <f t="shared" ca="1" si="89"/>
        <v>0</v>
      </c>
      <c r="AS92" s="701">
        <f t="shared" ca="1" si="89"/>
        <v>0</v>
      </c>
      <c r="AT92" s="701">
        <f t="shared" ca="1" si="89"/>
        <v>0</v>
      </c>
      <c r="AU92" s="701">
        <f t="shared" ca="1" si="89"/>
        <v>0</v>
      </c>
      <c r="AV92" s="701">
        <f t="shared" ca="1" si="89"/>
        <v>0</v>
      </c>
      <c r="AW92" s="701">
        <f t="shared" ca="1" si="89"/>
        <v>0</v>
      </c>
      <c r="AX92" s="701">
        <f t="shared" ca="1" si="89"/>
        <v>0</v>
      </c>
      <c r="AY92" s="701">
        <f t="shared" ca="1" si="89"/>
        <v>0</v>
      </c>
      <c r="AZ92" s="701">
        <f t="shared" ca="1" si="89"/>
        <v>988484.38619549794</v>
      </c>
      <c r="BA92" s="701">
        <f t="shared" ca="1" si="89"/>
        <v>0</v>
      </c>
      <c r="BB92" s="701">
        <f t="shared" ca="1" si="89"/>
        <v>0</v>
      </c>
      <c r="BC92" s="701">
        <f t="shared" ca="1" si="89"/>
        <v>0</v>
      </c>
      <c r="BD92" s="701">
        <f t="shared" ca="1" si="89"/>
        <v>0</v>
      </c>
      <c r="BE92" s="701">
        <f t="shared" ca="1" si="89"/>
        <v>0</v>
      </c>
      <c r="BF92" s="701">
        <f t="shared" ca="1" si="89"/>
        <v>0</v>
      </c>
      <c r="BG92" s="701">
        <f t="shared" ca="1" si="89"/>
        <v>0</v>
      </c>
      <c r="BH92" s="701">
        <f t="shared" ca="1" si="89"/>
        <v>0</v>
      </c>
      <c r="BI92" s="701">
        <f t="shared" ca="1" si="89"/>
        <v>0</v>
      </c>
      <c r="BJ92" s="701">
        <f t="shared" ca="1" si="89"/>
        <v>0</v>
      </c>
      <c r="BK92" s="701">
        <f t="shared" ca="1" si="89"/>
        <v>0</v>
      </c>
      <c r="BL92" s="701">
        <f t="shared" ca="1" si="89"/>
        <v>0</v>
      </c>
    </row>
    <row r="93" spans="1:64">
      <c r="A93" s="776" t="s">
        <v>643</v>
      </c>
      <c r="B93" s="755"/>
      <c r="C93" s="703"/>
      <c r="D93" s="756">
        <f t="shared" ref="D93:AI93" ca="1" si="90">D78-D88-D92</f>
        <v>0</v>
      </c>
      <c r="E93" s="756">
        <f t="shared" ca="1" si="90"/>
        <v>0</v>
      </c>
      <c r="F93" s="756">
        <f t="shared" ca="1" si="90"/>
        <v>0</v>
      </c>
      <c r="G93" s="756">
        <f t="shared" ca="1" si="90"/>
        <v>0</v>
      </c>
      <c r="H93" s="756">
        <f t="shared" ca="1" si="90"/>
        <v>0</v>
      </c>
      <c r="I93" s="756">
        <f t="shared" ca="1" si="90"/>
        <v>0</v>
      </c>
      <c r="J93" s="756">
        <f t="shared" ca="1" si="90"/>
        <v>0</v>
      </c>
      <c r="K93" s="756">
        <f t="shared" ca="1" si="90"/>
        <v>0</v>
      </c>
      <c r="L93" s="756">
        <f t="shared" ca="1" si="90"/>
        <v>0</v>
      </c>
      <c r="M93" s="756">
        <f t="shared" ca="1" si="90"/>
        <v>0</v>
      </c>
      <c r="N93" s="756">
        <f t="shared" ca="1" si="90"/>
        <v>0</v>
      </c>
      <c r="O93" s="756">
        <f t="shared" ca="1" si="90"/>
        <v>0</v>
      </c>
      <c r="P93" s="756">
        <f t="shared" ca="1" si="90"/>
        <v>0</v>
      </c>
      <c r="Q93" s="756">
        <f t="shared" ca="1" si="90"/>
        <v>0</v>
      </c>
      <c r="R93" s="756">
        <f t="shared" ca="1" si="90"/>
        <v>0</v>
      </c>
      <c r="S93" s="756">
        <f t="shared" ca="1" si="90"/>
        <v>0</v>
      </c>
      <c r="T93" s="756">
        <f t="shared" ca="1" si="90"/>
        <v>0</v>
      </c>
      <c r="U93" s="756">
        <f t="shared" ca="1" si="90"/>
        <v>0</v>
      </c>
      <c r="V93" s="756">
        <f t="shared" ca="1" si="90"/>
        <v>0</v>
      </c>
      <c r="W93" s="756">
        <f t="shared" ca="1" si="90"/>
        <v>0</v>
      </c>
      <c r="X93" s="756">
        <f t="shared" ca="1" si="90"/>
        <v>0</v>
      </c>
      <c r="Y93" s="756">
        <f t="shared" ca="1" si="90"/>
        <v>0</v>
      </c>
      <c r="Z93" s="756">
        <f t="shared" ca="1" si="90"/>
        <v>0</v>
      </c>
      <c r="AA93" s="756">
        <f t="shared" ca="1" si="90"/>
        <v>0</v>
      </c>
      <c r="AB93" s="756">
        <f t="shared" ca="1" si="90"/>
        <v>0</v>
      </c>
      <c r="AC93" s="756">
        <f t="shared" ca="1" si="90"/>
        <v>0</v>
      </c>
      <c r="AD93" s="756">
        <f t="shared" ca="1" si="90"/>
        <v>0</v>
      </c>
      <c r="AE93" s="756">
        <f t="shared" ca="1" si="90"/>
        <v>0</v>
      </c>
      <c r="AF93" s="756">
        <f t="shared" ca="1" si="90"/>
        <v>0</v>
      </c>
      <c r="AG93" s="756">
        <f t="shared" ca="1" si="90"/>
        <v>0</v>
      </c>
      <c r="AH93" s="756">
        <f t="shared" ca="1" si="90"/>
        <v>0</v>
      </c>
      <c r="AI93" s="756">
        <f t="shared" ca="1" si="90"/>
        <v>0</v>
      </c>
      <c r="AJ93" s="756">
        <f t="shared" ref="AJ93:BL93" ca="1" si="91">AJ78-AJ88-AJ92</f>
        <v>0</v>
      </c>
      <c r="AK93" s="756">
        <f t="shared" ca="1" si="91"/>
        <v>0</v>
      </c>
      <c r="AL93" s="756">
        <f t="shared" ca="1" si="91"/>
        <v>0</v>
      </c>
      <c r="AM93" s="756">
        <f t="shared" ca="1" si="91"/>
        <v>0</v>
      </c>
      <c r="AN93" s="756">
        <f t="shared" ca="1" si="91"/>
        <v>0</v>
      </c>
      <c r="AO93" s="756">
        <f t="shared" ca="1" si="91"/>
        <v>0</v>
      </c>
      <c r="AP93" s="756">
        <f t="shared" ca="1" si="91"/>
        <v>0</v>
      </c>
      <c r="AQ93" s="756">
        <f t="shared" ca="1" si="91"/>
        <v>0</v>
      </c>
      <c r="AR93" s="756">
        <f t="shared" ca="1" si="91"/>
        <v>0</v>
      </c>
      <c r="AS93" s="756">
        <f t="shared" ca="1" si="91"/>
        <v>0</v>
      </c>
      <c r="AT93" s="756">
        <f t="shared" ca="1" si="91"/>
        <v>0</v>
      </c>
      <c r="AU93" s="756">
        <f t="shared" ca="1" si="91"/>
        <v>0</v>
      </c>
      <c r="AV93" s="756">
        <f t="shared" ca="1" si="91"/>
        <v>0</v>
      </c>
      <c r="AW93" s="756">
        <f t="shared" ca="1" si="91"/>
        <v>0</v>
      </c>
      <c r="AX93" s="756">
        <f t="shared" ca="1" si="91"/>
        <v>0</v>
      </c>
      <c r="AY93" s="756">
        <f t="shared" ca="1" si="91"/>
        <v>0</v>
      </c>
      <c r="AZ93" s="756">
        <f t="shared" ca="1" si="91"/>
        <v>5051027.8903800715</v>
      </c>
      <c r="BA93" s="756">
        <f t="shared" ca="1" si="91"/>
        <v>0</v>
      </c>
      <c r="BB93" s="756">
        <f t="shared" ca="1" si="91"/>
        <v>0</v>
      </c>
      <c r="BC93" s="756">
        <f t="shared" ca="1" si="91"/>
        <v>0</v>
      </c>
      <c r="BD93" s="756">
        <f t="shared" ca="1" si="91"/>
        <v>0</v>
      </c>
      <c r="BE93" s="756">
        <f t="shared" ca="1" si="91"/>
        <v>0</v>
      </c>
      <c r="BF93" s="756">
        <f t="shared" ca="1" si="91"/>
        <v>0</v>
      </c>
      <c r="BG93" s="756">
        <f t="shared" ca="1" si="91"/>
        <v>0</v>
      </c>
      <c r="BH93" s="756">
        <f t="shared" ca="1" si="91"/>
        <v>0</v>
      </c>
      <c r="BI93" s="756">
        <f t="shared" ca="1" si="91"/>
        <v>0</v>
      </c>
      <c r="BJ93" s="756">
        <f t="shared" ca="1" si="91"/>
        <v>0</v>
      </c>
      <c r="BK93" s="756">
        <f t="shared" ca="1" si="91"/>
        <v>0</v>
      </c>
      <c r="BL93" s="756">
        <f t="shared" ca="1" si="91"/>
        <v>0</v>
      </c>
    </row>
    <row r="94" spans="1:64">
      <c r="A94" s="777" t="s">
        <v>644</v>
      </c>
      <c r="B94" s="758">
        <f ca="1">(1+IRR(D94:BL94,0.01))^12-1</f>
        <v>0.25000000000401967</v>
      </c>
      <c r="C94" s="703"/>
      <c r="D94" s="757">
        <f t="shared" ref="D94:AY94" ca="1" si="92">+D82+D84+D85+D88</f>
        <v>-6170830.5186084136</v>
      </c>
      <c r="E94" s="757">
        <f t="shared" ca="1" si="92"/>
        <v>-756135.18286102917</v>
      </c>
      <c r="F94" s="757">
        <f t="shared" ca="1" si="92"/>
        <v>1.862645149230957E-8</v>
      </c>
      <c r="G94" s="757">
        <f t="shared" ca="1" si="92"/>
        <v>1.862645149230957E-8</v>
      </c>
      <c r="H94" s="757">
        <f t="shared" ca="1" si="92"/>
        <v>1.862645149230957E-8</v>
      </c>
      <c r="I94" s="757">
        <f t="shared" ca="1" si="92"/>
        <v>1.862645149230957E-8</v>
      </c>
      <c r="J94" s="757">
        <f t="shared" ca="1" si="92"/>
        <v>1.862645149230957E-8</v>
      </c>
      <c r="K94" s="757">
        <f t="shared" ca="1" si="92"/>
        <v>1.862645149230957E-8</v>
      </c>
      <c r="L94" s="757">
        <f t="shared" ca="1" si="92"/>
        <v>2.0239837695884241E-8</v>
      </c>
      <c r="M94" s="757">
        <f t="shared" ca="1" si="92"/>
        <v>0</v>
      </c>
      <c r="N94" s="757">
        <f t="shared" ca="1" si="92"/>
        <v>0</v>
      </c>
      <c r="O94" s="757">
        <f t="shared" ca="1" si="92"/>
        <v>0</v>
      </c>
      <c r="P94" s="757">
        <f t="shared" ca="1" si="92"/>
        <v>0</v>
      </c>
      <c r="Q94" s="757">
        <f t="shared" ca="1" si="92"/>
        <v>0</v>
      </c>
      <c r="R94" s="757">
        <f t="shared" ca="1" si="92"/>
        <v>132618.17239500629</v>
      </c>
      <c r="S94" s="757">
        <f t="shared" ca="1" si="92"/>
        <v>0</v>
      </c>
      <c r="T94" s="757">
        <f t="shared" ca="1" si="92"/>
        <v>0</v>
      </c>
      <c r="U94" s="757">
        <f t="shared" ca="1" si="92"/>
        <v>0</v>
      </c>
      <c r="V94" s="757">
        <f t="shared" ca="1" si="92"/>
        <v>0</v>
      </c>
      <c r="W94" s="757">
        <f t="shared" ca="1" si="92"/>
        <v>0</v>
      </c>
      <c r="X94" s="757">
        <f t="shared" ca="1" si="92"/>
        <v>0</v>
      </c>
      <c r="Y94" s="757">
        <f t="shared" ca="1" si="92"/>
        <v>0</v>
      </c>
      <c r="Z94" s="757">
        <f t="shared" ca="1" si="92"/>
        <v>0</v>
      </c>
      <c r="AA94" s="757">
        <f t="shared" ca="1" si="92"/>
        <v>0</v>
      </c>
      <c r="AB94" s="757">
        <f t="shared" ca="1" si="92"/>
        <v>0</v>
      </c>
      <c r="AC94" s="757">
        <f t="shared" ca="1" si="92"/>
        <v>7205.9982073956344</v>
      </c>
      <c r="AD94" s="757">
        <f t="shared" ca="1" si="92"/>
        <v>173150.92427149153</v>
      </c>
      <c r="AE94" s="757">
        <f t="shared" ca="1" si="92"/>
        <v>21055.916130441212</v>
      </c>
      <c r="AF94" s="757">
        <f t="shared" ca="1" si="92"/>
        <v>28724.345919129788</v>
      </c>
      <c r="AG94" s="757">
        <f t="shared" ca="1" si="92"/>
        <v>36104.914620519157</v>
      </c>
      <c r="AH94" s="757">
        <f t="shared" ca="1" si="92"/>
        <v>54059.430939723192</v>
      </c>
      <c r="AI94" s="757">
        <f t="shared" ca="1" si="92"/>
        <v>62942.970901669818</v>
      </c>
      <c r="AJ94" s="757">
        <f t="shared" ca="1" si="92"/>
        <v>68900.382695804452</v>
      </c>
      <c r="AK94" s="757">
        <f t="shared" ca="1" si="92"/>
        <v>50096.989169205401</v>
      </c>
      <c r="AL94" s="757">
        <f t="shared" ca="1" si="92"/>
        <v>50672.991204282953</v>
      </c>
      <c r="AM94" s="757">
        <f t="shared" ca="1" si="92"/>
        <v>50445.74187481367</v>
      </c>
      <c r="AN94" s="757">
        <f t="shared" ca="1" si="92"/>
        <v>58259.635092500415</v>
      </c>
      <c r="AO94" s="757">
        <f t="shared" ca="1" si="92"/>
        <v>57992.40062010711</v>
      </c>
      <c r="AP94" s="757">
        <f t="shared" ca="1" si="92"/>
        <v>60492.908414648904</v>
      </c>
      <c r="AQ94" s="757">
        <f t="shared" ca="1" si="92"/>
        <v>63197.239193731482</v>
      </c>
      <c r="AR94" s="757">
        <f t="shared" ca="1" si="92"/>
        <v>66212.456674344736</v>
      </c>
      <c r="AS94" s="757">
        <f t="shared" ca="1" si="92"/>
        <v>69882.015121495468</v>
      </c>
      <c r="AT94" s="757">
        <f t="shared" ca="1" si="92"/>
        <v>72211.329138924004</v>
      </c>
      <c r="AU94" s="757">
        <f t="shared" ca="1" si="92"/>
        <v>73919.790124249266</v>
      </c>
      <c r="AV94" s="757">
        <f t="shared" ca="1" si="92"/>
        <v>75481.25183691633</v>
      </c>
      <c r="AW94" s="757">
        <f t="shared" ca="1" si="92"/>
        <v>74781.462318020131</v>
      </c>
      <c r="AX94" s="757">
        <f t="shared" ca="1" si="92"/>
        <v>74535.795783369525</v>
      </c>
      <c r="AY94" s="757">
        <f t="shared" ca="1" si="92"/>
        <v>73577.171238733878</v>
      </c>
      <c r="AZ94" s="757">
        <f ca="1">+AZ82+AZ84+AZ85+AZ86+AZ88</f>
        <v>14858656.902018776</v>
      </c>
      <c r="BA94" s="757">
        <f t="shared" ref="BA94:BL94" ca="1" si="93">+BA82+BA84+BA85+BA88</f>
        <v>0</v>
      </c>
      <c r="BB94" s="757">
        <f t="shared" ca="1" si="93"/>
        <v>0</v>
      </c>
      <c r="BC94" s="757">
        <f t="shared" ca="1" si="93"/>
        <v>0</v>
      </c>
      <c r="BD94" s="757">
        <f t="shared" ca="1" si="93"/>
        <v>0</v>
      </c>
      <c r="BE94" s="757">
        <f t="shared" ca="1" si="93"/>
        <v>0</v>
      </c>
      <c r="BF94" s="757">
        <f t="shared" ca="1" si="93"/>
        <v>0</v>
      </c>
      <c r="BG94" s="757">
        <f t="shared" ca="1" si="93"/>
        <v>0</v>
      </c>
      <c r="BH94" s="757">
        <f t="shared" ca="1" si="93"/>
        <v>0</v>
      </c>
      <c r="BI94" s="757">
        <f t="shared" ca="1" si="93"/>
        <v>0</v>
      </c>
      <c r="BJ94" s="757">
        <f t="shared" ca="1" si="93"/>
        <v>0</v>
      </c>
      <c r="BK94" s="757">
        <f t="shared" ca="1" si="93"/>
        <v>0</v>
      </c>
      <c r="BL94" s="757">
        <f t="shared" ca="1" si="93"/>
        <v>0</v>
      </c>
    </row>
    <row r="95" spans="1:64">
      <c r="A95" s="701"/>
      <c r="B95" s="701"/>
      <c r="C95" s="703"/>
      <c r="D95" s="701"/>
      <c r="E95" s="701"/>
      <c r="F95" s="701"/>
      <c r="G95" s="701"/>
      <c r="H95" s="701"/>
      <c r="I95" s="701"/>
    </row>
    <row r="96" spans="1:64">
      <c r="A96" s="700" t="s">
        <v>677</v>
      </c>
      <c r="B96" s="701"/>
      <c r="C96" s="703"/>
      <c r="D96" s="701"/>
      <c r="E96" s="701"/>
      <c r="F96" s="701"/>
      <c r="G96" s="701"/>
      <c r="H96" s="701"/>
      <c r="I96" s="701"/>
    </row>
    <row r="97" spans="1:64">
      <c r="A97" s="780" t="s">
        <v>649</v>
      </c>
      <c r="B97" s="701"/>
      <c r="C97" s="699"/>
      <c r="D97" s="701">
        <f ca="1">D93</f>
        <v>0</v>
      </c>
      <c r="E97" s="701">
        <f t="shared" ref="E97:BL97" ca="1" si="94">E93</f>
        <v>0</v>
      </c>
      <c r="F97" s="701">
        <f t="shared" ca="1" si="94"/>
        <v>0</v>
      </c>
      <c r="G97" s="701">
        <f t="shared" ca="1" si="94"/>
        <v>0</v>
      </c>
      <c r="H97" s="701">
        <f t="shared" ca="1" si="94"/>
        <v>0</v>
      </c>
      <c r="I97" s="701">
        <f t="shared" ca="1" si="94"/>
        <v>0</v>
      </c>
      <c r="J97" s="701">
        <f t="shared" ca="1" si="94"/>
        <v>0</v>
      </c>
      <c r="K97" s="701">
        <f t="shared" ca="1" si="94"/>
        <v>0</v>
      </c>
      <c r="L97" s="701">
        <f t="shared" ca="1" si="94"/>
        <v>0</v>
      </c>
      <c r="M97" s="701">
        <f t="shared" ca="1" si="94"/>
        <v>0</v>
      </c>
      <c r="N97" s="701">
        <f t="shared" ca="1" si="94"/>
        <v>0</v>
      </c>
      <c r="O97" s="701">
        <f t="shared" ca="1" si="94"/>
        <v>0</v>
      </c>
      <c r="P97" s="701">
        <f t="shared" ca="1" si="94"/>
        <v>0</v>
      </c>
      <c r="Q97" s="701">
        <f t="shared" ca="1" si="94"/>
        <v>0</v>
      </c>
      <c r="R97" s="701">
        <f t="shared" ca="1" si="94"/>
        <v>0</v>
      </c>
      <c r="S97" s="701">
        <f t="shared" ca="1" si="94"/>
        <v>0</v>
      </c>
      <c r="T97" s="701">
        <f t="shared" ca="1" si="94"/>
        <v>0</v>
      </c>
      <c r="U97" s="701">
        <f t="shared" ca="1" si="94"/>
        <v>0</v>
      </c>
      <c r="V97" s="701">
        <f t="shared" ca="1" si="94"/>
        <v>0</v>
      </c>
      <c r="W97" s="701">
        <f t="shared" ca="1" si="94"/>
        <v>0</v>
      </c>
      <c r="X97" s="701">
        <f t="shared" ca="1" si="94"/>
        <v>0</v>
      </c>
      <c r="Y97" s="701">
        <f t="shared" ca="1" si="94"/>
        <v>0</v>
      </c>
      <c r="Z97" s="701">
        <f t="shared" ca="1" si="94"/>
        <v>0</v>
      </c>
      <c r="AA97" s="701">
        <f t="shared" ca="1" si="94"/>
        <v>0</v>
      </c>
      <c r="AB97" s="701">
        <f t="shared" ca="1" si="94"/>
        <v>0</v>
      </c>
      <c r="AC97" s="701">
        <f t="shared" ca="1" si="94"/>
        <v>0</v>
      </c>
      <c r="AD97" s="701">
        <f t="shared" ca="1" si="94"/>
        <v>0</v>
      </c>
      <c r="AE97" s="701">
        <f t="shared" ca="1" si="94"/>
        <v>0</v>
      </c>
      <c r="AF97" s="701">
        <f t="shared" ca="1" si="94"/>
        <v>0</v>
      </c>
      <c r="AG97" s="701">
        <f t="shared" ca="1" si="94"/>
        <v>0</v>
      </c>
      <c r="AH97" s="701">
        <f t="shared" ca="1" si="94"/>
        <v>0</v>
      </c>
      <c r="AI97" s="701">
        <f t="shared" ca="1" si="94"/>
        <v>0</v>
      </c>
      <c r="AJ97" s="701">
        <f t="shared" ca="1" si="94"/>
        <v>0</v>
      </c>
      <c r="AK97" s="701">
        <f t="shared" ca="1" si="94"/>
        <v>0</v>
      </c>
      <c r="AL97" s="701">
        <f t="shared" ca="1" si="94"/>
        <v>0</v>
      </c>
      <c r="AM97" s="701">
        <f t="shared" ca="1" si="94"/>
        <v>0</v>
      </c>
      <c r="AN97" s="701">
        <f t="shared" ca="1" si="94"/>
        <v>0</v>
      </c>
      <c r="AO97" s="701">
        <f t="shared" ca="1" si="94"/>
        <v>0</v>
      </c>
      <c r="AP97" s="701">
        <f t="shared" ca="1" si="94"/>
        <v>0</v>
      </c>
      <c r="AQ97" s="701">
        <f t="shared" ca="1" si="94"/>
        <v>0</v>
      </c>
      <c r="AR97" s="701">
        <f t="shared" ca="1" si="94"/>
        <v>0</v>
      </c>
      <c r="AS97" s="701">
        <f t="shared" ca="1" si="94"/>
        <v>0</v>
      </c>
      <c r="AT97" s="701">
        <f t="shared" ca="1" si="94"/>
        <v>0</v>
      </c>
      <c r="AU97" s="701">
        <f t="shared" ca="1" si="94"/>
        <v>0</v>
      </c>
      <c r="AV97" s="701">
        <f t="shared" ca="1" si="94"/>
        <v>0</v>
      </c>
      <c r="AW97" s="701">
        <f t="shared" ca="1" si="94"/>
        <v>0</v>
      </c>
      <c r="AX97" s="701">
        <f t="shared" ca="1" si="94"/>
        <v>0</v>
      </c>
      <c r="AY97" s="701">
        <f t="shared" ca="1" si="94"/>
        <v>0</v>
      </c>
      <c r="AZ97" s="701">
        <f t="shared" ca="1" si="94"/>
        <v>5051027.8903800715</v>
      </c>
      <c r="BA97" s="701">
        <f t="shared" ca="1" si="94"/>
        <v>0</v>
      </c>
      <c r="BB97" s="701">
        <f t="shared" ca="1" si="94"/>
        <v>0</v>
      </c>
      <c r="BC97" s="701">
        <f t="shared" ca="1" si="94"/>
        <v>0</v>
      </c>
      <c r="BD97" s="701">
        <f t="shared" ca="1" si="94"/>
        <v>0</v>
      </c>
      <c r="BE97" s="701">
        <f t="shared" ca="1" si="94"/>
        <v>0</v>
      </c>
      <c r="BF97" s="701">
        <f t="shared" ca="1" si="94"/>
        <v>0</v>
      </c>
      <c r="BG97" s="701">
        <f t="shared" ca="1" si="94"/>
        <v>0</v>
      </c>
      <c r="BH97" s="701">
        <f t="shared" ca="1" si="94"/>
        <v>0</v>
      </c>
      <c r="BI97" s="701">
        <f t="shared" ca="1" si="94"/>
        <v>0</v>
      </c>
      <c r="BJ97" s="701">
        <f t="shared" ca="1" si="94"/>
        <v>0</v>
      </c>
      <c r="BK97" s="701">
        <f t="shared" ca="1" si="94"/>
        <v>0</v>
      </c>
      <c r="BL97" s="701">
        <f t="shared" ca="1" si="94"/>
        <v>0</v>
      </c>
    </row>
    <row r="98" spans="1:64">
      <c r="A98" s="778">
        <f ca="1">1-G12</f>
        <v>0.58661801225213517</v>
      </c>
      <c r="B98" s="701"/>
      <c r="C98" s="699"/>
      <c r="D98" s="701">
        <f ca="1">D97*$A98</f>
        <v>0</v>
      </c>
      <c r="E98" s="701">
        <f t="shared" ref="E98:BL98" ca="1" si="95">E97*$A98</f>
        <v>0</v>
      </c>
      <c r="F98" s="701">
        <f t="shared" ca="1" si="95"/>
        <v>0</v>
      </c>
      <c r="G98" s="701">
        <f t="shared" ca="1" si="95"/>
        <v>0</v>
      </c>
      <c r="H98" s="701">
        <f t="shared" ca="1" si="95"/>
        <v>0</v>
      </c>
      <c r="I98" s="701">
        <f t="shared" ca="1" si="95"/>
        <v>0</v>
      </c>
      <c r="J98" s="701">
        <f t="shared" ca="1" si="95"/>
        <v>0</v>
      </c>
      <c r="K98" s="701">
        <f t="shared" ca="1" si="95"/>
        <v>0</v>
      </c>
      <c r="L98" s="701">
        <f t="shared" ca="1" si="95"/>
        <v>0</v>
      </c>
      <c r="M98" s="701">
        <f t="shared" ca="1" si="95"/>
        <v>0</v>
      </c>
      <c r="N98" s="701">
        <f t="shared" ca="1" si="95"/>
        <v>0</v>
      </c>
      <c r="O98" s="701">
        <f t="shared" ca="1" si="95"/>
        <v>0</v>
      </c>
      <c r="P98" s="701">
        <f t="shared" ca="1" si="95"/>
        <v>0</v>
      </c>
      <c r="Q98" s="701">
        <f t="shared" ca="1" si="95"/>
        <v>0</v>
      </c>
      <c r="R98" s="701">
        <f t="shared" ca="1" si="95"/>
        <v>0</v>
      </c>
      <c r="S98" s="701">
        <f t="shared" ca="1" si="95"/>
        <v>0</v>
      </c>
      <c r="T98" s="701">
        <f t="shared" ca="1" si="95"/>
        <v>0</v>
      </c>
      <c r="U98" s="701">
        <f t="shared" ca="1" si="95"/>
        <v>0</v>
      </c>
      <c r="V98" s="701">
        <f t="shared" ca="1" si="95"/>
        <v>0</v>
      </c>
      <c r="W98" s="701">
        <f t="shared" ca="1" si="95"/>
        <v>0</v>
      </c>
      <c r="X98" s="701">
        <f t="shared" ca="1" si="95"/>
        <v>0</v>
      </c>
      <c r="Y98" s="701">
        <f t="shared" ca="1" si="95"/>
        <v>0</v>
      </c>
      <c r="Z98" s="701">
        <f t="shared" ca="1" si="95"/>
        <v>0</v>
      </c>
      <c r="AA98" s="701">
        <f t="shared" ca="1" si="95"/>
        <v>0</v>
      </c>
      <c r="AB98" s="701">
        <f t="shared" ca="1" si="95"/>
        <v>0</v>
      </c>
      <c r="AC98" s="701">
        <f t="shared" ca="1" si="95"/>
        <v>0</v>
      </c>
      <c r="AD98" s="701">
        <f t="shared" ca="1" si="95"/>
        <v>0</v>
      </c>
      <c r="AE98" s="701">
        <f t="shared" ca="1" si="95"/>
        <v>0</v>
      </c>
      <c r="AF98" s="701">
        <f t="shared" ca="1" si="95"/>
        <v>0</v>
      </c>
      <c r="AG98" s="701">
        <f t="shared" ca="1" si="95"/>
        <v>0</v>
      </c>
      <c r="AH98" s="701">
        <f t="shared" ca="1" si="95"/>
        <v>0</v>
      </c>
      <c r="AI98" s="701">
        <f t="shared" ca="1" si="95"/>
        <v>0</v>
      </c>
      <c r="AJ98" s="701">
        <f t="shared" ca="1" si="95"/>
        <v>0</v>
      </c>
      <c r="AK98" s="701">
        <f t="shared" ca="1" si="95"/>
        <v>0</v>
      </c>
      <c r="AL98" s="701">
        <f t="shared" ca="1" si="95"/>
        <v>0</v>
      </c>
      <c r="AM98" s="701">
        <f t="shared" ca="1" si="95"/>
        <v>0</v>
      </c>
      <c r="AN98" s="701">
        <f t="shared" ca="1" si="95"/>
        <v>0</v>
      </c>
      <c r="AO98" s="701">
        <f t="shared" ca="1" si="95"/>
        <v>0</v>
      </c>
      <c r="AP98" s="701">
        <f t="shared" ca="1" si="95"/>
        <v>0</v>
      </c>
      <c r="AQ98" s="701">
        <f t="shared" ca="1" si="95"/>
        <v>0</v>
      </c>
      <c r="AR98" s="701">
        <f t="shared" ca="1" si="95"/>
        <v>0</v>
      </c>
      <c r="AS98" s="701">
        <f t="shared" ca="1" si="95"/>
        <v>0</v>
      </c>
      <c r="AT98" s="701">
        <f t="shared" ca="1" si="95"/>
        <v>0</v>
      </c>
      <c r="AU98" s="701">
        <f t="shared" ca="1" si="95"/>
        <v>0</v>
      </c>
      <c r="AV98" s="701">
        <f t="shared" ca="1" si="95"/>
        <v>0</v>
      </c>
      <c r="AW98" s="701">
        <f t="shared" ca="1" si="95"/>
        <v>0</v>
      </c>
      <c r="AX98" s="701">
        <f t="shared" ca="1" si="95"/>
        <v>0</v>
      </c>
      <c r="AY98" s="701">
        <f t="shared" ca="1" si="95"/>
        <v>0</v>
      </c>
      <c r="AZ98" s="701">
        <f t="shared" ca="1" si="95"/>
        <v>2963023.9408848532</v>
      </c>
      <c r="BA98" s="701">
        <f t="shared" ca="1" si="95"/>
        <v>0</v>
      </c>
      <c r="BB98" s="701">
        <f t="shared" ca="1" si="95"/>
        <v>0</v>
      </c>
      <c r="BC98" s="701">
        <f t="shared" ca="1" si="95"/>
        <v>0</v>
      </c>
      <c r="BD98" s="701">
        <f t="shared" ca="1" si="95"/>
        <v>0</v>
      </c>
      <c r="BE98" s="701">
        <f t="shared" ca="1" si="95"/>
        <v>0</v>
      </c>
      <c r="BF98" s="701">
        <f t="shared" ca="1" si="95"/>
        <v>0</v>
      </c>
      <c r="BG98" s="701">
        <f t="shared" ca="1" si="95"/>
        <v>0</v>
      </c>
      <c r="BH98" s="701">
        <f t="shared" ca="1" si="95"/>
        <v>0</v>
      </c>
      <c r="BI98" s="701">
        <f t="shared" ca="1" si="95"/>
        <v>0</v>
      </c>
      <c r="BJ98" s="701">
        <f t="shared" ca="1" si="95"/>
        <v>0</v>
      </c>
      <c r="BK98" s="701">
        <f t="shared" ca="1" si="95"/>
        <v>0</v>
      </c>
      <c r="BL98" s="701">
        <f t="shared" ca="1" si="95"/>
        <v>0</v>
      </c>
    </row>
    <row r="99" spans="1:64">
      <c r="A99" s="774" t="s">
        <v>675</v>
      </c>
      <c r="B99" s="702">
        <f ca="1">E12</f>
        <v>0.91338198774786505</v>
      </c>
      <c r="C99" s="699"/>
      <c r="D99" s="701">
        <f ca="1">D$98*$B99</f>
        <v>0</v>
      </c>
      <c r="E99" s="701">
        <f t="shared" ref="E99:BL100" ca="1" si="96">E$98*$B99</f>
        <v>0</v>
      </c>
      <c r="F99" s="701">
        <f t="shared" ca="1" si="96"/>
        <v>0</v>
      </c>
      <c r="G99" s="701">
        <f t="shared" ca="1" si="96"/>
        <v>0</v>
      </c>
      <c r="H99" s="701">
        <f t="shared" ca="1" si="96"/>
        <v>0</v>
      </c>
      <c r="I99" s="701">
        <f t="shared" ca="1" si="96"/>
        <v>0</v>
      </c>
      <c r="J99" s="701">
        <f t="shared" ca="1" si="96"/>
        <v>0</v>
      </c>
      <c r="K99" s="701">
        <f t="shared" ca="1" si="96"/>
        <v>0</v>
      </c>
      <c r="L99" s="701">
        <f t="shared" ca="1" si="96"/>
        <v>0</v>
      </c>
      <c r="M99" s="701">
        <f t="shared" ca="1" si="96"/>
        <v>0</v>
      </c>
      <c r="N99" s="701">
        <f t="shared" ca="1" si="96"/>
        <v>0</v>
      </c>
      <c r="O99" s="701">
        <f t="shared" ca="1" si="96"/>
        <v>0</v>
      </c>
      <c r="P99" s="701">
        <f t="shared" ca="1" si="96"/>
        <v>0</v>
      </c>
      <c r="Q99" s="701">
        <f t="shared" ca="1" si="96"/>
        <v>0</v>
      </c>
      <c r="R99" s="701">
        <f t="shared" ca="1" si="96"/>
        <v>0</v>
      </c>
      <c r="S99" s="701">
        <f t="shared" ca="1" si="96"/>
        <v>0</v>
      </c>
      <c r="T99" s="701">
        <f t="shared" ca="1" si="96"/>
        <v>0</v>
      </c>
      <c r="U99" s="701">
        <f t="shared" ca="1" si="96"/>
        <v>0</v>
      </c>
      <c r="V99" s="701">
        <f t="shared" ca="1" si="96"/>
        <v>0</v>
      </c>
      <c r="W99" s="701">
        <f t="shared" ca="1" si="96"/>
        <v>0</v>
      </c>
      <c r="X99" s="701">
        <f t="shared" ca="1" si="96"/>
        <v>0</v>
      </c>
      <c r="Y99" s="701">
        <f t="shared" ca="1" si="96"/>
        <v>0</v>
      </c>
      <c r="Z99" s="701">
        <f t="shared" ca="1" si="96"/>
        <v>0</v>
      </c>
      <c r="AA99" s="701">
        <f t="shared" ca="1" si="96"/>
        <v>0</v>
      </c>
      <c r="AB99" s="701">
        <f t="shared" ca="1" si="96"/>
        <v>0</v>
      </c>
      <c r="AC99" s="701">
        <f t="shared" ca="1" si="96"/>
        <v>0</v>
      </c>
      <c r="AD99" s="701">
        <f t="shared" ca="1" si="96"/>
        <v>0</v>
      </c>
      <c r="AE99" s="701">
        <f t="shared" ca="1" si="96"/>
        <v>0</v>
      </c>
      <c r="AF99" s="701">
        <f t="shared" ca="1" si="96"/>
        <v>0</v>
      </c>
      <c r="AG99" s="701">
        <f t="shared" ca="1" si="96"/>
        <v>0</v>
      </c>
      <c r="AH99" s="701">
        <f t="shared" ca="1" si="96"/>
        <v>0</v>
      </c>
      <c r="AI99" s="701">
        <f t="shared" ca="1" si="96"/>
        <v>0</v>
      </c>
      <c r="AJ99" s="701">
        <f t="shared" ca="1" si="96"/>
        <v>0</v>
      </c>
      <c r="AK99" s="701">
        <f t="shared" ca="1" si="96"/>
        <v>0</v>
      </c>
      <c r="AL99" s="701">
        <f t="shared" ca="1" si="96"/>
        <v>0</v>
      </c>
      <c r="AM99" s="701">
        <f t="shared" ca="1" si="96"/>
        <v>0</v>
      </c>
      <c r="AN99" s="701">
        <f t="shared" ca="1" si="96"/>
        <v>0</v>
      </c>
      <c r="AO99" s="701">
        <f t="shared" ca="1" si="96"/>
        <v>0</v>
      </c>
      <c r="AP99" s="701">
        <f t="shared" ca="1" si="96"/>
        <v>0</v>
      </c>
      <c r="AQ99" s="701">
        <f t="shared" ca="1" si="96"/>
        <v>0</v>
      </c>
      <c r="AR99" s="701">
        <f t="shared" ca="1" si="96"/>
        <v>0</v>
      </c>
      <c r="AS99" s="701">
        <f t="shared" ca="1" si="96"/>
        <v>0</v>
      </c>
      <c r="AT99" s="701">
        <f t="shared" ca="1" si="96"/>
        <v>0</v>
      </c>
      <c r="AU99" s="701">
        <f t="shared" ca="1" si="96"/>
        <v>0</v>
      </c>
      <c r="AV99" s="701">
        <f t="shared" ca="1" si="96"/>
        <v>0</v>
      </c>
      <c r="AW99" s="701">
        <f t="shared" ca="1" si="96"/>
        <v>0</v>
      </c>
      <c r="AX99" s="701">
        <f t="shared" ca="1" si="96"/>
        <v>0</v>
      </c>
      <c r="AY99" s="701">
        <f t="shared" ca="1" si="96"/>
        <v>0</v>
      </c>
      <c r="AZ99" s="701">
        <f ca="1">AZ$98*$B99</f>
        <v>2706372.69686992</v>
      </c>
      <c r="BA99" s="701">
        <f t="shared" ca="1" si="96"/>
        <v>0</v>
      </c>
      <c r="BB99" s="701">
        <f t="shared" ca="1" si="96"/>
        <v>0</v>
      </c>
      <c r="BC99" s="701">
        <f t="shared" ca="1" si="96"/>
        <v>0</v>
      </c>
      <c r="BD99" s="701">
        <f t="shared" ca="1" si="96"/>
        <v>0</v>
      </c>
      <c r="BE99" s="701">
        <f t="shared" ca="1" si="96"/>
        <v>0</v>
      </c>
      <c r="BF99" s="701">
        <f t="shared" ca="1" si="96"/>
        <v>0</v>
      </c>
      <c r="BG99" s="701">
        <f t="shared" ca="1" si="96"/>
        <v>0</v>
      </c>
      <c r="BH99" s="701">
        <f t="shared" ca="1" si="96"/>
        <v>0</v>
      </c>
      <c r="BI99" s="701">
        <f t="shared" ca="1" si="96"/>
        <v>0</v>
      </c>
      <c r="BJ99" s="701">
        <f t="shared" ca="1" si="96"/>
        <v>0</v>
      </c>
      <c r="BK99" s="701">
        <f t="shared" ca="1" si="96"/>
        <v>0</v>
      </c>
      <c r="BL99" s="701">
        <f t="shared" ca="1" si="96"/>
        <v>0</v>
      </c>
    </row>
    <row r="100" spans="1:64">
      <c r="A100" s="774" t="s">
        <v>676</v>
      </c>
      <c r="B100" s="702">
        <f ca="1">1-B99</f>
        <v>8.6618012252134946E-2</v>
      </c>
      <c r="C100" s="699"/>
      <c r="D100" s="701">
        <f ca="1">D$98*$B100</f>
        <v>0</v>
      </c>
      <c r="E100" s="701">
        <f t="shared" ca="1" si="96"/>
        <v>0</v>
      </c>
      <c r="F100" s="701">
        <f t="shared" ca="1" si="96"/>
        <v>0</v>
      </c>
      <c r="G100" s="701">
        <f t="shared" ca="1" si="96"/>
        <v>0</v>
      </c>
      <c r="H100" s="701">
        <f t="shared" ca="1" si="96"/>
        <v>0</v>
      </c>
      <c r="I100" s="701">
        <f t="shared" ca="1" si="96"/>
        <v>0</v>
      </c>
      <c r="J100" s="701">
        <f t="shared" ca="1" si="96"/>
        <v>0</v>
      </c>
      <c r="K100" s="701">
        <f t="shared" ca="1" si="96"/>
        <v>0</v>
      </c>
      <c r="L100" s="701">
        <f t="shared" ca="1" si="96"/>
        <v>0</v>
      </c>
      <c r="M100" s="701">
        <f t="shared" ca="1" si="96"/>
        <v>0</v>
      </c>
      <c r="N100" s="701">
        <f t="shared" ca="1" si="96"/>
        <v>0</v>
      </c>
      <c r="O100" s="701">
        <f t="shared" ca="1" si="96"/>
        <v>0</v>
      </c>
      <c r="P100" s="701">
        <f t="shared" ca="1" si="96"/>
        <v>0</v>
      </c>
      <c r="Q100" s="701">
        <f t="shared" ca="1" si="96"/>
        <v>0</v>
      </c>
      <c r="R100" s="701">
        <f t="shared" ca="1" si="96"/>
        <v>0</v>
      </c>
      <c r="S100" s="701">
        <f t="shared" ca="1" si="96"/>
        <v>0</v>
      </c>
      <c r="T100" s="701">
        <f t="shared" ca="1" si="96"/>
        <v>0</v>
      </c>
      <c r="U100" s="701">
        <f t="shared" ca="1" si="96"/>
        <v>0</v>
      </c>
      <c r="V100" s="701">
        <f t="shared" ca="1" si="96"/>
        <v>0</v>
      </c>
      <c r="W100" s="701">
        <f t="shared" ca="1" si="96"/>
        <v>0</v>
      </c>
      <c r="X100" s="701">
        <f t="shared" ca="1" si="96"/>
        <v>0</v>
      </c>
      <c r="Y100" s="701">
        <f t="shared" ca="1" si="96"/>
        <v>0</v>
      </c>
      <c r="Z100" s="701">
        <f t="shared" ca="1" si="96"/>
        <v>0</v>
      </c>
      <c r="AA100" s="701">
        <f t="shared" ca="1" si="96"/>
        <v>0</v>
      </c>
      <c r="AB100" s="701">
        <f t="shared" ca="1" si="96"/>
        <v>0</v>
      </c>
      <c r="AC100" s="701">
        <f t="shared" ca="1" si="96"/>
        <v>0</v>
      </c>
      <c r="AD100" s="701">
        <f t="shared" ca="1" si="96"/>
        <v>0</v>
      </c>
      <c r="AE100" s="701">
        <f t="shared" ca="1" si="96"/>
        <v>0</v>
      </c>
      <c r="AF100" s="701">
        <f t="shared" ca="1" si="96"/>
        <v>0</v>
      </c>
      <c r="AG100" s="701">
        <f t="shared" ca="1" si="96"/>
        <v>0</v>
      </c>
      <c r="AH100" s="701">
        <f t="shared" ca="1" si="96"/>
        <v>0</v>
      </c>
      <c r="AI100" s="701">
        <f t="shared" ca="1" si="96"/>
        <v>0</v>
      </c>
      <c r="AJ100" s="701">
        <f t="shared" ca="1" si="96"/>
        <v>0</v>
      </c>
      <c r="AK100" s="701">
        <f t="shared" ca="1" si="96"/>
        <v>0</v>
      </c>
      <c r="AL100" s="701">
        <f t="shared" ca="1" si="96"/>
        <v>0</v>
      </c>
      <c r="AM100" s="701">
        <f t="shared" ca="1" si="96"/>
        <v>0</v>
      </c>
      <c r="AN100" s="701">
        <f t="shared" ca="1" si="96"/>
        <v>0</v>
      </c>
      <c r="AO100" s="701">
        <f t="shared" ca="1" si="96"/>
        <v>0</v>
      </c>
      <c r="AP100" s="701">
        <f t="shared" ca="1" si="96"/>
        <v>0</v>
      </c>
      <c r="AQ100" s="701">
        <f t="shared" ca="1" si="96"/>
        <v>0</v>
      </c>
      <c r="AR100" s="701">
        <f t="shared" ca="1" si="96"/>
        <v>0</v>
      </c>
      <c r="AS100" s="701">
        <f t="shared" ca="1" si="96"/>
        <v>0</v>
      </c>
      <c r="AT100" s="701">
        <f t="shared" ca="1" si="96"/>
        <v>0</v>
      </c>
      <c r="AU100" s="701">
        <f t="shared" ca="1" si="96"/>
        <v>0</v>
      </c>
      <c r="AV100" s="701">
        <f t="shared" ca="1" si="96"/>
        <v>0</v>
      </c>
      <c r="AW100" s="701">
        <f t="shared" ca="1" si="96"/>
        <v>0</v>
      </c>
      <c r="AX100" s="701">
        <f t="shared" ca="1" si="96"/>
        <v>0</v>
      </c>
      <c r="AY100" s="701">
        <f t="shared" ca="1" si="96"/>
        <v>0</v>
      </c>
      <c r="AZ100" s="701">
        <f t="shared" ca="1" si="96"/>
        <v>256651.24401493339</v>
      </c>
      <c r="BA100" s="701">
        <f t="shared" ca="1" si="96"/>
        <v>0</v>
      </c>
      <c r="BB100" s="701">
        <f t="shared" ca="1" si="96"/>
        <v>0</v>
      </c>
      <c r="BC100" s="701">
        <f t="shared" ca="1" si="96"/>
        <v>0</v>
      </c>
      <c r="BD100" s="701">
        <f t="shared" ca="1" si="96"/>
        <v>0</v>
      </c>
      <c r="BE100" s="701">
        <f t="shared" ca="1" si="96"/>
        <v>0</v>
      </c>
      <c r="BF100" s="701">
        <f t="shared" ca="1" si="96"/>
        <v>0</v>
      </c>
      <c r="BG100" s="701">
        <f t="shared" ca="1" si="96"/>
        <v>0</v>
      </c>
      <c r="BH100" s="701">
        <f t="shared" ca="1" si="96"/>
        <v>0</v>
      </c>
      <c r="BI100" s="701">
        <f t="shared" ca="1" si="96"/>
        <v>0</v>
      </c>
      <c r="BJ100" s="701">
        <f t="shared" ca="1" si="96"/>
        <v>0</v>
      </c>
      <c r="BK100" s="701">
        <f t="shared" ca="1" si="96"/>
        <v>0</v>
      </c>
      <c r="BL100" s="701">
        <f t="shared" ca="1" si="96"/>
        <v>0</v>
      </c>
    </row>
    <row r="101" spans="1:64">
      <c r="A101" s="779">
        <f ca="1">1-A98</f>
        <v>0.41338198774786483</v>
      </c>
      <c r="B101" s="701"/>
      <c r="C101" s="699"/>
      <c r="D101" s="754">
        <f t="shared" ref="D101:BL101" ca="1" si="97">D98/$A98*$A101</f>
        <v>0</v>
      </c>
      <c r="E101" s="754">
        <f t="shared" ca="1" si="97"/>
        <v>0</v>
      </c>
      <c r="F101" s="754">
        <f t="shared" ca="1" si="97"/>
        <v>0</v>
      </c>
      <c r="G101" s="754">
        <f t="shared" ca="1" si="97"/>
        <v>0</v>
      </c>
      <c r="H101" s="754">
        <f t="shared" ca="1" si="97"/>
        <v>0</v>
      </c>
      <c r="I101" s="754">
        <f t="shared" ca="1" si="97"/>
        <v>0</v>
      </c>
      <c r="J101" s="754">
        <f t="shared" ca="1" si="97"/>
        <v>0</v>
      </c>
      <c r="K101" s="754">
        <f t="shared" ca="1" si="97"/>
        <v>0</v>
      </c>
      <c r="L101" s="754">
        <f t="shared" ca="1" si="97"/>
        <v>0</v>
      </c>
      <c r="M101" s="754">
        <f t="shared" ca="1" si="97"/>
        <v>0</v>
      </c>
      <c r="N101" s="754">
        <f t="shared" ca="1" si="97"/>
        <v>0</v>
      </c>
      <c r="O101" s="754">
        <f t="shared" ca="1" si="97"/>
        <v>0</v>
      </c>
      <c r="P101" s="754">
        <f t="shared" ca="1" si="97"/>
        <v>0</v>
      </c>
      <c r="Q101" s="754">
        <f t="shared" ca="1" si="97"/>
        <v>0</v>
      </c>
      <c r="R101" s="754">
        <f t="shared" ca="1" si="97"/>
        <v>0</v>
      </c>
      <c r="S101" s="754">
        <f t="shared" ca="1" si="97"/>
        <v>0</v>
      </c>
      <c r="T101" s="754">
        <f t="shared" ca="1" si="97"/>
        <v>0</v>
      </c>
      <c r="U101" s="754">
        <f t="shared" ca="1" si="97"/>
        <v>0</v>
      </c>
      <c r="V101" s="754">
        <f t="shared" ca="1" si="97"/>
        <v>0</v>
      </c>
      <c r="W101" s="754">
        <f t="shared" ca="1" si="97"/>
        <v>0</v>
      </c>
      <c r="X101" s="754">
        <f t="shared" ca="1" si="97"/>
        <v>0</v>
      </c>
      <c r="Y101" s="754">
        <f t="shared" ca="1" si="97"/>
        <v>0</v>
      </c>
      <c r="Z101" s="754">
        <f t="shared" ca="1" si="97"/>
        <v>0</v>
      </c>
      <c r="AA101" s="754">
        <f t="shared" ca="1" si="97"/>
        <v>0</v>
      </c>
      <c r="AB101" s="754">
        <f t="shared" ca="1" si="97"/>
        <v>0</v>
      </c>
      <c r="AC101" s="754">
        <f t="shared" ca="1" si="97"/>
        <v>0</v>
      </c>
      <c r="AD101" s="754">
        <f t="shared" ca="1" si="97"/>
        <v>0</v>
      </c>
      <c r="AE101" s="754">
        <f t="shared" ca="1" si="97"/>
        <v>0</v>
      </c>
      <c r="AF101" s="754">
        <f t="shared" ca="1" si="97"/>
        <v>0</v>
      </c>
      <c r="AG101" s="754">
        <f t="shared" ca="1" si="97"/>
        <v>0</v>
      </c>
      <c r="AH101" s="754">
        <f t="shared" ca="1" si="97"/>
        <v>0</v>
      </c>
      <c r="AI101" s="754">
        <f t="shared" ca="1" si="97"/>
        <v>0</v>
      </c>
      <c r="AJ101" s="754">
        <f t="shared" ca="1" si="97"/>
        <v>0</v>
      </c>
      <c r="AK101" s="754">
        <f t="shared" ca="1" si="97"/>
        <v>0</v>
      </c>
      <c r="AL101" s="754">
        <f t="shared" ca="1" si="97"/>
        <v>0</v>
      </c>
      <c r="AM101" s="754">
        <f t="shared" ca="1" si="97"/>
        <v>0</v>
      </c>
      <c r="AN101" s="754">
        <f t="shared" ca="1" si="97"/>
        <v>0</v>
      </c>
      <c r="AO101" s="754">
        <f t="shared" ca="1" si="97"/>
        <v>0</v>
      </c>
      <c r="AP101" s="754">
        <f t="shared" ca="1" si="97"/>
        <v>0</v>
      </c>
      <c r="AQ101" s="754">
        <f t="shared" ca="1" si="97"/>
        <v>0</v>
      </c>
      <c r="AR101" s="754">
        <f t="shared" ca="1" si="97"/>
        <v>0</v>
      </c>
      <c r="AS101" s="754">
        <f t="shared" ca="1" si="97"/>
        <v>0</v>
      </c>
      <c r="AT101" s="754">
        <f t="shared" ca="1" si="97"/>
        <v>0</v>
      </c>
      <c r="AU101" s="754">
        <f t="shared" ca="1" si="97"/>
        <v>0</v>
      </c>
      <c r="AV101" s="754">
        <f t="shared" ca="1" si="97"/>
        <v>0</v>
      </c>
      <c r="AW101" s="754">
        <f t="shared" ca="1" si="97"/>
        <v>0</v>
      </c>
      <c r="AX101" s="754">
        <f t="shared" ca="1" si="97"/>
        <v>0</v>
      </c>
      <c r="AY101" s="754">
        <f t="shared" ca="1" si="97"/>
        <v>0</v>
      </c>
      <c r="AZ101" s="754">
        <f t="shared" ca="1" si="97"/>
        <v>2088003.9494952182</v>
      </c>
      <c r="BA101" s="754">
        <f t="shared" ca="1" si="97"/>
        <v>0</v>
      </c>
      <c r="BB101" s="754">
        <f t="shared" ca="1" si="97"/>
        <v>0</v>
      </c>
      <c r="BC101" s="754">
        <f t="shared" ca="1" si="97"/>
        <v>0</v>
      </c>
      <c r="BD101" s="754">
        <f t="shared" ca="1" si="97"/>
        <v>0</v>
      </c>
      <c r="BE101" s="754">
        <f t="shared" ca="1" si="97"/>
        <v>0</v>
      </c>
      <c r="BF101" s="754">
        <f t="shared" ca="1" si="97"/>
        <v>0</v>
      </c>
      <c r="BG101" s="754">
        <f t="shared" ca="1" si="97"/>
        <v>0</v>
      </c>
      <c r="BH101" s="754">
        <f t="shared" ca="1" si="97"/>
        <v>0</v>
      </c>
      <c r="BI101" s="754">
        <f t="shared" ca="1" si="97"/>
        <v>0</v>
      </c>
      <c r="BJ101" s="754">
        <f t="shared" ca="1" si="97"/>
        <v>0</v>
      </c>
      <c r="BK101" s="754">
        <f t="shared" ca="1" si="97"/>
        <v>0</v>
      </c>
      <c r="BL101" s="754">
        <f t="shared" ca="1" si="97"/>
        <v>0</v>
      </c>
    </row>
    <row r="102" spans="1:64">
      <c r="A102" s="774" t="s">
        <v>643</v>
      </c>
      <c r="B102" s="701"/>
      <c r="C102" s="699"/>
      <c r="D102" s="701">
        <f ca="1">D93-D98-D101</f>
        <v>0</v>
      </c>
      <c r="E102" s="701">
        <f t="shared" ref="E102:BL102" ca="1" si="98">E93-E98-E101</f>
        <v>0</v>
      </c>
      <c r="F102" s="701">
        <f t="shared" ca="1" si="98"/>
        <v>0</v>
      </c>
      <c r="G102" s="701">
        <f t="shared" ca="1" si="98"/>
        <v>0</v>
      </c>
      <c r="H102" s="701">
        <f t="shared" ca="1" si="98"/>
        <v>0</v>
      </c>
      <c r="I102" s="701">
        <f t="shared" ca="1" si="98"/>
        <v>0</v>
      </c>
      <c r="J102" s="701">
        <f t="shared" ca="1" si="98"/>
        <v>0</v>
      </c>
      <c r="K102" s="701">
        <f t="shared" ca="1" si="98"/>
        <v>0</v>
      </c>
      <c r="L102" s="701">
        <f t="shared" ca="1" si="98"/>
        <v>0</v>
      </c>
      <c r="M102" s="701">
        <f t="shared" ca="1" si="98"/>
        <v>0</v>
      </c>
      <c r="N102" s="701">
        <f t="shared" ca="1" si="98"/>
        <v>0</v>
      </c>
      <c r="O102" s="701">
        <f t="shared" ca="1" si="98"/>
        <v>0</v>
      </c>
      <c r="P102" s="701">
        <f t="shared" ca="1" si="98"/>
        <v>0</v>
      </c>
      <c r="Q102" s="701">
        <f t="shared" ca="1" si="98"/>
        <v>0</v>
      </c>
      <c r="R102" s="701">
        <f t="shared" ca="1" si="98"/>
        <v>0</v>
      </c>
      <c r="S102" s="701">
        <f t="shared" ca="1" si="98"/>
        <v>0</v>
      </c>
      <c r="T102" s="701">
        <f t="shared" ca="1" si="98"/>
        <v>0</v>
      </c>
      <c r="U102" s="701">
        <f t="shared" ca="1" si="98"/>
        <v>0</v>
      </c>
      <c r="V102" s="701">
        <f t="shared" ca="1" si="98"/>
        <v>0</v>
      </c>
      <c r="W102" s="701">
        <f t="shared" ca="1" si="98"/>
        <v>0</v>
      </c>
      <c r="X102" s="701">
        <f t="shared" ca="1" si="98"/>
        <v>0</v>
      </c>
      <c r="Y102" s="701">
        <f t="shared" ca="1" si="98"/>
        <v>0</v>
      </c>
      <c r="Z102" s="701">
        <f t="shared" ca="1" si="98"/>
        <v>0</v>
      </c>
      <c r="AA102" s="701">
        <f t="shared" ca="1" si="98"/>
        <v>0</v>
      </c>
      <c r="AB102" s="701">
        <f t="shared" ca="1" si="98"/>
        <v>0</v>
      </c>
      <c r="AC102" s="701">
        <f t="shared" ca="1" si="98"/>
        <v>0</v>
      </c>
      <c r="AD102" s="701">
        <f t="shared" ca="1" si="98"/>
        <v>0</v>
      </c>
      <c r="AE102" s="701">
        <f t="shared" ca="1" si="98"/>
        <v>0</v>
      </c>
      <c r="AF102" s="701">
        <f t="shared" ca="1" si="98"/>
        <v>0</v>
      </c>
      <c r="AG102" s="701">
        <f t="shared" ca="1" si="98"/>
        <v>0</v>
      </c>
      <c r="AH102" s="701">
        <f t="shared" ca="1" si="98"/>
        <v>0</v>
      </c>
      <c r="AI102" s="701">
        <f t="shared" ca="1" si="98"/>
        <v>0</v>
      </c>
      <c r="AJ102" s="701">
        <f t="shared" ca="1" si="98"/>
        <v>0</v>
      </c>
      <c r="AK102" s="701">
        <f t="shared" ca="1" si="98"/>
        <v>0</v>
      </c>
      <c r="AL102" s="701">
        <f t="shared" ca="1" si="98"/>
        <v>0</v>
      </c>
      <c r="AM102" s="701">
        <f t="shared" ca="1" si="98"/>
        <v>0</v>
      </c>
      <c r="AN102" s="701">
        <f t="shared" ca="1" si="98"/>
        <v>0</v>
      </c>
      <c r="AO102" s="701">
        <f t="shared" ca="1" si="98"/>
        <v>0</v>
      </c>
      <c r="AP102" s="701">
        <f t="shared" ca="1" si="98"/>
        <v>0</v>
      </c>
      <c r="AQ102" s="701">
        <f t="shared" ca="1" si="98"/>
        <v>0</v>
      </c>
      <c r="AR102" s="701">
        <f t="shared" ca="1" si="98"/>
        <v>0</v>
      </c>
      <c r="AS102" s="701">
        <f t="shared" ca="1" si="98"/>
        <v>0</v>
      </c>
      <c r="AT102" s="701">
        <f t="shared" ca="1" si="98"/>
        <v>0</v>
      </c>
      <c r="AU102" s="701">
        <f t="shared" ca="1" si="98"/>
        <v>0</v>
      </c>
      <c r="AV102" s="701">
        <f t="shared" ca="1" si="98"/>
        <v>0</v>
      </c>
      <c r="AW102" s="701">
        <f t="shared" ca="1" si="98"/>
        <v>0</v>
      </c>
      <c r="AX102" s="701">
        <f t="shared" ca="1" si="98"/>
        <v>0</v>
      </c>
      <c r="AY102" s="701">
        <f t="shared" ca="1" si="98"/>
        <v>0</v>
      </c>
      <c r="AZ102" s="701">
        <f t="shared" ca="1" si="98"/>
        <v>0</v>
      </c>
      <c r="BA102" s="701">
        <f t="shared" ca="1" si="98"/>
        <v>0</v>
      </c>
      <c r="BB102" s="701">
        <f t="shared" ca="1" si="98"/>
        <v>0</v>
      </c>
      <c r="BC102" s="701">
        <f t="shared" ca="1" si="98"/>
        <v>0</v>
      </c>
      <c r="BD102" s="701">
        <f t="shared" ca="1" si="98"/>
        <v>0</v>
      </c>
      <c r="BE102" s="701">
        <f t="shared" ca="1" si="98"/>
        <v>0</v>
      </c>
      <c r="BF102" s="701">
        <f t="shared" ca="1" si="98"/>
        <v>0</v>
      </c>
      <c r="BG102" s="701">
        <f t="shared" ca="1" si="98"/>
        <v>0</v>
      </c>
      <c r="BH102" s="701">
        <f t="shared" ca="1" si="98"/>
        <v>0</v>
      </c>
      <c r="BI102" s="701">
        <f t="shared" ca="1" si="98"/>
        <v>0</v>
      </c>
      <c r="BJ102" s="701">
        <f t="shared" ca="1" si="98"/>
        <v>0</v>
      </c>
      <c r="BK102" s="701">
        <f t="shared" ca="1" si="98"/>
        <v>0</v>
      </c>
      <c r="BL102" s="701">
        <f t="shared" ca="1" si="98"/>
        <v>0</v>
      </c>
    </row>
    <row r="103" spans="1:64">
      <c r="A103" s="701"/>
      <c r="B103" s="701"/>
      <c r="C103" s="701"/>
      <c r="D103" s="701"/>
      <c r="E103" s="701"/>
      <c r="F103" s="701"/>
      <c r="G103" s="701"/>
      <c r="H103" s="701"/>
      <c r="I103" s="701"/>
    </row>
    <row r="104" spans="1:64">
      <c r="A104" s="759" t="s">
        <v>678</v>
      </c>
      <c r="B104" s="760"/>
      <c r="C104" s="760"/>
      <c r="D104" s="760"/>
      <c r="E104" s="760"/>
      <c r="F104" s="760"/>
      <c r="G104" s="760"/>
      <c r="H104" s="760"/>
      <c r="I104" s="760"/>
      <c r="J104" s="761"/>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1"/>
      <c r="AJ104" s="761"/>
      <c r="AK104" s="761"/>
      <c r="AL104" s="761"/>
      <c r="AM104" s="761"/>
      <c r="AN104" s="761"/>
      <c r="AO104" s="761"/>
      <c r="AP104" s="761"/>
      <c r="AQ104" s="761"/>
      <c r="AR104" s="761"/>
      <c r="AS104" s="761"/>
      <c r="AT104" s="761"/>
      <c r="AU104" s="761"/>
      <c r="AV104" s="761"/>
      <c r="AW104" s="761"/>
      <c r="AX104" s="761"/>
      <c r="AY104" s="761"/>
      <c r="AZ104" s="761"/>
      <c r="BA104" s="761"/>
      <c r="BB104" s="761"/>
      <c r="BC104" s="761"/>
      <c r="BD104" s="761"/>
      <c r="BE104" s="761"/>
      <c r="BF104" s="761"/>
      <c r="BG104" s="761"/>
      <c r="BH104" s="761"/>
      <c r="BI104" s="761"/>
      <c r="BJ104" s="761"/>
      <c r="BK104" s="761"/>
      <c r="BL104" s="761"/>
    </row>
    <row r="105" spans="1:64">
      <c r="A105" s="781" t="s">
        <v>645</v>
      </c>
      <c r="B105" s="701">
        <f t="shared" ref="B105:B110" ca="1" si="99">SUM(D105:BL105)</f>
        <v>-6326965.701469291</v>
      </c>
      <c r="C105" s="699"/>
      <c r="D105" s="763">
        <f t="shared" ref="D105:AI105" ca="1" si="100">D34</f>
        <v>-5636325.4451417411</v>
      </c>
      <c r="E105" s="763">
        <f t="shared" ca="1" si="100"/>
        <v>-690640.25632770208</v>
      </c>
      <c r="F105" s="763">
        <f t="shared" ca="1" si="100"/>
        <v>1.7013065288734899E-8</v>
      </c>
      <c r="G105" s="763">
        <f t="shared" ca="1" si="100"/>
        <v>1.7013065288734899E-8</v>
      </c>
      <c r="H105" s="763">
        <f t="shared" ca="1" si="100"/>
        <v>1.7013065288734899E-8</v>
      </c>
      <c r="I105" s="763">
        <f t="shared" ca="1" si="100"/>
        <v>1.7013065288734899E-8</v>
      </c>
      <c r="J105" s="763">
        <f t="shared" ca="1" si="100"/>
        <v>1.7013065288734899E-8</v>
      </c>
      <c r="K105" s="763">
        <f t="shared" ca="1" si="100"/>
        <v>1.7013065288734899E-8</v>
      </c>
      <c r="L105" s="763">
        <f t="shared" ca="1" si="100"/>
        <v>1.862645149230957E-8</v>
      </c>
      <c r="M105" s="763">
        <f t="shared" ca="1" si="100"/>
        <v>0</v>
      </c>
      <c r="N105" s="763">
        <f t="shared" ca="1" si="100"/>
        <v>0</v>
      </c>
      <c r="O105" s="763">
        <f t="shared" ca="1" si="100"/>
        <v>0</v>
      </c>
      <c r="P105" s="763">
        <f t="shared" ca="1" si="100"/>
        <v>0</v>
      </c>
      <c r="Q105" s="763">
        <f t="shared" ca="1" si="100"/>
        <v>0</v>
      </c>
      <c r="R105" s="763">
        <f t="shared" ca="1" si="100"/>
        <v>0</v>
      </c>
      <c r="S105" s="763">
        <f t="shared" ca="1" si="100"/>
        <v>0</v>
      </c>
      <c r="T105" s="763">
        <f t="shared" ca="1" si="100"/>
        <v>0</v>
      </c>
      <c r="U105" s="763">
        <f t="shared" ca="1" si="100"/>
        <v>0</v>
      </c>
      <c r="V105" s="763">
        <f t="shared" ca="1" si="100"/>
        <v>0</v>
      </c>
      <c r="W105" s="763">
        <f t="shared" ca="1" si="100"/>
        <v>0</v>
      </c>
      <c r="X105" s="763">
        <f t="shared" ca="1" si="100"/>
        <v>0</v>
      </c>
      <c r="Y105" s="763">
        <f t="shared" ca="1" si="100"/>
        <v>0</v>
      </c>
      <c r="Z105" s="763">
        <f t="shared" ca="1" si="100"/>
        <v>0</v>
      </c>
      <c r="AA105" s="763">
        <f t="shared" ca="1" si="100"/>
        <v>0</v>
      </c>
      <c r="AB105" s="763">
        <f t="shared" ca="1" si="100"/>
        <v>0</v>
      </c>
      <c r="AC105" s="763">
        <f t="shared" ca="1" si="100"/>
        <v>0</v>
      </c>
      <c r="AD105" s="763">
        <f t="shared" ca="1" si="100"/>
        <v>0</v>
      </c>
      <c r="AE105" s="763">
        <f t="shared" ca="1" si="100"/>
        <v>0</v>
      </c>
      <c r="AF105" s="763">
        <f t="shared" ca="1" si="100"/>
        <v>0</v>
      </c>
      <c r="AG105" s="763">
        <f t="shared" ca="1" si="100"/>
        <v>0</v>
      </c>
      <c r="AH105" s="763">
        <f t="shared" ca="1" si="100"/>
        <v>0</v>
      </c>
      <c r="AI105" s="763">
        <f t="shared" ca="1" si="100"/>
        <v>0</v>
      </c>
      <c r="AJ105" s="763">
        <f t="shared" ref="AJ105:BL105" ca="1" si="101">AJ34</f>
        <v>0</v>
      </c>
      <c r="AK105" s="763">
        <f t="shared" ca="1" si="101"/>
        <v>0</v>
      </c>
      <c r="AL105" s="763">
        <f t="shared" ca="1" si="101"/>
        <v>0</v>
      </c>
      <c r="AM105" s="763">
        <f t="shared" ca="1" si="101"/>
        <v>0</v>
      </c>
      <c r="AN105" s="763">
        <f t="shared" ca="1" si="101"/>
        <v>0</v>
      </c>
      <c r="AO105" s="763">
        <f t="shared" ca="1" si="101"/>
        <v>0</v>
      </c>
      <c r="AP105" s="763">
        <f t="shared" ca="1" si="101"/>
        <v>0</v>
      </c>
      <c r="AQ105" s="763">
        <f t="shared" ca="1" si="101"/>
        <v>0</v>
      </c>
      <c r="AR105" s="763">
        <f t="shared" ca="1" si="101"/>
        <v>0</v>
      </c>
      <c r="AS105" s="763">
        <f t="shared" ca="1" si="101"/>
        <v>0</v>
      </c>
      <c r="AT105" s="763">
        <f t="shared" ca="1" si="101"/>
        <v>0</v>
      </c>
      <c r="AU105" s="763">
        <f t="shared" ca="1" si="101"/>
        <v>0</v>
      </c>
      <c r="AV105" s="763">
        <f t="shared" ca="1" si="101"/>
        <v>0</v>
      </c>
      <c r="AW105" s="763">
        <f t="shared" ca="1" si="101"/>
        <v>0</v>
      </c>
      <c r="AX105" s="763">
        <f t="shared" ca="1" si="101"/>
        <v>0</v>
      </c>
      <c r="AY105" s="763">
        <f t="shared" ca="1" si="101"/>
        <v>0</v>
      </c>
      <c r="AZ105" s="763">
        <f t="shared" ca="1" si="101"/>
        <v>0</v>
      </c>
      <c r="BA105" s="763">
        <f t="shared" ca="1" si="101"/>
        <v>0</v>
      </c>
      <c r="BB105" s="763">
        <f t="shared" ca="1" si="101"/>
        <v>0</v>
      </c>
      <c r="BC105" s="763">
        <f t="shared" ca="1" si="101"/>
        <v>0</v>
      </c>
      <c r="BD105" s="763">
        <f t="shared" ca="1" si="101"/>
        <v>0</v>
      </c>
      <c r="BE105" s="763">
        <f t="shared" ca="1" si="101"/>
        <v>0</v>
      </c>
      <c r="BF105" s="763">
        <f t="shared" ca="1" si="101"/>
        <v>0</v>
      </c>
      <c r="BG105" s="763">
        <f t="shared" ca="1" si="101"/>
        <v>0</v>
      </c>
      <c r="BH105" s="763">
        <f t="shared" ca="1" si="101"/>
        <v>0</v>
      </c>
      <c r="BI105" s="763">
        <f t="shared" ca="1" si="101"/>
        <v>0</v>
      </c>
      <c r="BJ105" s="763">
        <f t="shared" ca="1" si="101"/>
        <v>0</v>
      </c>
      <c r="BK105" s="763">
        <f t="shared" ca="1" si="101"/>
        <v>0</v>
      </c>
      <c r="BL105" s="763">
        <f t="shared" ca="1" si="101"/>
        <v>0</v>
      </c>
    </row>
    <row r="106" spans="1:64">
      <c r="A106" s="781" t="s">
        <v>636</v>
      </c>
      <c r="B106" s="701">
        <f t="shared" ca="1" si="99"/>
        <v>10783041.688141013</v>
      </c>
      <c r="C106" s="699"/>
      <c r="D106" s="763">
        <f t="shared" ref="D106:AI106" si="102">D41</f>
        <v>0</v>
      </c>
      <c r="E106" s="763">
        <f t="shared" ca="1" si="102"/>
        <v>0</v>
      </c>
      <c r="F106" s="763">
        <f t="shared" ca="1" si="102"/>
        <v>0</v>
      </c>
      <c r="G106" s="763">
        <f t="shared" ca="1" si="102"/>
        <v>0</v>
      </c>
      <c r="H106" s="763">
        <f t="shared" ca="1" si="102"/>
        <v>0</v>
      </c>
      <c r="I106" s="763">
        <f t="shared" ca="1" si="102"/>
        <v>0</v>
      </c>
      <c r="J106" s="763">
        <f t="shared" ca="1" si="102"/>
        <v>0</v>
      </c>
      <c r="K106" s="763">
        <f t="shared" ca="1" si="102"/>
        <v>0</v>
      </c>
      <c r="L106" s="763">
        <f t="shared" ca="1" si="102"/>
        <v>0</v>
      </c>
      <c r="M106" s="763">
        <f t="shared" ca="1" si="102"/>
        <v>0</v>
      </c>
      <c r="N106" s="763">
        <f t="shared" ca="1" si="102"/>
        <v>0</v>
      </c>
      <c r="O106" s="763">
        <f t="shared" ca="1" si="102"/>
        <v>0</v>
      </c>
      <c r="P106" s="763">
        <f t="shared" ca="1" si="102"/>
        <v>0</v>
      </c>
      <c r="Q106" s="763">
        <f t="shared" ca="1" si="102"/>
        <v>0</v>
      </c>
      <c r="R106" s="763">
        <f t="shared" ca="1" si="102"/>
        <v>132618.45355301234</v>
      </c>
      <c r="S106" s="763">
        <f t="shared" ca="1" si="102"/>
        <v>0</v>
      </c>
      <c r="T106" s="763">
        <f t="shared" ca="1" si="102"/>
        <v>0</v>
      </c>
      <c r="U106" s="763">
        <f t="shared" ca="1" si="102"/>
        <v>0</v>
      </c>
      <c r="V106" s="763">
        <f t="shared" ca="1" si="102"/>
        <v>0</v>
      </c>
      <c r="W106" s="763">
        <f t="shared" ca="1" si="102"/>
        <v>0</v>
      </c>
      <c r="X106" s="763">
        <f t="shared" ca="1" si="102"/>
        <v>0</v>
      </c>
      <c r="Y106" s="763">
        <f t="shared" ca="1" si="102"/>
        <v>0</v>
      </c>
      <c r="Z106" s="763">
        <f t="shared" ca="1" si="102"/>
        <v>0</v>
      </c>
      <c r="AA106" s="763">
        <f t="shared" ca="1" si="102"/>
        <v>0</v>
      </c>
      <c r="AB106" s="763">
        <f t="shared" ca="1" si="102"/>
        <v>0</v>
      </c>
      <c r="AC106" s="763">
        <f t="shared" ca="1" si="102"/>
        <v>7206.0192780166399</v>
      </c>
      <c r="AD106" s="763">
        <f t="shared" ca="1" si="102"/>
        <v>173151.20542949764</v>
      </c>
      <c r="AE106" s="763">
        <f t="shared" ca="1" si="102"/>
        <v>21055.977601454564</v>
      </c>
      <c r="AF106" s="763">
        <f t="shared" ca="1" si="102"/>
        <v>28724.429016846057</v>
      </c>
      <c r="AG106" s="763">
        <f t="shared" ca="1" si="102"/>
        <v>36105.018214839329</v>
      </c>
      <c r="AH106" s="763">
        <f t="shared" ca="1" si="102"/>
        <v>54059.584911029138</v>
      </c>
      <c r="AI106" s="763">
        <f t="shared" ca="1" si="102"/>
        <v>62943.149229906354</v>
      </c>
      <c r="AJ106" s="763">
        <f t="shared" ref="AJ106:BL106" ca="1" si="103">AJ41</f>
        <v>68900.577069600768</v>
      </c>
      <c r="AK106" s="763">
        <f t="shared" ca="1" si="103"/>
        <v>50097.12998783902</v>
      </c>
      <c r="AL106" s="763">
        <f t="shared" ca="1" si="103"/>
        <v>50673.132813952267</v>
      </c>
      <c r="AM106" s="763">
        <f t="shared" ca="1" si="103"/>
        <v>50445.88203445547</v>
      </c>
      <c r="AN106" s="763">
        <f t="shared" ca="1" si="103"/>
        <v>58259.796017025925</v>
      </c>
      <c r="AO106" s="763">
        <f t="shared" ca="1" si="103"/>
        <v>57992.560007987566</v>
      </c>
      <c r="AP106" s="763">
        <f t="shared" ca="1" si="103"/>
        <v>60493.073835685529</v>
      </c>
      <c r="AQ106" s="763">
        <f t="shared" ca="1" si="103"/>
        <v>63197.411180517025</v>
      </c>
      <c r="AR106" s="763">
        <f t="shared" ca="1" si="103"/>
        <v>66212.636050880668</v>
      </c>
      <c r="AS106" s="763">
        <f t="shared" ca="1" si="103"/>
        <v>69882.203639765474</v>
      </c>
      <c r="AT106" s="763">
        <f t="shared" ca="1" si="103"/>
        <v>72211.523191859815</v>
      </c>
      <c r="AU106" s="763">
        <f t="shared" ca="1" si="103"/>
        <v>73919.98804997062</v>
      </c>
      <c r="AV106" s="763">
        <f t="shared" ca="1" si="103"/>
        <v>75481.453245080411</v>
      </c>
      <c r="AW106" s="763">
        <f t="shared" ca="1" si="103"/>
        <v>74781.661198060188</v>
      </c>
      <c r="AX106" s="763">
        <f t="shared" ca="1" si="103"/>
        <v>74535.993332814061</v>
      </c>
      <c r="AY106" s="763">
        <f t="shared" ca="1" si="103"/>
        <v>73577.365570450478</v>
      </c>
      <c r="AZ106" s="763">
        <f t="shared" ca="1" si="103"/>
        <v>9226515.4636738002</v>
      </c>
      <c r="BA106" s="763">
        <f t="shared" ca="1" si="103"/>
        <v>0</v>
      </c>
      <c r="BB106" s="763">
        <f t="shared" ca="1" si="103"/>
        <v>0</v>
      </c>
      <c r="BC106" s="763">
        <f t="shared" ca="1" si="103"/>
        <v>0</v>
      </c>
      <c r="BD106" s="763">
        <f t="shared" ca="1" si="103"/>
        <v>0</v>
      </c>
      <c r="BE106" s="763">
        <f t="shared" ca="1" si="103"/>
        <v>0</v>
      </c>
      <c r="BF106" s="763">
        <f t="shared" ca="1" si="103"/>
        <v>0</v>
      </c>
      <c r="BG106" s="763">
        <f t="shared" ca="1" si="103"/>
        <v>0</v>
      </c>
      <c r="BH106" s="763">
        <f t="shared" ca="1" si="103"/>
        <v>0</v>
      </c>
      <c r="BI106" s="763">
        <f t="shared" ca="1" si="103"/>
        <v>0</v>
      </c>
      <c r="BJ106" s="763">
        <f t="shared" ca="1" si="103"/>
        <v>0</v>
      </c>
      <c r="BK106" s="763">
        <f t="shared" ca="1" si="103"/>
        <v>0</v>
      </c>
      <c r="BL106" s="763">
        <f t="shared" ca="1" si="103"/>
        <v>0</v>
      </c>
    </row>
    <row r="107" spans="1:64">
      <c r="A107" s="781" t="s">
        <v>650</v>
      </c>
      <c r="B107" s="701">
        <f t="shared" ca="1" si="99"/>
        <v>1959072.0754351763</v>
      </c>
      <c r="C107" s="699"/>
      <c r="D107" s="763">
        <f t="shared" ref="D107:AI107" si="104">D69</f>
        <v>0</v>
      </c>
      <c r="E107" s="763">
        <f t="shared" ca="1" si="104"/>
        <v>0</v>
      </c>
      <c r="F107" s="763">
        <f t="shared" ca="1" si="104"/>
        <v>0</v>
      </c>
      <c r="G107" s="763">
        <f t="shared" ca="1" si="104"/>
        <v>0</v>
      </c>
      <c r="H107" s="763">
        <f t="shared" ca="1" si="104"/>
        <v>0</v>
      </c>
      <c r="I107" s="763">
        <f t="shared" ca="1" si="104"/>
        <v>0</v>
      </c>
      <c r="J107" s="763">
        <f t="shared" ca="1" si="104"/>
        <v>0</v>
      </c>
      <c r="K107" s="763">
        <f t="shared" ca="1" si="104"/>
        <v>0</v>
      </c>
      <c r="L107" s="763">
        <f t="shared" ca="1" si="104"/>
        <v>0</v>
      </c>
      <c r="M107" s="763">
        <f t="shared" ca="1" si="104"/>
        <v>0</v>
      </c>
      <c r="N107" s="763">
        <f t="shared" ca="1" si="104"/>
        <v>0</v>
      </c>
      <c r="O107" s="763">
        <f t="shared" ca="1" si="104"/>
        <v>0</v>
      </c>
      <c r="P107" s="763">
        <f t="shared" ca="1" si="104"/>
        <v>0</v>
      </c>
      <c r="Q107" s="763">
        <f t="shared" ca="1" si="104"/>
        <v>0</v>
      </c>
      <c r="R107" s="763">
        <f t="shared" ca="1" si="104"/>
        <v>0</v>
      </c>
      <c r="S107" s="763">
        <f t="shared" ca="1" si="104"/>
        <v>0</v>
      </c>
      <c r="T107" s="763">
        <f t="shared" ca="1" si="104"/>
        <v>0</v>
      </c>
      <c r="U107" s="763">
        <f t="shared" ca="1" si="104"/>
        <v>0</v>
      </c>
      <c r="V107" s="763">
        <f t="shared" ca="1" si="104"/>
        <v>0</v>
      </c>
      <c r="W107" s="763">
        <f t="shared" ca="1" si="104"/>
        <v>0</v>
      </c>
      <c r="X107" s="763">
        <f t="shared" ca="1" si="104"/>
        <v>0</v>
      </c>
      <c r="Y107" s="763">
        <f t="shared" ca="1" si="104"/>
        <v>0</v>
      </c>
      <c r="Z107" s="763">
        <f t="shared" ca="1" si="104"/>
        <v>0</v>
      </c>
      <c r="AA107" s="763">
        <f t="shared" ca="1" si="104"/>
        <v>0</v>
      </c>
      <c r="AB107" s="763">
        <f t="shared" ca="1" si="104"/>
        <v>0</v>
      </c>
      <c r="AC107" s="763">
        <f t="shared" ca="1" si="104"/>
        <v>0</v>
      </c>
      <c r="AD107" s="763">
        <f t="shared" ca="1" si="104"/>
        <v>0</v>
      </c>
      <c r="AE107" s="763">
        <f t="shared" ca="1" si="104"/>
        <v>0</v>
      </c>
      <c r="AF107" s="763">
        <f t="shared" ca="1" si="104"/>
        <v>0</v>
      </c>
      <c r="AG107" s="763">
        <f t="shared" ca="1" si="104"/>
        <v>0</v>
      </c>
      <c r="AH107" s="763">
        <f t="shared" ca="1" si="104"/>
        <v>0</v>
      </c>
      <c r="AI107" s="763">
        <f t="shared" ca="1" si="104"/>
        <v>0</v>
      </c>
      <c r="AJ107" s="763">
        <f t="shared" ref="AJ107:BL107" ca="1" si="105">AJ69</f>
        <v>0</v>
      </c>
      <c r="AK107" s="763">
        <f t="shared" ca="1" si="105"/>
        <v>0</v>
      </c>
      <c r="AL107" s="763">
        <f t="shared" ca="1" si="105"/>
        <v>0</v>
      </c>
      <c r="AM107" s="763">
        <f t="shared" ca="1" si="105"/>
        <v>0</v>
      </c>
      <c r="AN107" s="763">
        <f t="shared" ca="1" si="105"/>
        <v>0</v>
      </c>
      <c r="AO107" s="763">
        <f t="shared" ca="1" si="105"/>
        <v>0</v>
      </c>
      <c r="AP107" s="763">
        <f t="shared" ca="1" si="105"/>
        <v>0</v>
      </c>
      <c r="AQ107" s="763">
        <f t="shared" ca="1" si="105"/>
        <v>0</v>
      </c>
      <c r="AR107" s="763">
        <f t="shared" ca="1" si="105"/>
        <v>0</v>
      </c>
      <c r="AS107" s="763">
        <f t="shared" ca="1" si="105"/>
        <v>0</v>
      </c>
      <c r="AT107" s="763">
        <f t="shared" ca="1" si="105"/>
        <v>0</v>
      </c>
      <c r="AU107" s="763">
        <f t="shared" ca="1" si="105"/>
        <v>0</v>
      </c>
      <c r="AV107" s="763">
        <f t="shared" ca="1" si="105"/>
        <v>0</v>
      </c>
      <c r="AW107" s="763">
        <f t="shared" ca="1" si="105"/>
        <v>0</v>
      </c>
      <c r="AX107" s="763">
        <f t="shared" ca="1" si="105"/>
        <v>0</v>
      </c>
      <c r="AY107" s="763">
        <f t="shared" ca="1" si="105"/>
        <v>0</v>
      </c>
      <c r="AZ107" s="763">
        <f t="shared" ca="1" si="105"/>
        <v>1959072.075432579</v>
      </c>
      <c r="BA107" s="763">
        <f t="shared" ca="1" si="105"/>
        <v>0</v>
      </c>
      <c r="BB107" s="763">
        <f t="shared" ca="1" si="105"/>
        <v>0</v>
      </c>
      <c r="BC107" s="763">
        <f t="shared" ca="1" si="105"/>
        <v>0</v>
      </c>
      <c r="BD107" s="763">
        <f t="shared" ca="1" si="105"/>
        <v>0</v>
      </c>
      <c r="BE107" s="763">
        <f t="shared" ca="1" si="105"/>
        <v>0</v>
      </c>
      <c r="BF107" s="763">
        <f t="shared" ca="1" si="105"/>
        <v>0</v>
      </c>
      <c r="BG107" s="763">
        <f t="shared" ca="1" si="105"/>
        <v>0</v>
      </c>
      <c r="BH107" s="763">
        <f t="shared" ca="1" si="105"/>
        <v>0</v>
      </c>
      <c r="BI107" s="763">
        <f t="shared" ca="1" si="105"/>
        <v>0</v>
      </c>
      <c r="BJ107" s="763">
        <f t="shared" ca="1" si="105"/>
        <v>0</v>
      </c>
      <c r="BK107" s="763">
        <f t="shared" ca="1" si="105"/>
        <v>0</v>
      </c>
      <c r="BL107" s="763">
        <f t="shared" ca="1" si="105"/>
        <v>0</v>
      </c>
    </row>
    <row r="108" spans="1:64">
      <c r="A108" s="781" t="s">
        <v>651</v>
      </c>
      <c r="B108" s="701">
        <f t="shared" ca="1" si="99"/>
        <v>2227927.519200976</v>
      </c>
      <c r="C108" s="699"/>
      <c r="D108" s="763">
        <f>D89</f>
        <v>0</v>
      </c>
      <c r="E108" s="763">
        <f t="shared" ref="E108:BL108" ca="1" si="106">E89</f>
        <v>0</v>
      </c>
      <c r="F108" s="763">
        <f t="shared" ca="1" si="106"/>
        <v>0</v>
      </c>
      <c r="G108" s="763">
        <f t="shared" ca="1" si="106"/>
        <v>0</v>
      </c>
      <c r="H108" s="763">
        <f t="shared" ca="1" si="106"/>
        <v>0</v>
      </c>
      <c r="I108" s="763">
        <f t="shared" ca="1" si="106"/>
        <v>0</v>
      </c>
      <c r="J108" s="763">
        <f t="shared" ca="1" si="106"/>
        <v>0</v>
      </c>
      <c r="K108" s="763">
        <f t="shared" ca="1" si="106"/>
        <v>0</v>
      </c>
      <c r="L108" s="763">
        <f t="shared" ca="1" si="106"/>
        <v>0</v>
      </c>
      <c r="M108" s="763">
        <f t="shared" ca="1" si="106"/>
        <v>0</v>
      </c>
      <c r="N108" s="763">
        <f t="shared" ca="1" si="106"/>
        <v>0</v>
      </c>
      <c r="O108" s="763">
        <f t="shared" ca="1" si="106"/>
        <v>0</v>
      </c>
      <c r="P108" s="763">
        <f t="shared" ca="1" si="106"/>
        <v>0</v>
      </c>
      <c r="Q108" s="763">
        <f t="shared" ca="1" si="106"/>
        <v>0</v>
      </c>
      <c r="R108" s="763">
        <f t="shared" ca="1" si="106"/>
        <v>0</v>
      </c>
      <c r="S108" s="763">
        <f t="shared" ca="1" si="106"/>
        <v>0</v>
      </c>
      <c r="T108" s="763">
        <f t="shared" ca="1" si="106"/>
        <v>0</v>
      </c>
      <c r="U108" s="763">
        <f t="shared" ca="1" si="106"/>
        <v>0</v>
      </c>
      <c r="V108" s="763">
        <f t="shared" ca="1" si="106"/>
        <v>0</v>
      </c>
      <c r="W108" s="763">
        <f t="shared" ca="1" si="106"/>
        <v>0</v>
      </c>
      <c r="X108" s="763">
        <f t="shared" ca="1" si="106"/>
        <v>0</v>
      </c>
      <c r="Y108" s="763">
        <f t="shared" ca="1" si="106"/>
        <v>0</v>
      </c>
      <c r="Z108" s="763">
        <f t="shared" ca="1" si="106"/>
        <v>0</v>
      </c>
      <c r="AA108" s="763">
        <f t="shared" ca="1" si="106"/>
        <v>0</v>
      </c>
      <c r="AB108" s="763">
        <f t="shared" ca="1" si="106"/>
        <v>0</v>
      </c>
      <c r="AC108" s="763">
        <f t="shared" ca="1" si="106"/>
        <v>0</v>
      </c>
      <c r="AD108" s="763">
        <f t="shared" ca="1" si="106"/>
        <v>0</v>
      </c>
      <c r="AE108" s="763">
        <f t="shared" ca="1" si="106"/>
        <v>0</v>
      </c>
      <c r="AF108" s="763">
        <f t="shared" ca="1" si="106"/>
        <v>0</v>
      </c>
      <c r="AG108" s="763">
        <f t="shared" ca="1" si="106"/>
        <v>0</v>
      </c>
      <c r="AH108" s="763">
        <f t="shared" ca="1" si="106"/>
        <v>0</v>
      </c>
      <c r="AI108" s="763">
        <f t="shared" ca="1" si="106"/>
        <v>0</v>
      </c>
      <c r="AJ108" s="763">
        <f t="shared" ca="1" si="106"/>
        <v>0</v>
      </c>
      <c r="AK108" s="763">
        <f t="shared" ca="1" si="106"/>
        <v>0</v>
      </c>
      <c r="AL108" s="763">
        <f t="shared" ca="1" si="106"/>
        <v>0</v>
      </c>
      <c r="AM108" s="763">
        <f t="shared" ca="1" si="106"/>
        <v>0</v>
      </c>
      <c r="AN108" s="763">
        <f t="shared" ca="1" si="106"/>
        <v>0</v>
      </c>
      <c r="AO108" s="763">
        <f t="shared" ca="1" si="106"/>
        <v>0</v>
      </c>
      <c r="AP108" s="763">
        <f t="shared" ca="1" si="106"/>
        <v>0</v>
      </c>
      <c r="AQ108" s="763">
        <f t="shared" ca="1" si="106"/>
        <v>0</v>
      </c>
      <c r="AR108" s="763">
        <f t="shared" ca="1" si="106"/>
        <v>0</v>
      </c>
      <c r="AS108" s="763">
        <f t="shared" ca="1" si="106"/>
        <v>0</v>
      </c>
      <c r="AT108" s="763">
        <f t="shared" ca="1" si="106"/>
        <v>0</v>
      </c>
      <c r="AU108" s="763">
        <f t="shared" ca="1" si="106"/>
        <v>0</v>
      </c>
      <c r="AV108" s="763">
        <f t="shared" ca="1" si="106"/>
        <v>0</v>
      </c>
      <c r="AW108" s="763">
        <f t="shared" ca="1" si="106"/>
        <v>0</v>
      </c>
      <c r="AX108" s="763">
        <f t="shared" ca="1" si="106"/>
        <v>0</v>
      </c>
      <c r="AY108" s="763">
        <f t="shared" ca="1" si="106"/>
        <v>0</v>
      </c>
      <c r="AZ108" s="763">
        <f t="shared" ca="1" si="106"/>
        <v>2227927.5191981676</v>
      </c>
      <c r="BA108" s="763">
        <f t="shared" ca="1" si="106"/>
        <v>0</v>
      </c>
      <c r="BB108" s="763">
        <f t="shared" ca="1" si="106"/>
        <v>0</v>
      </c>
      <c r="BC108" s="763">
        <f t="shared" ca="1" si="106"/>
        <v>0</v>
      </c>
      <c r="BD108" s="763">
        <f t="shared" ca="1" si="106"/>
        <v>0</v>
      </c>
      <c r="BE108" s="763">
        <f t="shared" ca="1" si="106"/>
        <v>0</v>
      </c>
      <c r="BF108" s="763">
        <f t="shared" ca="1" si="106"/>
        <v>0</v>
      </c>
      <c r="BG108" s="763">
        <f t="shared" ca="1" si="106"/>
        <v>0</v>
      </c>
      <c r="BH108" s="763">
        <f t="shared" ca="1" si="106"/>
        <v>0</v>
      </c>
      <c r="BI108" s="763">
        <f t="shared" ca="1" si="106"/>
        <v>0</v>
      </c>
      <c r="BJ108" s="763">
        <f t="shared" ca="1" si="106"/>
        <v>0</v>
      </c>
      <c r="BK108" s="763">
        <f t="shared" ca="1" si="106"/>
        <v>0</v>
      </c>
      <c r="BL108" s="763">
        <f t="shared" ca="1" si="106"/>
        <v>0</v>
      </c>
    </row>
    <row r="109" spans="1:64">
      <c r="A109" s="781" t="s">
        <v>652</v>
      </c>
      <c r="B109" s="701">
        <f t="shared" ca="1" si="99"/>
        <v>2706372.6968629877</v>
      </c>
      <c r="C109" s="699"/>
      <c r="D109" s="763">
        <f t="shared" ref="D109:BL109" ca="1" si="107">D99</f>
        <v>0</v>
      </c>
      <c r="E109" s="763">
        <f t="shared" ca="1" si="107"/>
        <v>0</v>
      </c>
      <c r="F109" s="763">
        <f t="shared" ca="1" si="107"/>
        <v>0</v>
      </c>
      <c r="G109" s="763">
        <f t="shared" ca="1" si="107"/>
        <v>0</v>
      </c>
      <c r="H109" s="763">
        <f t="shared" ca="1" si="107"/>
        <v>0</v>
      </c>
      <c r="I109" s="763">
        <f t="shared" ca="1" si="107"/>
        <v>0</v>
      </c>
      <c r="J109" s="763">
        <f t="shared" ca="1" si="107"/>
        <v>0</v>
      </c>
      <c r="K109" s="763">
        <f t="shared" ca="1" si="107"/>
        <v>0</v>
      </c>
      <c r="L109" s="763">
        <f t="shared" ca="1" si="107"/>
        <v>0</v>
      </c>
      <c r="M109" s="763">
        <f t="shared" ca="1" si="107"/>
        <v>0</v>
      </c>
      <c r="N109" s="763">
        <f t="shared" ca="1" si="107"/>
        <v>0</v>
      </c>
      <c r="O109" s="763">
        <f t="shared" ca="1" si="107"/>
        <v>0</v>
      </c>
      <c r="P109" s="763">
        <f t="shared" ca="1" si="107"/>
        <v>0</v>
      </c>
      <c r="Q109" s="763">
        <f t="shared" ca="1" si="107"/>
        <v>0</v>
      </c>
      <c r="R109" s="763">
        <f t="shared" ca="1" si="107"/>
        <v>0</v>
      </c>
      <c r="S109" s="763">
        <f t="shared" ca="1" si="107"/>
        <v>0</v>
      </c>
      <c r="T109" s="763">
        <f t="shared" ca="1" si="107"/>
        <v>0</v>
      </c>
      <c r="U109" s="763">
        <f t="shared" ca="1" si="107"/>
        <v>0</v>
      </c>
      <c r="V109" s="763">
        <f t="shared" ca="1" si="107"/>
        <v>0</v>
      </c>
      <c r="W109" s="763">
        <f t="shared" ca="1" si="107"/>
        <v>0</v>
      </c>
      <c r="X109" s="763">
        <f t="shared" ca="1" si="107"/>
        <v>0</v>
      </c>
      <c r="Y109" s="763">
        <f t="shared" ca="1" si="107"/>
        <v>0</v>
      </c>
      <c r="Z109" s="763">
        <f t="shared" ca="1" si="107"/>
        <v>0</v>
      </c>
      <c r="AA109" s="763">
        <f t="shared" ca="1" si="107"/>
        <v>0</v>
      </c>
      <c r="AB109" s="763">
        <f t="shared" ca="1" si="107"/>
        <v>0</v>
      </c>
      <c r="AC109" s="763">
        <f t="shared" ca="1" si="107"/>
        <v>0</v>
      </c>
      <c r="AD109" s="763">
        <f t="shared" ca="1" si="107"/>
        <v>0</v>
      </c>
      <c r="AE109" s="763">
        <f t="shared" ca="1" si="107"/>
        <v>0</v>
      </c>
      <c r="AF109" s="763">
        <f t="shared" ca="1" si="107"/>
        <v>0</v>
      </c>
      <c r="AG109" s="763">
        <f t="shared" ca="1" si="107"/>
        <v>0</v>
      </c>
      <c r="AH109" s="763">
        <f t="shared" ca="1" si="107"/>
        <v>0</v>
      </c>
      <c r="AI109" s="763">
        <f t="shared" ca="1" si="107"/>
        <v>0</v>
      </c>
      <c r="AJ109" s="763">
        <f t="shared" ca="1" si="107"/>
        <v>0</v>
      </c>
      <c r="AK109" s="763">
        <f t="shared" ca="1" si="107"/>
        <v>0</v>
      </c>
      <c r="AL109" s="763">
        <f t="shared" ca="1" si="107"/>
        <v>0</v>
      </c>
      <c r="AM109" s="763">
        <f t="shared" ca="1" si="107"/>
        <v>0</v>
      </c>
      <c r="AN109" s="763">
        <f t="shared" ca="1" si="107"/>
        <v>0</v>
      </c>
      <c r="AO109" s="763">
        <f t="shared" ca="1" si="107"/>
        <v>0</v>
      </c>
      <c r="AP109" s="763">
        <f t="shared" ca="1" si="107"/>
        <v>0</v>
      </c>
      <c r="AQ109" s="763">
        <f t="shared" ca="1" si="107"/>
        <v>0</v>
      </c>
      <c r="AR109" s="763">
        <f t="shared" ca="1" si="107"/>
        <v>0</v>
      </c>
      <c r="AS109" s="763">
        <f t="shared" ca="1" si="107"/>
        <v>0</v>
      </c>
      <c r="AT109" s="763">
        <f t="shared" ca="1" si="107"/>
        <v>0</v>
      </c>
      <c r="AU109" s="763">
        <f t="shared" ca="1" si="107"/>
        <v>0</v>
      </c>
      <c r="AV109" s="763">
        <f t="shared" ca="1" si="107"/>
        <v>0</v>
      </c>
      <c r="AW109" s="763">
        <f t="shared" ca="1" si="107"/>
        <v>0</v>
      </c>
      <c r="AX109" s="763">
        <f t="shared" ca="1" si="107"/>
        <v>0</v>
      </c>
      <c r="AY109" s="763">
        <f t="shared" ca="1" si="107"/>
        <v>0</v>
      </c>
      <c r="AZ109" s="763">
        <f t="shared" ca="1" si="107"/>
        <v>2706372.69686992</v>
      </c>
      <c r="BA109" s="763">
        <f t="shared" ca="1" si="107"/>
        <v>0</v>
      </c>
      <c r="BB109" s="763">
        <f t="shared" ca="1" si="107"/>
        <v>0</v>
      </c>
      <c r="BC109" s="763">
        <f t="shared" ca="1" si="107"/>
        <v>0</v>
      </c>
      <c r="BD109" s="763">
        <f t="shared" ca="1" si="107"/>
        <v>0</v>
      </c>
      <c r="BE109" s="763">
        <f t="shared" ca="1" si="107"/>
        <v>0</v>
      </c>
      <c r="BF109" s="763">
        <f t="shared" ca="1" si="107"/>
        <v>0</v>
      </c>
      <c r="BG109" s="763">
        <f t="shared" ca="1" si="107"/>
        <v>0</v>
      </c>
      <c r="BH109" s="763">
        <f t="shared" ca="1" si="107"/>
        <v>0</v>
      </c>
      <c r="BI109" s="763">
        <f t="shared" ca="1" si="107"/>
        <v>0</v>
      </c>
      <c r="BJ109" s="763">
        <f t="shared" ca="1" si="107"/>
        <v>0</v>
      </c>
      <c r="BK109" s="763">
        <f t="shared" ca="1" si="107"/>
        <v>0</v>
      </c>
      <c r="BL109" s="763">
        <f t="shared" ca="1" si="107"/>
        <v>0</v>
      </c>
    </row>
    <row r="110" spans="1:64">
      <c r="A110" s="782" t="s">
        <v>653</v>
      </c>
      <c r="B110" s="754">
        <f t="shared" ca="1" si="99"/>
        <v>11349448.278170865</v>
      </c>
      <c r="C110" s="701"/>
      <c r="D110" s="764">
        <f t="shared" ref="D110:BL110" ca="1" si="108">SUM(D105:D109)</f>
        <v>-5636325.4451417411</v>
      </c>
      <c r="E110" s="764">
        <f t="shared" ca="1" si="108"/>
        <v>-690640.25632770208</v>
      </c>
      <c r="F110" s="764">
        <f t="shared" ca="1" si="108"/>
        <v>1.7013065288734899E-8</v>
      </c>
      <c r="G110" s="764">
        <f t="shared" ca="1" si="108"/>
        <v>1.7013065288734899E-8</v>
      </c>
      <c r="H110" s="764">
        <f t="shared" ca="1" si="108"/>
        <v>1.7013065288734899E-8</v>
      </c>
      <c r="I110" s="764">
        <f t="shared" ca="1" si="108"/>
        <v>1.7013065288734899E-8</v>
      </c>
      <c r="J110" s="764">
        <f t="shared" ca="1" si="108"/>
        <v>1.7013065288734899E-8</v>
      </c>
      <c r="K110" s="764">
        <f t="shared" ca="1" si="108"/>
        <v>1.7013065288734899E-8</v>
      </c>
      <c r="L110" s="764">
        <f t="shared" ca="1" si="108"/>
        <v>1.862645149230957E-8</v>
      </c>
      <c r="M110" s="764">
        <f t="shared" ca="1" si="108"/>
        <v>0</v>
      </c>
      <c r="N110" s="764">
        <f t="shared" ca="1" si="108"/>
        <v>0</v>
      </c>
      <c r="O110" s="764">
        <f t="shared" ca="1" si="108"/>
        <v>0</v>
      </c>
      <c r="P110" s="764">
        <f t="shared" ca="1" si="108"/>
        <v>0</v>
      </c>
      <c r="Q110" s="764">
        <f t="shared" ca="1" si="108"/>
        <v>0</v>
      </c>
      <c r="R110" s="764">
        <f t="shared" ca="1" si="108"/>
        <v>132618.45355301234</v>
      </c>
      <c r="S110" s="764">
        <f t="shared" ca="1" si="108"/>
        <v>0</v>
      </c>
      <c r="T110" s="764">
        <f t="shared" ca="1" si="108"/>
        <v>0</v>
      </c>
      <c r="U110" s="764">
        <f t="shared" ca="1" si="108"/>
        <v>0</v>
      </c>
      <c r="V110" s="764">
        <f t="shared" ca="1" si="108"/>
        <v>0</v>
      </c>
      <c r="W110" s="764">
        <f t="shared" ca="1" si="108"/>
        <v>0</v>
      </c>
      <c r="X110" s="764">
        <f t="shared" ca="1" si="108"/>
        <v>0</v>
      </c>
      <c r="Y110" s="764">
        <f t="shared" ca="1" si="108"/>
        <v>0</v>
      </c>
      <c r="Z110" s="764">
        <f t="shared" ca="1" si="108"/>
        <v>0</v>
      </c>
      <c r="AA110" s="764">
        <f t="shared" ca="1" si="108"/>
        <v>0</v>
      </c>
      <c r="AB110" s="764">
        <f t="shared" ca="1" si="108"/>
        <v>0</v>
      </c>
      <c r="AC110" s="764">
        <f t="shared" ca="1" si="108"/>
        <v>7206.0192780166399</v>
      </c>
      <c r="AD110" s="764">
        <f t="shared" ca="1" si="108"/>
        <v>173151.20542949764</v>
      </c>
      <c r="AE110" s="764">
        <f t="shared" ca="1" si="108"/>
        <v>21055.977601454564</v>
      </c>
      <c r="AF110" s="764">
        <f t="shared" ca="1" si="108"/>
        <v>28724.429016846057</v>
      </c>
      <c r="AG110" s="764">
        <f t="shared" ca="1" si="108"/>
        <v>36105.018214839329</v>
      </c>
      <c r="AH110" s="764">
        <f t="shared" ca="1" si="108"/>
        <v>54059.584911029138</v>
      </c>
      <c r="AI110" s="764">
        <f t="shared" ca="1" si="108"/>
        <v>62943.149229906354</v>
      </c>
      <c r="AJ110" s="764">
        <f t="shared" ca="1" si="108"/>
        <v>68900.577069600768</v>
      </c>
      <c r="AK110" s="764">
        <f t="shared" ca="1" si="108"/>
        <v>50097.12998783902</v>
      </c>
      <c r="AL110" s="764">
        <f t="shared" ca="1" si="108"/>
        <v>50673.132813952267</v>
      </c>
      <c r="AM110" s="764">
        <f t="shared" ca="1" si="108"/>
        <v>50445.88203445547</v>
      </c>
      <c r="AN110" s="764">
        <f t="shared" ca="1" si="108"/>
        <v>58259.796017025925</v>
      </c>
      <c r="AO110" s="764">
        <f t="shared" ca="1" si="108"/>
        <v>57992.560007987566</v>
      </c>
      <c r="AP110" s="764">
        <f t="shared" ca="1" si="108"/>
        <v>60493.073835685529</v>
      </c>
      <c r="AQ110" s="764">
        <f t="shared" ca="1" si="108"/>
        <v>63197.411180517025</v>
      </c>
      <c r="AR110" s="764">
        <f t="shared" ca="1" si="108"/>
        <v>66212.636050880668</v>
      </c>
      <c r="AS110" s="764">
        <f t="shared" ca="1" si="108"/>
        <v>69882.203639765474</v>
      </c>
      <c r="AT110" s="764">
        <f t="shared" ca="1" si="108"/>
        <v>72211.523191859815</v>
      </c>
      <c r="AU110" s="764">
        <f t="shared" ca="1" si="108"/>
        <v>73919.98804997062</v>
      </c>
      <c r="AV110" s="764">
        <f t="shared" ca="1" si="108"/>
        <v>75481.453245080411</v>
      </c>
      <c r="AW110" s="764">
        <f t="shared" ca="1" si="108"/>
        <v>74781.661198060188</v>
      </c>
      <c r="AX110" s="764">
        <f t="shared" ca="1" si="108"/>
        <v>74535.993332814061</v>
      </c>
      <c r="AY110" s="764">
        <f t="shared" ca="1" si="108"/>
        <v>73577.365570450478</v>
      </c>
      <c r="AZ110" s="764">
        <f t="shared" ca="1" si="108"/>
        <v>16119887.755174469</v>
      </c>
      <c r="BA110" s="764">
        <f t="shared" ca="1" si="108"/>
        <v>0</v>
      </c>
      <c r="BB110" s="764">
        <f t="shared" ca="1" si="108"/>
        <v>0</v>
      </c>
      <c r="BC110" s="764">
        <f t="shared" ca="1" si="108"/>
        <v>0</v>
      </c>
      <c r="BD110" s="764">
        <f t="shared" ca="1" si="108"/>
        <v>0</v>
      </c>
      <c r="BE110" s="764">
        <f t="shared" ca="1" si="108"/>
        <v>0</v>
      </c>
      <c r="BF110" s="764">
        <f t="shared" ca="1" si="108"/>
        <v>0</v>
      </c>
      <c r="BG110" s="764">
        <f t="shared" ca="1" si="108"/>
        <v>0</v>
      </c>
      <c r="BH110" s="764">
        <f t="shared" ca="1" si="108"/>
        <v>0</v>
      </c>
      <c r="BI110" s="764">
        <f t="shared" ca="1" si="108"/>
        <v>0</v>
      </c>
      <c r="BJ110" s="764">
        <f t="shared" ca="1" si="108"/>
        <v>0</v>
      </c>
      <c r="BK110" s="764">
        <f t="shared" ca="1" si="108"/>
        <v>0</v>
      </c>
      <c r="BL110" s="764">
        <f t="shared" ca="1" si="108"/>
        <v>0</v>
      </c>
    </row>
    <row r="111" spans="1:64">
      <c r="A111" s="783">
        <f ca="1">(1+IRR(D110:BL110,0.01))^12-1</f>
        <v>0.30396309985854875</v>
      </c>
      <c r="B111" s="701"/>
      <c r="C111" s="701"/>
      <c r="D111" s="762"/>
      <c r="E111" s="762"/>
      <c r="F111" s="762"/>
      <c r="G111" s="762"/>
      <c r="H111" s="762"/>
      <c r="I111" s="762"/>
    </row>
    <row r="112" spans="1:64">
      <c r="A112" s="784">
        <f ca="1">SUM(D110:BL110)</f>
        <v>11349448.278165692</v>
      </c>
      <c r="B112" s="701"/>
      <c r="C112" s="701"/>
      <c r="D112" s="762"/>
      <c r="E112" s="762"/>
      <c r="F112" s="762"/>
      <c r="G112" s="762"/>
      <c r="H112" s="762"/>
      <c r="I112" s="762"/>
    </row>
    <row r="113" spans="1:64">
      <c r="A113" s="785">
        <f ca="1">SUM(I110:BL110)/-SUM(D110:H110)</f>
        <v>2.7938216854138891</v>
      </c>
      <c r="B113" s="701"/>
      <c r="C113" s="701"/>
      <c r="D113" s="762"/>
      <c r="E113" s="762"/>
      <c r="F113" s="762"/>
      <c r="G113" s="762"/>
      <c r="H113" s="762"/>
      <c r="I113" s="762"/>
    </row>
    <row r="114" spans="1:64">
      <c r="A114" s="786"/>
      <c r="B114" s="701"/>
      <c r="C114" s="701"/>
      <c r="D114" s="762"/>
      <c r="E114" s="762"/>
      <c r="F114" s="762"/>
      <c r="G114" s="762"/>
      <c r="H114" s="762"/>
      <c r="I114" s="762"/>
    </row>
    <row r="115" spans="1:64">
      <c r="A115" s="765"/>
      <c r="B115" s="701"/>
      <c r="C115" s="701"/>
      <c r="D115" s="762"/>
      <c r="E115" s="762"/>
      <c r="F115" s="762"/>
      <c r="G115" s="762"/>
      <c r="H115" s="762"/>
      <c r="I115" s="762"/>
    </row>
    <row r="116" spans="1:64">
      <c r="A116" s="759" t="s">
        <v>679</v>
      </c>
      <c r="B116" s="766"/>
      <c r="C116" s="766"/>
      <c r="D116" s="760"/>
      <c r="E116" s="760"/>
      <c r="F116" s="760"/>
      <c r="G116" s="760"/>
      <c r="H116" s="760"/>
      <c r="I116" s="760"/>
      <c r="J116" s="760"/>
      <c r="K116" s="760"/>
      <c r="L116" s="760"/>
      <c r="M116" s="760"/>
      <c r="N116" s="760"/>
      <c r="O116" s="760"/>
      <c r="P116" s="760"/>
      <c r="Q116" s="760"/>
      <c r="R116" s="760"/>
      <c r="S116" s="760"/>
      <c r="T116" s="760"/>
      <c r="U116" s="760"/>
      <c r="V116" s="760"/>
      <c r="W116" s="760"/>
      <c r="X116" s="760"/>
      <c r="Y116" s="760"/>
      <c r="Z116" s="760"/>
      <c r="AA116" s="760"/>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row>
    <row r="117" spans="1:64">
      <c r="A117" s="781" t="s">
        <v>645</v>
      </c>
      <c r="B117" s="701">
        <f t="shared" ref="B117:B130" ca="1" si="109">SUM(D117:BL117)</f>
        <v>-599999.99999998452</v>
      </c>
      <c r="C117" s="701"/>
      <c r="D117" s="763">
        <f t="shared" ref="D117:AI117" ca="1" si="110">D47</f>
        <v>-534505.07346667291</v>
      </c>
      <c r="E117" s="763">
        <f t="shared" ca="1" si="110"/>
        <v>-65494.926533327045</v>
      </c>
      <c r="F117" s="763">
        <f t="shared" ca="1" si="110"/>
        <v>1.6133862035746707E-9</v>
      </c>
      <c r="G117" s="763">
        <f t="shared" ca="1" si="110"/>
        <v>1.6133862035746707E-9</v>
      </c>
      <c r="H117" s="763">
        <f t="shared" ca="1" si="110"/>
        <v>1.6133862035746707E-9</v>
      </c>
      <c r="I117" s="763">
        <f t="shared" ca="1" si="110"/>
        <v>1.6133862035746707E-9</v>
      </c>
      <c r="J117" s="763">
        <f t="shared" ca="1" si="110"/>
        <v>1.6133862035746707E-9</v>
      </c>
      <c r="K117" s="763">
        <f t="shared" ca="1" si="110"/>
        <v>1.6133862035746707E-9</v>
      </c>
      <c r="L117" s="763">
        <f t="shared" ca="1" si="110"/>
        <v>1.6133862035746707E-9</v>
      </c>
      <c r="M117" s="763">
        <f t="shared" ca="1" si="110"/>
        <v>0</v>
      </c>
      <c r="N117" s="763">
        <f t="shared" ca="1" si="110"/>
        <v>0</v>
      </c>
      <c r="O117" s="763">
        <f t="shared" ca="1" si="110"/>
        <v>0</v>
      </c>
      <c r="P117" s="763">
        <f t="shared" ca="1" si="110"/>
        <v>0</v>
      </c>
      <c r="Q117" s="763">
        <f t="shared" ca="1" si="110"/>
        <v>0</v>
      </c>
      <c r="R117" s="763">
        <f t="shared" ca="1" si="110"/>
        <v>0</v>
      </c>
      <c r="S117" s="763">
        <f t="shared" ca="1" si="110"/>
        <v>0</v>
      </c>
      <c r="T117" s="763">
        <f t="shared" ca="1" si="110"/>
        <v>0</v>
      </c>
      <c r="U117" s="763">
        <f t="shared" ca="1" si="110"/>
        <v>0</v>
      </c>
      <c r="V117" s="763">
        <f t="shared" ca="1" si="110"/>
        <v>0</v>
      </c>
      <c r="W117" s="763">
        <f t="shared" ca="1" si="110"/>
        <v>0</v>
      </c>
      <c r="X117" s="763">
        <f t="shared" ca="1" si="110"/>
        <v>0</v>
      </c>
      <c r="Y117" s="763">
        <f t="shared" ca="1" si="110"/>
        <v>0</v>
      </c>
      <c r="Z117" s="763">
        <f t="shared" ca="1" si="110"/>
        <v>0</v>
      </c>
      <c r="AA117" s="763">
        <f t="shared" ca="1" si="110"/>
        <v>0</v>
      </c>
      <c r="AB117" s="763">
        <f t="shared" ca="1" si="110"/>
        <v>0</v>
      </c>
      <c r="AC117" s="763">
        <f t="shared" ca="1" si="110"/>
        <v>0</v>
      </c>
      <c r="AD117" s="763">
        <f t="shared" ca="1" si="110"/>
        <v>0</v>
      </c>
      <c r="AE117" s="763">
        <f t="shared" ca="1" si="110"/>
        <v>0</v>
      </c>
      <c r="AF117" s="763">
        <f t="shared" ca="1" si="110"/>
        <v>0</v>
      </c>
      <c r="AG117" s="763">
        <f t="shared" ca="1" si="110"/>
        <v>0</v>
      </c>
      <c r="AH117" s="763">
        <f t="shared" ca="1" si="110"/>
        <v>0</v>
      </c>
      <c r="AI117" s="763">
        <f t="shared" ca="1" si="110"/>
        <v>0</v>
      </c>
      <c r="AJ117" s="763">
        <f t="shared" ref="AJ117:BL117" ca="1" si="111">AJ47</f>
        <v>0</v>
      </c>
      <c r="AK117" s="763">
        <f t="shared" ca="1" si="111"/>
        <v>0</v>
      </c>
      <c r="AL117" s="763">
        <f t="shared" ca="1" si="111"/>
        <v>0</v>
      </c>
      <c r="AM117" s="763">
        <f t="shared" ca="1" si="111"/>
        <v>0</v>
      </c>
      <c r="AN117" s="763">
        <f t="shared" ca="1" si="111"/>
        <v>0</v>
      </c>
      <c r="AO117" s="763">
        <f t="shared" ca="1" si="111"/>
        <v>0</v>
      </c>
      <c r="AP117" s="763">
        <f t="shared" ca="1" si="111"/>
        <v>0</v>
      </c>
      <c r="AQ117" s="763">
        <f t="shared" ca="1" si="111"/>
        <v>0</v>
      </c>
      <c r="AR117" s="763">
        <f t="shared" ca="1" si="111"/>
        <v>0</v>
      </c>
      <c r="AS117" s="763">
        <f t="shared" ca="1" si="111"/>
        <v>0</v>
      </c>
      <c r="AT117" s="763">
        <f t="shared" ca="1" si="111"/>
        <v>0</v>
      </c>
      <c r="AU117" s="763">
        <f t="shared" ca="1" si="111"/>
        <v>0</v>
      </c>
      <c r="AV117" s="763">
        <f t="shared" ca="1" si="111"/>
        <v>0</v>
      </c>
      <c r="AW117" s="763">
        <f t="shared" ca="1" si="111"/>
        <v>0</v>
      </c>
      <c r="AX117" s="763">
        <f t="shared" ca="1" si="111"/>
        <v>0</v>
      </c>
      <c r="AY117" s="763">
        <f t="shared" ca="1" si="111"/>
        <v>0</v>
      </c>
      <c r="AZ117" s="763">
        <f t="shared" ca="1" si="111"/>
        <v>0</v>
      </c>
      <c r="BA117" s="763">
        <f t="shared" ca="1" si="111"/>
        <v>0</v>
      </c>
      <c r="BB117" s="763">
        <f t="shared" ca="1" si="111"/>
        <v>0</v>
      </c>
      <c r="BC117" s="763">
        <f t="shared" ca="1" si="111"/>
        <v>0</v>
      </c>
      <c r="BD117" s="763">
        <f t="shared" ca="1" si="111"/>
        <v>0</v>
      </c>
      <c r="BE117" s="763">
        <f t="shared" ca="1" si="111"/>
        <v>0</v>
      </c>
      <c r="BF117" s="763">
        <f t="shared" ca="1" si="111"/>
        <v>0</v>
      </c>
      <c r="BG117" s="763">
        <f t="shared" ca="1" si="111"/>
        <v>0</v>
      </c>
      <c r="BH117" s="763">
        <f t="shared" ca="1" si="111"/>
        <v>0</v>
      </c>
      <c r="BI117" s="763">
        <f t="shared" ca="1" si="111"/>
        <v>0</v>
      </c>
      <c r="BJ117" s="763">
        <f t="shared" ca="1" si="111"/>
        <v>0</v>
      </c>
      <c r="BK117" s="763">
        <f t="shared" ca="1" si="111"/>
        <v>0</v>
      </c>
      <c r="BL117" s="763">
        <f t="shared" ca="1" si="111"/>
        <v>0</v>
      </c>
    </row>
    <row r="118" spans="1:64">
      <c r="A118" s="781" t="s">
        <v>387</v>
      </c>
      <c r="B118" s="701">
        <f t="shared" si="109"/>
        <v>0</v>
      </c>
      <c r="C118" s="701"/>
      <c r="D118" s="763">
        <f>-'Monthly PF Cash Flow'!G99</f>
        <v>0</v>
      </c>
      <c r="E118" s="763">
        <f>-'Monthly PF Cash Flow'!H99</f>
        <v>0</v>
      </c>
      <c r="F118" s="763">
        <f>-'Monthly PF Cash Flow'!I99</f>
        <v>0</v>
      </c>
      <c r="G118" s="763">
        <f>-'Monthly PF Cash Flow'!J99</f>
        <v>0</v>
      </c>
      <c r="H118" s="763">
        <f>-'Monthly PF Cash Flow'!K99</f>
        <v>0</v>
      </c>
      <c r="I118" s="763">
        <f>-'Monthly PF Cash Flow'!L99</f>
        <v>0</v>
      </c>
      <c r="J118" s="763">
        <f>-'Monthly PF Cash Flow'!M99</f>
        <v>0</v>
      </c>
      <c r="K118" s="763">
        <f>-'Monthly PF Cash Flow'!N99</f>
        <v>0</v>
      </c>
      <c r="L118" s="763">
        <f>-'Monthly PF Cash Flow'!O99</f>
        <v>0</v>
      </c>
      <c r="M118" s="763">
        <f>-'Monthly PF Cash Flow'!P99</f>
        <v>0</v>
      </c>
      <c r="N118" s="763">
        <f>-'Monthly PF Cash Flow'!Q99</f>
        <v>0</v>
      </c>
      <c r="O118" s="763">
        <f>-'Monthly PF Cash Flow'!R99</f>
        <v>0</v>
      </c>
      <c r="P118" s="763">
        <f>-'Monthly PF Cash Flow'!S99</f>
        <v>0</v>
      </c>
      <c r="Q118" s="763">
        <f>-'Monthly PF Cash Flow'!T99</f>
        <v>0</v>
      </c>
      <c r="R118" s="763">
        <f>-'Monthly PF Cash Flow'!U99</f>
        <v>0</v>
      </c>
      <c r="S118" s="763">
        <f>-'Monthly PF Cash Flow'!V99</f>
        <v>0</v>
      </c>
      <c r="T118" s="763">
        <f>-'Monthly PF Cash Flow'!W99</f>
        <v>0</v>
      </c>
      <c r="U118" s="763">
        <f>-'Monthly PF Cash Flow'!X99</f>
        <v>0</v>
      </c>
      <c r="V118" s="763">
        <f>-'Monthly PF Cash Flow'!Y99</f>
        <v>0</v>
      </c>
      <c r="W118" s="763">
        <f>-'Monthly PF Cash Flow'!Z99</f>
        <v>0</v>
      </c>
      <c r="X118" s="763">
        <f>-'Monthly PF Cash Flow'!AA99</f>
        <v>0</v>
      </c>
      <c r="Y118" s="763">
        <f>-'Monthly PF Cash Flow'!AB99</f>
        <v>0</v>
      </c>
      <c r="Z118" s="763">
        <f>-'Monthly PF Cash Flow'!AC99</f>
        <v>0</v>
      </c>
      <c r="AA118" s="763">
        <f>-'Monthly PF Cash Flow'!AD99</f>
        <v>0</v>
      </c>
      <c r="AB118" s="763">
        <f>-'Monthly PF Cash Flow'!AE99</f>
        <v>0</v>
      </c>
      <c r="AC118" s="763">
        <f>-'Monthly PF Cash Flow'!AF99</f>
        <v>0</v>
      </c>
      <c r="AD118" s="763">
        <f>-'Monthly PF Cash Flow'!AG99</f>
        <v>0</v>
      </c>
      <c r="AE118" s="763">
        <f>-'Monthly PF Cash Flow'!AH99</f>
        <v>0</v>
      </c>
      <c r="AF118" s="763">
        <f>-'Monthly PF Cash Flow'!AI99</f>
        <v>0</v>
      </c>
      <c r="AG118" s="763">
        <f>-'Monthly PF Cash Flow'!AJ99</f>
        <v>0</v>
      </c>
      <c r="AH118" s="763">
        <f>-'Monthly PF Cash Flow'!AK99</f>
        <v>0</v>
      </c>
      <c r="AI118" s="763">
        <f>-'Monthly PF Cash Flow'!AL99</f>
        <v>0</v>
      </c>
      <c r="AJ118" s="763">
        <f>-'Monthly PF Cash Flow'!AM99</f>
        <v>0</v>
      </c>
      <c r="AK118" s="763">
        <f>-'Monthly PF Cash Flow'!AN99</f>
        <v>0</v>
      </c>
      <c r="AL118" s="763">
        <f>-'Monthly PF Cash Flow'!AO99</f>
        <v>0</v>
      </c>
      <c r="AM118" s="763">
        <f>-'Monthly PF Cash Flow'!AP99</f>
        <v>0</v>
      </c>
      <c r="AN118" s="763">
        <f>-'Monthly PF Cash Flow'!AQ99</f>
        <v>0</v>
      </c>
      <c r="AO118" s="763">
        <f>-'Monthly PF Cash Flow'!AR99</f>
        <v>0</v>
      </c>
      <c r="AP118" s="763">
        <f>-'Monthly PF Cash Flow'!AS99</f>
        <v>0</v>
      </c>
      <c r="AQ118" s="763">
        <f>-'Monthly PF Cash Flow'!AT99</f>
        <v>0</v>
      </c>
      <c r="AR118" s="763">
        <f>-'Monthly PF Cash Flow'!AU99</f>
        <v>0</v>
      </c>
      <c r="AS118" s="763">
        <f>-'Monthly PF Cash Flow'!AV99</f>
        <v>0</v>
      </c>
      <c r="AT118" s="763">
        <f>-'Monthly PF Cash Flow'!AW99</f>
        <v>0</v>
      </c>
      <c r="AU118" s="763">
        <f>-'Monthly PF Cash Flow'!AX99</f>
        <v>0</v>
      </c>
      <c r="AV118" s="763">
        <f>-'Monthly PF Cash Flow'!AY99</f>
        <v>0</v>
      </c>
      <c r="AW118" s="763">
        <f>-'Monthly PF Cash Flow'!AZ99</f>
        <v>0</v>
      </c>
      <c r="AX118" s="763">
        <f>-'Monthly PF Cash Flow'!BA99</f>
        <v>0</v>
      </c>
      <c r="AY118" s="763">
        <f>-'Monthly PF Cash Flow'!BB99</f>
        <v>0</v>
      </c>
      <c r="AZ118" s="763">
        <f>-'Monthly PF Cash Flow'!BC99</f>
        <v>0</v>
      </c>
      <c r="BA118" s="763">
        <f>-'Monthly PF Cash Flow'!BD99</f>
        <v>0</v>
      </c>
      <c r="BB118" s="763">
        <f>-'Monthly PF Cash Flow'!BE99</f>
        <v>0</v>
      </c>
      <c r="BC118" s="763">
        <f>-'Monthly PF Cash Flow'!BF99</f>
        <v>0</v>
      </c>
      <c r="BD118" s="763">
        <f>-'Monthly PF Cash Flow'!BG99</f>
        <v>0</v>
      </c>
      <c r="BE118" s="763">
        <f>-'Monthly PF Cash Flow'!BH99</f>
        <v>0</v>
      </c>
      <c r="BF118" s="763">
        <f>-'Monthly PF Cash Flow'!BI99</f>
        <v>0</v>
      </c>
      <c r="BG118" s="763">
        <f>-'Monthly PF Cash Flow'!BJ99</f>
        <v>0</v>
      </c>
      <c r="BH118" s="763">
        <f>-'Monthly PF Cash Flow'!BK99</f>
        <v>0</v>
      </c>
      <c r="BI118" s="763">
        <f>-'Monthly PF Cash Flow'!BL99</f>
        <v>0</v>
      </c>
      <c r="BJ118" s="763">
        <f>-'Monthly PF Cash Flow'!BM99</f>
        <v>0</v>
      </c>
      <c r="BK118" s="763">
        <f>-'Monthly PF Cash Flow'!BN99</f>
        <v>0</v>
      </c>
      <c r="BL118" s="763">
        <f>-'Monthly PF Cash Flow'!BO99</f>
        <v>0</v>
      </c>
    </row>
    <row r="119" spans="1:64">
      <c r="A119" s="781" t="s">
        <v>701</v>
      </c>
      <c r="B119" s="701">
        <f t="shared" si="109"/>
        <v>728000</v>
      </c>
      <c r="C119" s="701"/>
      <c r="D119" s="763">
        <v>0</v>
      </c>
      <c r="E119" s="763">
        <f>'Sources &amp; Uses'!D28</f>
        <v>728000</v>
      </c>
      <c r="F119" s="763">
        <v>0</v>
      </c>
      <c r="G119" s="763">
        <v>0</v>
      </c>
      <c r="H119" s="763">
        <v>0</v>
      </c>
      <c r="I119" s="763">
        <v>0</v>
      </c>
      <c r="J119" s="763">
        <v>0</v>
      </c>
      <c r="K119" s="763">
        <v>0</v>
      </c>
      <c r="L119" s="763">
        <v>0</v>
      </c>
      <c r="M119" s="763">
        <v>0</v>
      </c>
      <c r="N119" s="763">
        <v>0</v>
      </c>
      <c r="O119" s="763">
        <v>0</v>
      </c>
      <c r="P119" s="763">
        <v>0</v>
      </c>
      <c r="Q119" s="763">
        <v>0</v>
      </c>
      <c r="R119" s="763">
        <v>0</v>
      </c>
      <c r="S119" s="763">
        <v>0</v>
      </c>
      <c r="T119" s="763">
        <v>0</v>
      </c>
      <c r="U119" s="763">
        <v>0</v>
      </c>
      <c r="V119" s="763">
        <v>0</v>
      </c>
      <c r="W119" s="763">
        <v>0</v>
      </c>
      <c r="X119" s="763">
        <v>0</v>
      </c>
      <c r="Y119" s="763">
        <v>0</v>
      </c>
      <c r="Z119" s="763">
        <v>0</v>
      </c>
      <c r="AA119" s="763">
        <v>0</v>
      </c>
      <c r="AB119" s="763">
        <v>0</v>
      </c>
      <c r="AC119" s="763">
        <v>0</v>
      </c>
      <c r="AD119" s="763">
        <v>0</v>
      </c>
      <c r="AE119" s="763">
        <v>0</v>
      </c>
      <c r="AF119" s="763">
        <v>0</v>
      </c>
      <c r="AG119" s="763">
        <v>0</v>
      </c>
      <c r="AH119" s="763">
        <v>0</v>
      </c>
      <c r="AI119" s="763">
        <v>0</v>
      </c>
      <c r="AJ119" s="763">
        <v>0</v>
      </c>
      <c r="AK119" s="763">
        <v>0</v>
      </c>
      <c r="AL119" s="763">
        <v>0</v>
      </c>
      <c r="AM119" s="763">
        <v>0</v>
      </c>
      <c r="AN119" s="763">
        <v>0</v>
      </c>
      <c r="AO119" s="763">
        <v>0</v>
      </c>
      <c r="AP119" s="763">
        <v>0</v>
      </c>
      <c r="AQ119" s="763">
        <v>0</v>
      </c>
      <c r="AR119" s="763">
        <v>0</v>
      </c>
      <c r="AS119" s="763">
        <v>0</v>
      </c>
      <c r="AT119" s="763">
        <v>0</v>
      </c>
      <c r="AU119" s="763">
        <v>0</v>
      </c>
      <c r="AV119" s="763">
        <v>0</v>
      </c>
      <c r="AW119" s="763">
        <v>0</v>
      </c>
      <c r="AX119" s="763">
        <v>0</v>
      </c>
      <c r="AY119" s="763">
        <v>0</v>
      </c>
      <c r="AZ119" s="763">
        <v>0</v>
      </c>
      <c r="BA119" s="763">
        <v>0</v>
      </c>
      <c r="BB119" s="763">
        <v>0</v>
      </c>
      <c r="BC119" s="763">
        <v>0</v>
      </c>
      <c r="BD119" s="763">
        <v>0</v>
      </c>
      <c r="BE119" s="763">
        <v>0</v>
      </c>
      <c r="BF119" s="763">
        <v>0</v>
      </c>
      <c r="BG119" s="763">
        <v>0</v>
      </c>
      <c r="BH119" s="763">
        <v>0</v>
      </c>
      <c r="BI119" s="763">
        <v>0</v>
      </c>
      <c r="BJ119" s="763">
        <v>0</v>
      </c>
      <c r="BK119" s="763">
        <v>0</v>
      </c>
      <c r="BL119" s="763">
        <v>0</v>
      </c>
    </row>
    <row r="120" spans="1:64">
      <c r="A120" s="781" t="s">
        <v>688</v>
      </c>
      <c r="B120" s="701">
        <f t="shared" si="109"/>
        <v>2400000</v>
      </c>
      <c r="C120" s="701"/>
      <c r="D120" s="763">
        <f>D58+D77</f>
        <v>0</v>
      </c>
      <c r="E120" s="763">
        <f t="shared" ref="E120:BL120" si="112">E58+E77</f>
        <v>0</v>
      </c>
      <c r="F120" s="763">
        <f t="shared" si="112"/>
        <v>0</v>
      </c>
      <c r="G120" s="763">
        <f t="shared" si="112"/>
        <v>0</v>
      </c>
      <c r="H120" s="763">
        <f t="shared" si="112"/>
        <v>0</v>
      </c>
      <c r="I120" s="763">
        <f t="shared" si="112"/>
        <v>0</v>
      </c>
      <c r="J120" s="763">
        <f t="shared" si="112"/>
        <v>0</v>
      </c>
      <c r="K120" s="763">
        <f t="shared" si="112"/>
        <v>0</v>
      </c>
      <c r="L120" s="763">
        <f t="shared" si="112"/>
        <v>0</v>
      </c>
      <c r="M120" s="763">
        <f t="shared" si="112"/>
        <v>0</v>
      </c>
      <c r="N120" s="763">
        <f t="shared" si="112"/>
        <v>0</v>
      </c>
      <c r="O120" s="763">
        <f t="shared" si="112"/>
        <v>0</v>
      </c>
      <c r="P120" s="763">
        <f t="shared" si="112"/>
        <v>0</v>
      </c>
      <c r="Q120" s="763">
        <f t="shared" si="112"/>
        <v>0</v>
      </c>
      <c r="R120" s="763">
        <f t="shared" si="112"/>
        <v>0</v>
      </c>
      <c r="S120" s="763">
        <f t="shared" si="112"/>
        <v>0</v>
      </c>
      <c r="T120" s="763">
        <f t="shared" si="112"/>
        <v>0</v>
      </c>
      <c r="U120" s="763">
        <f t="shared" si="112"/>
        <v>0</v>
      </c>
      <c r="V120" s="763">
        <f t="shared" si="112"/>
        <v>0</v>
      </c>
      <c r="W120" s="763">
        <f t="shared" si="112"/>
        <v>0</v>
      </c>
      <c r="X120" s="763">
        <f t="shared" si="112"/>
        <v>0</v>
      </c>
      <c r="Y120" s="763">
        <f t="shared" si="112"/>
        <v>0</v>
      </c>
      <c r="Z120" s="763">
        <f t="shared" si="112"/>
        <v>0</v>
      </c>
      <c r="AA120" s="763">
        <f t="shared" si="112"/>
        <v>0</v>
      </c>
      <c r="AB120" s="763">
        <f t="shared" si="112"/>
        <v>0</v>
      </c>
      <c r="AC120" s="763">
        <f t="shared" si="112"/>
        <v>0</v>
      </c>
      <c r="AD120" s="763">
        <f t="shared" si="112"/>
        <v>0</v>
      </c>
      <c r="AE120" s="763">
        <f t="shared" si="112"/>
        <v>0</v>
      </c>
      <c r="AF120" s="763">
        <f t="shared" si="112"/>
        <v>0</v>
      </c>
      <c r="AG120" s="763">
        <f t="shared" si="112"/>
        <v>0</v>
      </c>
      <c r="AH120" s="763">
        <f t="shared" si="112"/>
        <v>0</v>
      </c>
      <c r="AI120" s="763">
        <f t="shared" si="112"/>
        <v>0</v>
      </c>
      <c r="AJ120" s="763">
        <f t="shared" si="112"/>
        <v>0</v>
      </c>
      <c r="AK120" s="763">
        <f t="shared" si="112"/>
        <v>0</v>
      </c>
      <c r="AL120" s="763">
        <f t="shared" si="112"/>
        <v>0</v>
      </c>
      <c r="AM120" s="763">
        <f t="shared" si="112"/>
        <v>0</v>
      </c>
      <c r="AN120" s="763">
        <f t="shared" si="112"/>
        <v>0</v>
      </c>
      <c r="AO120" s="763">
        <f t="shared" si="112"/>
        <v>0</v>
      </c>
      <c r="AP120" s="763">
        <f t="shared" si="112"/>
        <v>0</v>
      </c>
      <c r="AQ120" s="763">
        <f t="shared" si="112"/>
        <v>0</v>
      </c>
      <c r="AR120" s="763">
        <f t="shared" si="112"/>
        <v>0</v>
      </c>
      <c r="AS120" s="763">
        <f t="shared" si="112"/>
        <v>0</v>
      </c>
      <c r="AT120" s="763">
        <f t="shared" si="112"/>
        <v>0</v>
      </c>
      <c r="AU120" s="763">
        <f t="shared" si="112"/>
        <v>0</v>
      </c>
      <c r="AV120" s="763">
        <f t="shared" si="112"/>
        <v>0</v>
      </c>
      <c r="AW120" s="763">
        <f t="shared" si="112"/>
        <v>0</v>
      </c>
      <c r="AX120" s="763">
        <f t="shared" si="112"/>
        <v>0</v>
      </c>
      <c r="AY120" s="763">
        <f t="shared" si="112"/>
        <v>0</v>
      </c>
      <c r="AZ120" s="763">
        <f t="shared" si="112"/>
        <v>2400000</v>
      </c>
      <c r="BA120" s="763">
        <f t="shared" si="112"/>
        <v>0</v>
      </c>
      <c r="BB120" s="763">
        <f t="shared" si="112"/>
        <v>0</v>
      </c>
      <c r="BC120" s="763">
        <f t="shared" si="112"/>
        <v>0</v>
      </c>
      <c r="BD120" s="763">
        <f t="shared" si="112"/>
        <v>0</v>
      </c>
      <c r="BE120" s="763">
        <f t="shared" si="112"/>
        <v>0</v>
      </c>
      <c r="BF120" s="763">
        <f t="shared" si="112"/>
        <v>0</v>
      </c>
      <c r="BG120" s="763">
        <f t="shared" si="112"/>
        <v>0</v>
      </c>
      <c r="BH120" s="763">
        <f t="shared" si="112"/>
        <v>0</v>
      </c>
      <c r="BI120" s="763">
        <f t="shared" si="112"/>
        <v>0</v>
      </c>
      <c r="BJ120" s="763">
        <f t="shared" si="112"/>
        <v>0</v>
      </c>
      <c r="BK120" s="763">
        <f t="shared" si="112"/>
        <v>0</v>
      </c>
      <c r="BL120" s="763">
        <f t="shared" si="112"/>
        <v>0</v>
      </c>
    </row>
    <row r="121" spans="1:64">
      <c r="A121" s="781" t="s">
        <v>364</v>
      </c>
      <c r="B121" s="701">
        <f t="shared" ca="1" si="109"/>
        <v>316555.98990457272</v>
      </c>
      <c r="C121" s="701"/>
      <c r="D121" s="763">
        <f>'Monthly PF Cash Flow'!G88</f>
        <v>0</v>
      </c>
      <c r="E121" s="763">
        <f>'Monthly PF Cash Flow'!H88</f>
        <v>0</v>
      </c>
      <c r="F121" s="763">
        <f>'Monthly PF Cash Flow'!I88</f>
        <v>0</v>
      </c>
      <c r="G121" s="763">
        <f>'Monthly PF Cash Flow'!J88</f>
        <v>0</v>
      </c>
      <c r="H121" s="763">
        <f>'Monthly PF Cash Flow'!K88</f>
        <v>0</v>
      </c>
      <c r="I121" s="763">
        <f>'Monthly PF Cash Flow'!L88</f>
        <v>0</v>
      </c>
      <c r="J121" s="763">
        <f>'Monthly PF Cash Flow'!M88</f>
        <v>0</v>
      </c>
      <c r="K121" s="763">
        <f>'Monthly PF Cash Flow'!N88</f>
        <v>0</v>
      </c>
      <c r="L121" s="763">
        <f>'Monthly PF Cash Flow'!O88</f>
        <v>0</v>
      </c>
      <c r="M121" s="763">
        <f>'Monthly PF Cash Flow'!P88</f>
        <v>0</v>
      </c>
      <c r="N121" s="763">
        <f>'Monthly PF Cash Flow'!Q88</f>
        <v>0</v>
      </c>
      <c r="O121" s="763">
        <f>'Monthly PF Cash Flow'!R88</f>
        <v>0</v>
      </c>
      <c r="P121" s="763">
        <f>'Monthly PF Cash Flow'!S88</f>
        <v>0</v>
      </c>
      <c r="Q121" s="763">
        <f>'Monthly PF Cash Flow'!T88</f>
        <v>0</v>
      </c>
      <c r="R121" s="763">
        <f>'Monthly PF Cash Flow'!U88</f>
        <v>0</v>
      </c>
      <c r="S121" s="763">
        <f ca="1">'Monthly PF Cash Flow'!V88</f>
        <v>9592.605754684022</v>
      </c>
      <c r="T121" s="763">
        <f ca="1">'Monthly PF Cash Flow'!W88</f>
        <v>9592.605754684022</v>
      </c>
      <c r="U121" s="763">
        <f ca="1">'Monthly PF Cash Flow'!X88</f>
        <v>9592.605754684022</v>
      </c>
      <c r="V121" s="763">
        <f ca="1">'Monthly PF Cash Flow'!Y88</f>
        <v>9592.605754684022</v>
      </c>
      <c r="W121" s="763">
        <f ca="1">'Monthly PF Cash Flow'!Z88</f>
        <v>9592.605754684022</v>
      </c>
      <c r="X121" s="763">
        <f ca="1">'Monthly PF Cash Flow'!AA88</f>
        <v>9592.605754684022</v>
      </c>
      <c r="Y121" s="763">
        <f ca="1">'Monthly PF Cash Flow'!AB88</f>
        <v>9592.605754684022</v>
      </c>
      <c r="Z121" s="763">
        <f ca="1">'Monthly PF Cash Flow'!AC88</f>
        <v>9592.605754684022</v>
      </c>
      <c r="AA121" s="763">
        <f ca="1">'Monthly PF Cash Flow'!AD88</f>
        <v>9592.605754684022</v>
      </c>
      <c r="AB121" s="763">
        <f ca="1">'Monthly PF Cash Flow'!AE88</f>
        <v>9592.605754684022</v>
      </c>
      <c r="AC121" s="763">
        <f ca="1">'Monthly PF Cash Flow'!AF88</f>
        <v>9592.605754684022</v>
      </c>
      <c r="AD121" s="763">
        <f ca="1">'Monthly PF Cash Flow'!AG88</f>
        <v>9592.605754684022</v>
      </c>
      <c r="AE121" s="763">
        <f ca="1">'Monthly PF Cash Flow'!AH88</f>
        <v>9592.605754684022</v>
      </c>
      <c r="AF121" s="763">
        <f ca="1">'Monthly PF Cash Flow'!AI88</f>
        <v>9592.605754684022</v>
      </c>
      <c r="AG121" s="763">
        <f ca="1">'Monthly PF Cash Flow'!AJ88</f>
        <v>9592.605754684022</v>
      </c>
      <c r="AH121" s="763">
        <f ca="1">'Monthly PF Cash Flow'!AK88</f>
        <v>9592.605754684022</v>
      </c>
      <c r="AI121" s="763">
        <f ca="1">'Monthly PF Cash Flow'!AL88</f>
        <v>9592.605754684022</v>
      </c>
      <c r="AJ121" s="763">
        <f ca="1">'Monthly PF Cash Flow'!AM88</f>
        <v>9592.605754684022</v>
      </c>
      <c r="AK121" s="763">
        <f ca="1">'Monthly PF Cash Flow'!AN88</f>
        <v>9592.605754684022</v>
      </c>
      <c r="AL121" s="763">
        <f ca="1">'Monthly PF Cash Flow'!AO88</f>
        <v>9592.605754684022</v>
      </c>
      <c r="AM121" s="763">
        <f ca="1">'Monthly PF Cash Flow'!AP88</f>
        <v>9592.605754684022</v>
      </c>
      <c r="AN121" s="763">
        <f ca="1">'Monthly PF Cash Flow'!AQ88</f>
        <v>9592.605754684022</v>
      </c>
      <c r="AO121" s="763">
        <f ca="1">'Monthly PF Cash Flow'!AR88</f>
        <v>9592.605754684022</v>
      </c>
      <c r="AP121" s="763">
        <f ca="1">'Monthly PF Cash Flow'!AS88</f>
        <v>9592.605754684022</v>
      </c>
      <c r="AQ121" s="763">
        <f ca="1">'Monthly PF Cash Flow'!AT88</f>
        <v>9592.605754684022</v>
      </c>
      <c r="AR121" s="763">
        <f ca="1">'Monthly PF Cash Flow'!AU88</f>
        <v>9592.605754684022</v>
      </c>
      <c r="AS121" s="763">
        <f ca="1">'Monthly PF Cash Flow'!AV88</f>
        <v>9592.605754684022</v>
      </c>
      <c r="AT121" s="763">
        <f ca="1">'Monthly PF Cash Flow'!AW88</f>
        <v>9592.605754684022</v>
      </c>
      <c r="AU121" s="763">
        <f ca="1">'Monthly PF Cash Flow'!AX88</f>
        <v>9592.605754684022</v>
      </c>
      <c r="AV121" s="763">
        <f ca="1">'Monthly PF Cash Flow'!AY88</f>
        <v>9592.605754684022</v>
      </c>
      <c r="AW121" s="763">
        <f ca="1">'Monthly PF Cash Flow'!AZ88</f>
        <v>9592.605754684022</v>
      </c>
      <c r="AX121" s="763">
        <f ca="1">'Monthly PF Cash Flow'!BA88</f>
        <v>9592.605754684022</v>
      </c>
      <c r="AY121" s="763">
        <f ca="1">'Monthly PF Cash Flow'!BB88</f>
        <v>9592.605754684022</v>
      </c>
      <c r="AZ121" s="763">
        <f>'Monthly PF Cash Flow'!BC88</f>
        <v>0</v>
      </c>
      <c r="BA121" s="763">
        <f>'Monthly PF Cash Flow'!BD88</f>
        <v>0</v>
      </c>
      <c r="BB121" s="763">
        <f>'Monthly PF Cash Flow'!BE88</f>
        <v>0</v>
      </c>
      <c r="BC121" s="763">
        <f>'Monthly PF Cash Flow'!BF88</f>
        <v>0</v>
      </c>
      <c r="BD121" s="763">
        <f>'Monthly PF Cash Flow'!BG88</f>
        <v>0</v>
      </c>
      <c r="BE121" s="763">
        <f>'Monthly PF Cash Flow'!BH88</f>
        <v>0</v>
      </c>
      <c r="BF121" s="763">
        <f>'Monthly PF Cash Flow'!BI88</f>
        <v>0</v>
      </c>
      <c r="BG121" s="763">
        <f>'Monthly PF Cash Flow'!BJ88</f>
        <v>0</v>
      </c>
      <c r="BH121" s="763">
        <f>'Monthly PF Cash Flow'!BK88</f>
        <v>0</v>
      </c>
      <c r="BI121" s="763">
        <f>'Monthly PF Cash Flow'!BL88</f>
        <v>0</v>
      </c>
      <c r="BJ121" s="763">
        <f>'Monthly PF Cash Flow'!BM88</f>
        <v>0</v>
      </c>
      <c r="BK121" s="763">
        <f>'Monthly PF Cash Flow'!BN88</f>
        <v>0</v>
      </c>
      <c r="BL121" s="763">
        <f>'Monthly PF Cash Flow'!BO88</f>
        <v>0</v>
      </c>
    </row>
    <row r="122" spans="1:64">
      <c r="A122" s="781" t="s">
        <v>700</v>
      </c>
      <c r="B122" s="701">
        <f t="shared" ca="1" si="109"/>
        <v>613037.14236421022</v>
      </c>
      <c r="C122" s="701"/>
      <c r="D122" s="763">
        <f>'Monthly PF Cash Flow'!G113</f>
        <v>0</v>
      </c>
      <c r="E122" s="763">
        <f ca="1">'Monthly PF Cash Flow'!H113</f>
        <v>43788.367311729235</v>
      </c>
      <c r="F122" s="763">
        <f ca="1">'Monthly PF Cash Flow'!I113</f>
        <v>43788.367311729235</v>
      </c>
      <c r="G122" s="763">
        <f ca="1">'Monthly PF Cash Flow'!J113</f>
        <v>43788.367311729235</v>
      </c>
      <c r="H122" s="763">
        <f ca="1">'Monthly PF Cash Flow'!K113</f>
        <v>43788.367311729235</v>
      </c>
      <c r="I122" s="763">
        <f ca="1">'Monthly PF Cash Flow'!L113</f>
        <v>43788.367311729235</v>
      </c>
      <c r="J122" s="763">
        <f ca="1">'Monthly PF Cash Flow'!M113</f>
        <v>43788.367311729235</v>
      </c>
      <c r="K122" s="763">
        <f ca="1">'Monthly PF Cash Flow'!N113</f>
        <v>43788.367311729235</v>
      </c>
      <c r="L122" s="763">
        <f ca="1">'Monthly PF Cash Flow'!O113</f>
        <v>43788.367311729235</v>
      </c>
      <c r="M122" s="763">
        <f ca="1">'Monthly PF Cash Flow'!P113</f>
        <v>43788.367311729235</v>
      </c>
      <c r="N122" s="763">
        <f ca="1">'Monthly PF Cash Flow'!Q113</f>
        <v>43788.367311729235</v>
      </c>
      <c r="O122" s="763">
        <f ca="1">'Monthly PF Cash Flow'!R113</f>
        <v>43788.367311729235</v>
      </c>
      <c r="P122" s="763">
        <f ca="1">'Monthly PF Cash Flow'!S113</f>
        <v>43788.367311729235</v>
      </c>
      <c r="Q122" s="763">
        <f ca="1">'Monthly PF Cash Flow'!T113</f>
        <v>43788.367311729235</v>
      </c>
      <c r="R122" s="763">
        <f ca="1">'Monthly PF Cash Flow'!U113</f>
        <v>43788.367311729235</v>
      </c>
      <c r="S122" s="763">
        <f>'Monthly PF Cash Flow'!V113</f>
        <v>0</v>
      </c>
      <c r="T122" s="763">
        <f>'Monthly PF Cash Flow'!W113</f>
        <v>0</v>
      </c>
      <c r="U122" s="763">
        <f>'Monthly PF Cash Flow'!X113</f>
        <v>0</v>
      </c>
      <c r="V122" s="763">
        <f>'Monthly PF Cash Flow'!Y113</f>
        <v>0</v>
      </c>
      <c r="W122" s="763">
        <f>'Monthly PF Cash Flow'!Z113</f>
        <v>0</v>
      </c>
      <c r="X122" s="763">
        <f>'Monthly PF Cash Flow'!AA113</f>
        <v>0</v>
      </c>
      <c r="Y122" s="763">
        <f>'Monthly PF Cash Flow'!AB113</f>
        <v>0</v>
      </c>
      <c r="Z122" s="763">
        <f>'Monthly PF Cash Flow'!AC113</f>
        <v>0</v>
      </c>
      <c r="AA122" s="763">
        <f>'Monthly PF Cash Flow'!AD113</f>
        <v>0</v>
      </c>
      <c r="AB122" s="763">
        <f>'Monthly PF Cash Flow'!AE113</f>
        <v>0</v>
      </c>
      <c r="AC122" s="763">
        <f>'Monthly PF Cash Flow'!AF113</f>
        <v>0</v>
      </c>
      <c r="AD122" s="763">
        <f>'Monthly PF Cash Flow'!AG113</f>
        <v>0</v>
      </c>
      <c r="AE122" s="763">
        <f>'Monthly PF Cash Flow'!AH113</f>
        <v>0</v>
      </c>
      <c r="AF122" s="763">
        <f>'Monthly PF Cash Flow'!AI113</f>
        <v>0</v>
      </c>
      <c r="AG122" s="763">
        <f>'Monthly PF Cash Flow'!AJ113</f>
        <v>0</v>
      </c>
      <c r="AH122" s="763">
        <f>'Monthly PF Cash Flow'!AK113</f>
        <v>0</v>
      </c>
      <c r="AI122" s="763">
        <f>'Monthly PF Cash Flow'!AL113</f>
        <v>0</v>
      </c>
      <c r="AJ122" s="763">
        <f>'Monthly PF Cash Flow'!AM113</f>
        <v>0</v>
      </c>
      <c r="AK122" s="763">
        <f>'Monthly PF Cash Flow'!AN113</f>
        <v>0</v>
      </c>
      <c r="AL122" s="763">
        <f>'Monthly PF Cash Flow'!AO113</f>
        <v>0</v>
      </c>
      <c r="AM122" s="763">
        <f>'Monthly PF Cash Flow'!AP113</f>
        <v>0</v>
      </c>
      <c r="AN122" s="763">
        <f>'Monthly PF Cash Flow'!AQ113</f>
        <v>0</v>
      </c>
      <c r="AO122" s="763">
        <f>'Monthly PF Cash Flow'!AR113</f>
        <v>0</v>
      </c>
      <c r="AP122" s="763">
        <f>'Monthly PF Cash Flow'!AS113</f>
        <v>0</v>
      </c>
      <c r="AQ122" s="763">
        <f>'Monthly PF Cash Flow'!AT113</f>
        <v>0</v>
      </c>
      <c r="AR122" s="763">
        <f>'Monthly PF Cash Flow'!AU113</f>
        <v>0</v>
      </c>
      <c r="AS122" s="763">
        <f>'Monthly PF Cash Flow'!AV113</f>
        <v>0</v>
      </c>
      <c r="AT122" s="763">
        <f>'Monthly PF Cash Flow'!AW113</f>
        <v>0</v>
      </c>
      <c r="AU122" s="763">
        <f>'Monthly PF Cash Flow'!AX113</f>
        <v>0</v>
      </c>
      <c r="AV122" s="763">
        <f>'Monthly PF Cash Flow'!AY113</f>
        <v>0</v>
      </c>
      <c r="AW122" s="763">
        <f>'Monthly PF Cash Flow'!AZ113</f>
        <v>0</v>
      </c>
      <c r="AX122" s="763">
        <f>'Monthly PF Cash Flow'!BA113</f>
        <v>0</v>
      </c>
      <c r="AY122" s="763">
        <f>'Monthly PF Cash Flow'!BB113</f>
        <v>0</v>
      </c>
      <c r="AZ122" s="763">
        <f>'Monthly PF Cash Flow'!BC113</f>
        <v>0</v>
      </c>
      <c r="BA122" s="763">
        <f>'Monthly PF Cash Flow'!BD113</f>
        <v>0</v>
      </c>
      <c r="BB122" s="763">
        <f>'Monthly PF Cash Flow'!BE113</f>
        <v>0</v>
      </c>
      <c r="BC122" s="763">
        <f>'Monthly PF Cash Flow'!BF113</f>
        <v>0</v>
      </c>
      <c r="BD122" s="763">
        <f>'Monthly PF Cash Flow'!BG113</f>
        <v>0</v>
      </c>
      <c r="BE122" s="763">
        <f>'Monthly PF Cash Flow'!BH113</f>
        <v>0</v>
      </c>
      <c r="BF122" s="763">
        <f>'Monthly PF Cash Flow'!BI113</f>
        <v>0</v>
      </c>
      <c r="BG122" s="763">
        <f>'Monthly PF Cash Flow'!BJ113</f>
        <v>0</v>
      </c>
      <c r="BH122" s="763">
        <f>'Monthly PF Cash Flow'!BK113</f>
        <v>0</v>
      </c>
      <c r="BI122" s="763">
        <f>'Monthly PF Cash Flow'!BL113</f>
        <v>0</v>
      </c>
      <c r="BJ122" s="763">
        <f>'Monthly PF Cash Flow'!BM113</f>
        <v>0</v>
      </c>
      <c r="BK122" s="763">
        <f>'Monthly PF Cash Flow'!BN113</f>
        <v>0</v>
      </c>
      <c r="BL122" s="763">
        <f>'Monthly PF Cash Flow'!BO113</f>
        <v>0</v>
      </c>
    </row>
    <row r="123" spans="1:64">
      <c r="A123" s="781" t="s">
        <v>636</v>
      </c>
      <c r="B123" s="701">
        <f ca="1">SUM(D123:BL123)</f>
        <v>1048077.6568814806</v>
      </c>
      <c r="C123" s="701"/>
      <c r="D123" s="763">
        <f t="shared" ref="D123:AI123" si="113">D53</f>
        <v>0</v>
      </c>
      <c r="E123" s="763">
        <f t="shared" ca="1" si="113"/>
        <v>0</v>
      </c>
      <c r="F123" s="763">
        <f t="shared" ca="1" si="113"/>
        <v>0</v>
      </c>
      <c r="G123" s="763">
        <f t="shared" ca="1" si="113"/>
        <v>0</v>
      </c>
      <c r="H123" s="763">
        <f t="shared" ca="1" si="113"/>
        <v>0</v>
      </c>
      <c r="I123" s="763">
        <f t="shared" ca="1" si="113"/>
        <v>0</v>
      </c>
      <c r="J123" s="763">
        <f t="shared" ca="1" si="113"/>
        <v>0</v>
      </c>
      <c r="K123" s="763">
        <f t="shared" ca="1" si="113"/>
        <v>0</v>
      </c>
      <c r="L123" s="763">
        <f t="shared" ca="1" si="113"/>
        <v>0</v>
      </c>
      <c r="M123" s="763">
        <f t="shared" ca="1" si="113"/>
        <v>0</v>
      </c>
      <c r="N123" s="763">
        <f t="shared" ca="1" si="113"/>
        <v>0</v>
      </c>
      <c r="O123" s="763">
        <f t="shared" ca="1" si="113"/>
        <v>0</v>
      </c>
      <c r="P123" s="763">
        <f t="shared" ca="1" si="113"/>
        <v>0</v>
      </c>
      <c r="Q123" s="763">
        <f t="shared" ca="1" si="113"/>
        <v>0</v>
      </c>
      <c r="R123" s="763">
        <f t="shared" ca="1" si="113"/>
        <v>-0.14057900302577764</v>
      </c>
      <c r="S123" s="763">
        <f t="shared" ca="1" si="113"/>
        <v>0</v>
      </c>
      <c r="T123" s="763">
        <f t="shared" ca="1" si="113"/>
        <v>0</v>
      </c>
      <c r="U123" s="763">
        <f t="shared" ca="1" si="113"/>
        <v>0</v>
      </c>
      <c r="V123" s="763">
        <f t="shared" ca="1" si="113"/>
        <v>0</v>
      </c>
      <c r="W123" s="763">
        <f t="shared" ca="1" si="113"/>
        <v>0</v>
      </c>
      <c r="X123" s="763">
        <f t="shared" ca="1" si="113"/>
        <v>0</v>
      </c>
      <c r="Y123" s="763">
        <f t="shared" ca="1" si="113"/>
        <v>0</v>
      </c>
      <c r="Z123" s="763">
        <f t="shared" ca="1" si="113"/>
        <v>0</v>
      </c>
      <c r="AA123" s="763">
        <f t="shared" ca="1" si="113"/>
        <v>0</v>
      </c>
      <c r="AB123" s="763">
        <f t="shared" ca="1" si="113"/>
        <v>0</v>
      </c>
      <c r="AC123" s="763">
        <f t="shared" ca="1" si="113"/>
        <v>-1.0535310502746142E-2</v>
      </c>
      <c r="AD123" s="763">
        <f t="shared" ca="1" si="113"/>
        <v>-0.14057900305488147</v>
      </c>
      <c r="AE123" s="763">
        <f t="shared" ca="1" si="113"/>
        <v>-3.0735506676137447E-2</v>
      </c>
      <c r="AF123" s="763">
        <f t="shared" ca="1" si="113"/>
        <v>-4.1548858134774491E-2</v>
      </c>
      <c r="AG123" s="763">
        <f t="shared" ca="1" si="113"/>
        <v>-5.1797160085698124E-2</v>
      </c>
      <c r="AH123" s="763">
        <f t="shared" ca="1" si="113"/>
        <v>-7.6985652973235119E-2</v>
      </c>
      <c r="AI123" s="763">
        <f t="shared" ca="1" si="113"/>
        <v>-8.9164118267945014E-2</v>
      </c>
      <c r="AJ123" s="763">
        <f t="shared" ref="AJ123:BL123" ca="1" si="114">AJ53</f>
        <v>-9.7186898157815449E-2</v>
      </c>
      <c r="AK123" s="763">
        <f t="shared" ca="1" si="114"/>
        <v>-7.0409316809673328E-2</v>
      </c>
      <c r="AL123" s="763">
        <f t="shared" ca="1" si="114"/>
        <v>-7.0804834656883031E-2</v>
      </c>
      <c r="AM123" s="763">
        <f t="shared" ca="1" si="114"/>
        <v>-7.0079820899991319E-2</v>
      </c>
      <c r="AN123" s="763">
        <f t="shared" ca="1" si="114"/>
        <v>-8.0462262754736003E-2</v>
      </c>
      <c r="AO123" s="763">
        <f t="shared" ca="1" si="114"/>
        <v>-7.9693940228025895E-2</v>
      </c>
      <c r="AP123" s="763">
        <f t="shared" ca="1" si="114"/>
        <v>-8.2710518312524073E-2</v>
      </c>
      <c r="AQ123" s="763">
        <f t="shared" ca="1" si="114"/>
        <v>-8.5993392771342769E-2</v>
      </c>
      <c r="AR123" s="763">
        <f t="shared" ca="1" si="114"/>
        <v>-8.9688267966266721E-2</v>
      </c>
      <c r="AS123" s="763">
        <f t="shared" ca="1" si="114"/>
        <v>-9.4259135003085248E-2</v>
      </c>
      <c r="AT123" s="763">
        <f t="shared" ca="1" si="114"/>
        <v>-9.7026467905379832E-2</v>
      </c>
      <c r="AU123" s="763">
        <f t="shared" ca="1" si="114"/>
        <v>-9.8962860676692799E-2</v>
      </c>
      <c r="AV123" s="763">
        <f t="shared" ca="1" si="114"/>
        <v>-0.10070408204046544</v>
      </c>
      <c r="AW123" s="763">
        <f t="shared" ca="1" si="114"/>
        <v>-9.9440020028850995E-2</v>
      </c>
      <c r="AX123" s="763">
        <f t="shared" ca="1" si="114"/>
        <v>-9.8774722267990001E-2</v>
      </c>
      <c r="AY123" s="763">
        <f t="shared" ca="1" si="114"/>
        <v>-9.7165858300286345E-2</v>
      </c>
      <c r="AZ123" s="763">
        <f t="shared" ca="1" si="114"/>
        <v>1048079.6521558886</v>
      </c>
      <c r="BA123" s="763">
        <f t="shared" ca="1" si="114"/>
        <v>0</v>
      </c>
      <c r="BB123" s="763">
        <f t="shared" ca="1" si="114"/>
        <v>0</v>
      </c>
      <c r="BC123" s="763">
        <f t="shared" ca="1" si="114"/>
        <v>0</v>
      </c>
      <c r="BD123" s="763">
        <f t="shared" ca="1" si="114"/>
        <v>0</v>
      </c>
      <c r="BE123" s="763">
        <f t="shared" ca="1" si="114"/>
        <v>0</v>
      </c>
      <c r="BF123" s="763">
        <f t="shared" ca="1" si="114"/>
        <v>0</v>
      </c>
      <c r="BG123" s="763">
        <f t="shared" ca="1" si="114"/>
        <v>0</v>
      </c>
      <c r="BH123" s="763">
        <f t="shared" ca="1" si="114"/>
        <v>0</v>
      </c>
      <c r="BI123" s="763">
        <f t="shared" ca="1" si="114"/>
        <v>0</v>
      </c>
      <c r="BJ123" s="763">
        <f t="shared" ca="1" si="114"/>
        <v>0</v>
      </c>
      <c r="BK123" s="763">
        <f t="shared" ca="1" si="114"/>
        <v>0</v>
      </c>
      <c r="BL123" s="763">
        <f t="shared" ca="1" si="114"/>
        <v>0</v>
      </c>
    </row>
    <row r="124" spans="1:64">
      <c r="A124" s="781" t="s">
        <v>650</v>
      </c>
      <c r="B124" s="701">
        <f t="shared" ca="1" si="109"/>
        <v>185783.09109342869</v>
      </c>
      <c r="C124" s="701"/>
      <c r="D124" s="763">
        <f t="shared" ref="D124:AI124" si="115">D70</f>
        <v>0</v>
      </c>
      <c r="E124" s="763">
        <f t="shared" ca="1" si="115"/>
        <v>0</v>
      </c>
      <c r="F124" s="763">
        <f t="shared" ca="1" si="115"/>
        <v>0</v>
      </c>
      <c r="G124" s="763">
        <f t="shared" ca="1" si="115"/>
        <v>0</v>
      </c>
      <c r="H124" s="763">
        <f t="shared" ca="1" si="115"/>
        <v>0</v>
      </c>
      <c r="I124" s="763">
        <f t="shared" ca="1" si="115"/>
        <v>0</v>
      </c>
      <c r="J124" s="763">
        <f t="shared" ca="1" si="115"/>
        <v>0</v>
      </c>
      <c r="K124" s="763">
        <f t="shared" ca="1" si="115"/>
        <v>0</v>
      </c>
      <c r="L124" s="763">
        <f t="shared" ca="1" si="115"/>
        <v>0</v>
      </c>
      <c r="M124" s="763">
        <f t="shared" ca="1" si="115"/>
        <v>0</v>
      </c>
      <c r="N124" s="763">
        <f t="shared" ca="1" si="115"/>
        <v>0</v>
      </c>
      <c r="O124" s="763">
        <f t="shared" ca="1" si="115"/>
        <v>0</v>
      </c>
      <c r="P124" s="763">
        <f t="shared" ca="1" si="115"/>
        <v>0</v>
      </c>
      <c r="Q124" s="763">
        <f t="shared" ca="1" si="115"/>
        <v>0</v>
      </c>
      <c r="R124" s="763">
        <f t="shared" ca="1" si="115"/>
        <v>0</v>
      </c>
      <c r="S124" s="763">
        <f t="shared" ca="1" si="115"/>
        <v>0</v>
      </c>
      <c r="T124" s="763">
        <f t="shared" ca="1" si="115"/>
        <v>0</v>
      </c>
      <c r="U124" s="763">
        <f t="shared" ca="1" si="115"/>
        <v>0</v>
      </c>
      <c r="V124" s="763">
        <f t="shared" ca="1" si="115"/>
        <v>0</v>
      </c>
      <c r="W124" s="763">
        <f t="shared" ca="1" si="115"/>
        <v>0</v>
      </c>
      <c r="X124" s="763">
        <f t="shared" ca="1" si="115"/>
        <v>0</v>
      </c>
      <c r="Y124" s="763">
        <f t="shared" ca="1" si="115"/>
        <v>0</v>
      </c>
      <c r="Z124" s="763">
        <f t="shared" ca="1" si="115"/>
        <v>0</v>
      </c>
      <c r="AA124" s="763">
        <f t="shared" ca="1" si="115"/>
        <v>0</v>
      </c>
      <c r="AB124" s="763">
        <f t="shared" ca="1" si="115"/>
        <v>0</v>
      </c>
      <c r="AC124" s="763">
        <f t="shared" ca="1" si="115"/>
        <v>0</v>
      </c>
      <c r="AD124" s="763">
        <f t="shared" ca="1" si="115"/>
        <v>0</v>
      </c>
      <c r="AE124" s="763">
        <f t="shared" ca="1" si="115"/>
        <v>0</v>
      </c>
      <c r="AF124" s="763">
        <f t="shared" ca="1" si="115"/>
        <v>0</v>
      </c>
      <c r="AG124" s="763">
        <f t="shared" ca="1" si="115"/>
        <v>0</v>
      </c>
      <c r="AH124" s="763">
        <f t="shared" ca="1" si="115"/>
        <v>0</v>
      </c>
      <c r="AI124" s="763">
        <f t="shared" ca="1" si="115"/>
        <v>0</v>
      </c>
      <c r="AJ124" s="763">
        <f t="shared" ref="AJ124:BL124" ca="1" si="116">AJ70</f>
        <v>0</v>
      </c>
      <c r="AK124" s="763">
        <f t="shared" ca="1" si="116"/>
        <v>0</v>
      </c>
      <c r="AL124" s="763">
        <f t="shared" ca="1" si="116"/>
        <v>0</v>
      </c>
      <c r="AM124" s="763">
        <f t="shared" ca="1" si="116"/>
        <v>0</v>
      </c>
      <c r="AN124" s="763">
        <f t="shared" ca="1" si="116"/>
        <v>0</v>
      </c>
      <c r="AO124" s="763">
        <f t="shared" ca="1" si="116"/>
        <v>0</v>
      </c>
      <c r="AP124" s="763">
        <f t="shared" ca="1" si="116"/>
        <v>0</v>
      </c>
      <c r="AQ124" s="763">
        <f t="shared" ca="1" si="116"/>
        <v>0</v>
      </c>
      <c r="AR124" s="763">
        <f t="shared" ca="1" si="116"/>
        <v>0</v>
      </c>
      <c r="AS124" s="763">
        <f t="shared" ca="1" si="116"/>
        <v>0</v>
      </c>
      <c r="AT124" s="763">
        <f t="shared" ca="1" si="116"/>
        <v>0</v>
      </c>
      <c r="AU124" s="763">
        <f t="shared" ca="1" si="116"/>
        <v>0</v>
      </c>
      <c r="AV124" s="763">
        <f t="shared" ca="1" si="116"/>
        <v>0</v>
      </c>
      <c r="AW124" s="763">
        <f t="shared" ca="1" si="116"/>
        <v>0</v>
      </c>
      <c r="AX124" s="763">
        <f t="shared" ca="1" si="116"/>
        <v>0</v>
      </c>
      <c r="AY124" s="763">
        <f t="shared" ca="1" si="116"/>
        <v>0</v>
      </c>
      <c r="AZ124" s="763">
        <f t="shared" ca="1" si="116"/>
        <v>185783.09109318344</v>
      </c>
      <c r="BA124" s="763">
        <f t="shared" ca="1" si="116"/>
        <v>0</v>
      </c>
      <c r="BB124" s="763">
        <f t="shared" ca="1" si="116"/>
        <v>0</v>
      </c>
      <c r="BC124" s="763">
        <f t="shared" ca="1" si="116"/>
        <v>0</v>
      </c>
      <c r="BD124" s="763">
        <f t="shared" ca="1" si="116"/>
        <v>0</v>
      </c>
      <c r="BE124" s="763">
        <f t="shared" ca="1" si="116"/>
        <v>0</v>
      </c>
      <c r="BF124" s="763">
        <f t="shared" ca="1" si="116"/>
        <v>0</v>
      </c>
      <c r="BG124" s="763">
        <f t="shared" ca="1" si="116"/>
        <v>0</v>
      </c>
      <c r="BH124" s="763">
        <f t="shared" ca="1" si="116"/>
        <v>0</v>
      </c>
      <c r="BI124" s="763">
        <f t="shared" ca="1" si="116"/>
        <v>0</v>
      </c>
      <c r="BJ124" s="763">
        <f t="shared" ca="1" si="116"/>
        <v>0</v>
      </c>
      <c r="BK124" s="763">
        <f t="shared" ca="1" si="116"/>
        <v>0</v>
      </c>
      <c r="BL124" s="763">
        <f t="shared" ca="1" si="116"/>
        <v>0</v>
      </c>
    </row>
    <row r="125" spans="1:64">
      <c r="A125" s="781" t="s">
        <v>654</v>
      </c>
      <c r="B125" s="701">
        <f t="shared" ca="1" si="109"/>
        <v>418865.83292102354</v>
      </c>
      <c r="C125" s="701"/>
      <c r="D125" s="763">
        <f t="shared" ref="D125:AI125" ca="1" si="117">D72</f>
        <v>0</v>
      </c>
      <c r="E125" s="763">
        <f t="shared" ca="1" si="117"/>
        <v>0</v>
      </c>
      <c r="F125" s="763">
        <f t="shared" ca="1" si="117"/>
        <v>0</v>
      </c>
      <c r="G125" s="763">
        <f t="shared" ca="1" si="117"/>
        <v>0</v>
      </c>
      <c r="H125" s="763">
        <f t="shared" ca="1" si="117"/>
        <v>0</v>
      </c>
      <c r="I125" s="763">
        <f t="shared" ca="1" si="117"/>
        <v>0</v>
      </c>
      <c r="J125" s="763">
        <f t="shared" ca="1" si="117"/>
        <v>0</v>
      </c>
      <c r="K125" s="763">
        <f t="shared" ca="1" si="117"/>
        <v>0</v>
      </c>
      <c r="L125" s="763">
        <f t="shared" ca="1" si="117"/>
        <v>0</v>
      </c>
      <c r="M125" s="763">
        <f t="shared" ca="1" si="117"/>
        <v>0</v>
      </c>
      <c r="N125" s="763">
        <f t="shared" ca="1" si="117"/>
        <v>0</v>
      </c>
      <c r="O125" s="763">
        <f t="shared" ca="1" si="117"/>
        <v>0</v>
      </c>
      <c r="P125" s="763">
        <f t="shared" ca="1" si="117"/>
        <v>0</v>
      </c>
      <c r="Q125" s="763">
        <f t="shared" ca="1" si="117"/>
        <v>0</v>
      </c>
      <c r="R125" s="763">
        <f t="shared" ca="1" si="117"/>
        <v>0</v>
      </c>
      <c r="S125" s="763">
        <f t="shared" ca="1" si="117"/>
        <v>0</v>
      </c>
      <c r="T125" s="763">
        <f t="shared" ca="1" si="117"/>
        <v>0</v>
      </c>
      <c r="U125" s="763">
        <f t="shared" ca="1" si="117"/>
        <v>0</v>
      </c>
      <c r="V125" s="763">
        <f t="shared" ca="1" si="117"/>
        <v>0</v>
      </c>
      <c r="W125" s="763">
        <f t="shared" ca="1" si="117"/>
        <v>0</v>
      </c>
      <c r="X125" s="763">
        <f t="shared" ca="1" si="117"/>
        <v>0</v>
      </c>
      <c r="Y125" s="763">
        <f t="shared" ca="1" si="117"/>
        <v>0</v>
      </c>
      <c r="Z125" s="763">
        <f t="shared" ca="1" si="117"/>
        <v>0</v>
      </c>
      <c r="AA125" s="763">
        <f t="shared" ca="1" si="117"/>
        <v>0</v>
      </c>
      <c r="AB125" s="763">
        <f t="shared" ca="1" si="117"/>
        <v>0</v>
      </c>
      <c r="AC125" s="763">
        <f t="shared" ca="1" si="117"/>
        <v>0</v>
      </c>
      <c r="AD125" s="763">
        <f t="shared" ca="1" si="117"/>
        <v>0</v>
      </c>
      <c r="AE125" s="763">
        <f t="shared" ca="1" si="117"/>
        <v>0</v>
      </c>
      <c r="AF125" s="763">
        <f t="shared" ca="1" si="117"/>
        <v>0</v>
      </c>
      <c r="AG125" s="763">
        <f t="shared" ca="1" si="117"/>
        <v>0</v>
      </c>
      <c r="AH125" s="763">
        <f t="shared" ca="1" si="117"/>
        <v>0</v>
      </c>
      <c r="AI125" s="763">
        <f t="shared" ca="1" si="117"/>
        <v>0</v>
      </c>
      <c r="AJ125" s="763">
        <f t="shared" ref="AJ125:BL125" ca="1" si="118">AJ72</f>
        <v>0</v>
      </c>
      <c r="AK125" s="763">
        <f t="shared" ca="1" si="118"/>
        <v>0</v>
      </c>
      <c r="AL125" s="763">
        <f t="shared" ca="1" si="118"/>
        <v>0</v>
      </c>
      <c r="AM125" s="763">
        <f t="shared" ca="1" si="118"/>
        <v>0</v>
      </c>
      <c r="AN125" s="763">
        <f t="shared" ca="1" si="118"/>
        <v>0</v>
      </c>
      <c r="AO125" s="763">
        <f t="shared" ca="1" si="118"/>
        <v>0</v>
      </c>
      <c r="AP125" s="763">
        <f t="shared" ca="1" si="118"/>
        <v>0</v>
      </c>
      <c r="AQ125" s="763">
        <f t="shared" ca="1" si="118"/>
        <v>0</v>
      </c>
      <c r="AR125" s="763">
        <f t="shared" ca="1" si="118"/>
        <v>0</v>
      </c>
      <c r="AS125" s="763">
        <f t="shared" ca="1" si="118"/>
        <v>0</v>
      </c>
      <c r="AT125" s="763">
        <f t="shared" ca="1" si="118"/>
        <v>0</v>
      </c>
      <c r="AU125" s="763">
        <f t="shared" ca="1" si="118"/>
        <v>0</v>
      </c>
      <c r="AV125" s="763">
        <f t="shared" ca="1" si="118"/>
        <v>0</v>
      </c>
      <c r="AW125" s="763">
        <f t="shared" ca="1" si="118"/>
        <v>0</v>
      </c>
      <c r="AX125" s="763">
        <f t="shared" ca="1" si="118"/>
        <v>0</v>
      </c>
      <c r="AY125" s="763">
        <f t="shared" ca="1" si="118"/>
        <v>0</v>
      </c>
      <c r="AZ125" s="763">
        <f t="shared" ca="1" si="118"/>
        <v>418865.83292046783</v>
      </c>
      <c r="BA125" s="763">
        <f t="shared" ca="1" si="118"/>
        <v>0</v>
      </c>
      <c r="BB125" s="763">
        <f t="shared" ca="1" si="118"/>
        <v>0</v>
      </c>
      <c r="BC125" s="763">
        <f t="shared" ca="1" si="118"/>
        <v>0</v>
      </c>
      <c r="BD125" s="763">
        <f t="shared" ca="1" si="118"/>
        <v>0</v>
      </c>
      <c r="BE125" s="763">
        <f t="shared" ca="1" si="118"/>
        <v>0</v>
      </c>
      <c r="BF125" s="763">
        <f t="shared" ca="1" si="118"/>
        <v>0</v>
      </c>
      <c r="BG125" s="763">
        <f t="shared" ca="1" si="118"/>
        <v>0</v>
      </c>
      <c r="BH125" s="763">
        <f t="shared" ca="1" si="118"/>
        <v>0</v>
      </c>
      <c r="BI125" s="763">
        <f t="shared" ca="1" si="118"/>
        <v>0</v>
      </c>
      <c r="BJ125" s="763">
        <f t="shared" ca="1" si="118"/>
        <v>0</v>
      </c>
      <c r="BK125" s="763">
        <f t="shared" ca="1" si="118"/>
        <v>0</v>
      </c>
      <c r="BL125" s="763">
        <f t="shared" ca="1" si="118"/>
        <v>0</v>
      </c>
    </row>
    <row r="126" spans="1:64">
      <c r="A126" s="781" t="s">
        <v>651</v>
      </c>
      <c r="B126" s="701">
        <f t="shared" ca="1" si="109"/>
        <v>211279.24104442549</v>
      </c>
      <c r="C126" s="701"/>
      <c r="D126" s="763">
        <f t="shared" ref="D126:AI126" si="119">D90</f>
        <v>0</v>
      </c>
      <c r="E126" s="763">
        <f t="shared" ca="1" si="119"/>
        <v>0</v>
      </c>
      <c r="F126" s="763">
        <f t="shared" ca="1" si="119"/>
        <v>0</v>
      </c>
      <c r="G126" s="763">
        <f t="shared" ca="1" si="119"/>
        <v>0</v>
      </c>
      <c r="H126" s="763">
        <f t="shared" ca="1" si="119"/>
        <v>0</v>
      </c>
      <c r="I126" s="763">
        <f t="shared" ca="1" si="119"/>
        <v>0</v>
      </c>
      <c r="J126" s="763">
        <f t="shared" ca="1" si="119"/>
        <v>0</v>
      </c>
      <c r="K126" s="763">
        <f t="shared" ca="1" si="119"/>
        <v>0</v>
      </c>
      <c r="L126" s="763">
        <f t="shared" ca="1" si="119"/>
        <v>0</v>
      </c>
      <c r="M126" s="763">
        <f t="shared" ca="1" si="119"/>
        <v>0</v>
      </c>
      <c r="N126" s="763">
        <f t="shared" ca="1" si="119"/>
        <v>0</v>
      </c>
      <c r="O126" s="763">
        <f t="shared" ca="1" si="119"/>
        <v>0</v>
      </c>
      <c r="P126" s="763">
        <f t="shared" ca="1" si="119"/>
        <v>0</v>
      </c>
      <c r="Q126" s="763">
        <f t="shared" ca="1" si="119"/>
        <v>0</v>
      </c>
      <c r="R126" s="763">
        <f t="shared" ca="1" si="119"/>
        <v>0</v>
      </c>
      <c r="S126" s="763">
        <f t="shared" ca="1" si="119"/>
        <v>0</v>
      </c>
      <c r="T126" s="763">
        <f t="shared" ca="1" si="119"/>
        <v>0</v>
      </c>
      <c r="U126" s="763">
        <f t="shared" ca="1" si="119"/>
        <v>0</v>
      </c>
      <c r="V126" s="763">
        <f t="shared" ca="1" si="119"/>
        <v>0</v>
      </c>
      <c r="W126" s="763">
        <f t="shared" ca="1" si="119"/>
        <v>0</v>
      </c>
      <c r="X126" s="763">
        <f t="shared" ca="1" si="119"/>
        <v>0</v>
      </c>
      <c r="Y126" s="763">
        <f t="shared" ca="1" si="119"/>
        <v>0</v>
      </c>
      <c r="Z126" s="763">
        <f t="shared" ca="1" si="119"/>
        <v>0</v>
      </c>
      <c r="AA126" s="763">
        <f t="shared" ca="1" si="119"/>
        <v>0</v>
      </c>
      <c r="AB126" s="763">
        <f t="shared" ca="1" si="119"/>
        <v>0</v>
      </c>
      <c r="AC126" s="763">
        <f t="shared" ca="1" si="119"/>
        <v>0</v>
      </c>
      <c r="AD126" s="763">
        <f t="shared" ca="1" si="119"/>
        <v>0</v>
      </c>
      <c r="AE126" s="763">
        <f t="shared" ca="1" si="119"/>
        <v>0</v>
      </c>
      <c r="AF126" s="763">
        <f t="shared" ca="1" si="119"/>
        <v>0</v>
      </c>
      <c r="AG126" s="763">
        <f t="shared" ca="1" si="119"/>
        <v>0</v>
      </c>
      <c r="AH126" s="763">
        <f t="shared" ca="1" si="119"/>
        <v>0</v>
      </c>
      <c r="AI126" s="763">
        <f t="shared" ca="1" si="119"/>
        <v>0</v>
      </c>
      <c r="AJ126" s="763">
        <f t="shared" ref="AJ126:BL126" ca="1" si="120">AJ90</f>
        <v>0</v>
      </c>
      <c r="AK126" s="763">
        <f t="shared" ca="1" si="120"/>
        <v>0</v>
      </c>
      <c r="AL126" s="763">
        <f t="shared" ca="1" si="120"/>
        <v>0</v>
      </c>
      <c r="AM126" s="763">
        <f t="shared" ca="1" si="120"/>
        <v>0</v>
      </c>
      <c r="AN126" s="763">
        <f t="shared" ca="1" si="120"/>
        <v>0</v>
      </c>
      <c r="AO126" s="763">
        <f t="shared" ca="1" si="120"/>
        <v>0</v>
      </c>
      <c r="AP126" s="763">
        <f t="shared" ca="1" si="120"/>
        <v>0</v>
      </c>
      <c r="AQ126" s="763">
        <f t="shared" ca="1" si="120"/>
        <v>0</v>
      </c>
      <c r="AR126" s="763">
        <f t="shared" ca="1" si="120"/>
        <v>0</v>
      </c>
      <c r="AS126" s="763">
        <f t="shared" ca="1" si="120"/>
        <v>0</v>
      </c>
      <c r="AT126" s="763">
        <f t="shared" ca="1" si="120"/>
        <v>0</v>
      </c>
      <c r="AU126" s="763">
        <f t="shared" ca="1" si="120"/>
        <v>0</v>
      </c>
      <c r="AV126" s="763">
        <f t="shared" ca="1" si="120"/>
        <v>0</v>
      </c>
      <c r="AW126" s="763">
        <f t="shared" ca="1" si="120"/>
        <v>0</v>
      </c>
      <c r="AX126" s="763">
        <f t="shared" ca="1" si="120"/>
        <v>0</v>
      </c>
      <c r="AY126" s="763">
        <f t="shared" ca="1" si="120"/>
        <v>0</v>
      </c>
      <c r="AZ126" s="763">
        <f t="shared" ca="1" si="120"/>
        <v>211279.24104416036</v>
      </c>
      <c r="BA126" s="763">
        <f t="shared" ca="1" si="120"/>
        <v>0</v>
      </c>
      <c r="BB126" s="763">
        <f t="shared" ca="1" si="120"/>
        <v>0</v>
      </c>
      <c r="BC126" s="763">
        <f t="shared" ca="1" si="120"/>
        <v>0</v>
      </c>
      <c r="BD126" s="763">
        <f t="shared" ca="1" si="120"/>
        <v>0</v>
      </c>
      <c r="BE126" s="763">
        <f t="shared" ca="1" si="120"/>
        <v>0</v>
      </c>
      <c r="BF126" s="763">
        <f t="shared" ca="1" si="120"/>
        <v>0</v>
      </c>
      <c r="BG126" s="763">
        <f t="shared" ca="1" si="120"/>
        <v>0</v>
      </c>
      <c r="BH126" s="763">
        <f t="shared" ca="1" si="120"/>
        <v>0</v>
      </c>
      <c r="BI126" s="763">
        <f t="shared" ca="1" si="120"/>
        <v>0</v>
      </c>
      <c r="BJ126" s="763">
        <f t="shared" ca="1" si="120"/>
        <v>0</v>
      </c>
      <c r="BK126" s="763">
        <f t="shared" ca="1" si="120"/>
        <v>0</v>
      </c>
      <c r="BL126" s="763">
        <f t="shared" ca="1" si="120"/>
        <v>0</v>
      </c>
    </row>
    <row r="127" spans="1:64">
      <c r="A127" s="781" t="s">
        <v>655</v>
      </c>
      <c r="B127" s="701">
        <f t="shared" ca="1" si="109"/>
        <v>988484.38619674451</v>
      </c>
      <c r="C127" s="701"/>
      <c r="D127" s="763">
        <f t="shared" ref="D127:AI127" ca="1" si="121">D92</f>
        <v>0</v>
      </c>
      <c r="E127" s="763">
        <f t="shared" ca="1" si="121"/>
        <v>0</v>
      </c>
      <c r="F127" s="763">
        <f t="shared" ca="1" si="121"/>
        <v>0</v>
      </c>
      <c r="G127" s="763">
        <f t="shared" ca="1" si="121"/>
        <v>0</v>
      </c>
      <c r="H127" s="763">
        <f t="shared" ca="1" si="121"/>
        <v>0</v>
      </c>
      <c r="I127" s="763">
        <f t="shared" ca="1" si="121"/>
        <v>0</v>
      </c>
      <c r="J127" s="763">
        <f t="shared" ca="1" si="121"/>
        <v>0</v>
      </c>
      <c r="K127" s="763">
        <f t="shared" ca="1" si="121"/>
        <v>0</v>
      </c>
      <c r="L127" s="763">
        <f t="shared" ca="1" si="121"/>
        <v>0</v>
      </c>
      <c r="M127" s="763">
        <f t="shared" ca="1" si="121"/>
        <v>0</v>
      </c>
      <c r="N127" s="763">
        <f t="shared" ca="1" si="121"/>
        <v>0</v>
      </c>
      <c r="O127" s="763">
        <f t="shared" ca="1" si="121"/>
        <v>0</v>
      </c>
      <c r="P127" s="763">
        <f t="shared" ca="1" si="121"/>
        <v>0</v>
      </c>
      <c r="Q127" s="763">
        <f t="shared" ca="1" si="121"/>
        <v>0</v>
      </c>
      <c r="R127" s="763">
        <f t="shared" ca="1" si="121"/>
        <v>0</v>
      </c>
      <c r="S127" s="763">
        <f t="shared" ca="1" si="121"/>
        <v>0</v>
      </c>
      <c r="T127" s="763">
        <f t="shared" ca="1" si="121"/>
        <v>0</v>
      </c>
      <c r="U127" s="763">
        <f t="shared" ca="1" si="121"/>
        <v>0</v>
      </c>
      <c r="V127" s="763">
        <f t="shared" ca="1" si="121"/>
        <v>0</v>
      </c>
      <c r="W127" s="763">
        <f t="shared" ca="1" si="121"/>
        <v>0</v>
      </c>
      <c r="X127" s="763">
        <f t="shared" ca="1" si="121"/>
        <v>0</v>
      </c>
      <c r="Y127" s="763">
        <f t="shared" ca="1" si="121"/>
        <v>0</v>
      </c>
      <c r="Z127" s="763">
        <f t="shared" ca="1" si="121"/>
        <v>0</v>
      </c>
      <c r="AA127" s="763">
        <f t="shared" ca="1" si="121"/>
        <v>0</v>
      </c>
      <c r="AB127" s="763">
        <f t="shared" ca="1" si="121"/>
        <v>0</v>
      </c>
      <c r="AC127" s="763">
        <f t="shared" ca="1" si="121"/>
        <v>0</v>
      </c>
      <c r="AD127" s="763">
        <f t="shared" ca="1" si="121"/>
        <v>0</v>
      </c>
      <c r="AE127" s="763">
        <f t="shared" ca="1" si="121"/>
        <v>0</v>
      </c>
      <c r="AF127" s="763">
        <f t="shared" ca="1" si="121"/>
        <v>0</v>
      </c>
      <c r="AG127" s="763">
        <f t="shared" ca="1" si="121"/>
        <v>0</v>
      </c>
      <c r="AH127" s="763">
        <f t="shared" ca="1" si="121"/>
        <v>0</v>
      </c>
      <c r="AI127" s="763">
        <f t="shared" ca="1" si="121"/>
        <v>0</v>
      </c>
      <c r="AJ127" s="763">
        <f t="shared" ref="AJ127:BL127" ca="1" si="122">AJ92</f>
        <v>0</v>
      </c>
      <c r="AK127" s="763">
        <f t="shared" ca="1" si="122"/>
        <v>0</v>
      </c>
      <c r="AL127" s="763">
        <f t="shared" ca="1" si="122"/>
        <v>0</v>
      </c>
      <c r="AM127" s="763">
        <f t="shared" ca="1" si="122"/>
        <v>0</v>
      </c>
      <c r="AN127" s="763">
        <f t="shared" ca="1" si="122"/>
        <v>0</v>
      </c>
      <c r="AO127" s="763">
        <f t="shared" ca="1" si="122"/>
        <v>0</v>
      </c>
      <c r="AP127" s="763">
        <f t="shared" ca="1" si="122"/>
        <v>0</v>
      </c>
      <c r="AQ127" s="763">
        <f t="shared" ca="1" si="122"/>
        <v>0</v>
      </c>
      <c r="AR127" s="763">
        <f t="shared" ca="1" si="122"/>
        <v>0</v>
      </c>
      <c r="AS127" s="763">
        <f t="shared" ca="1" si="122"/>
        <v>0</v>
      </c>
      <c r="AT127" s="763">
        <f t="shared" ca="1" si="122"/>
        <v>0</v>
      </c>
      <c r="AU127" s="763">
        <f t="shared" ca="1" si="122"/>
        <v>0</v>
      </c>
      <c r="AV127" s="763">
        <f t="shared" ca="1" si="122"/>
        <v>0</v>
      </c>
      <c r="AW127" s="763">
        <f t="shared" ca="1" si="122"/>
        <v>0</v>
      </c>
      <c r="AX127" s="763">
        <f t="shared" ca="1" si="122"/>
        <v>0</v>
      </c>
      <c r="AY127" s="763">
        <f t="shared" ca="1" si="122"/>
        <v>0</v>
      </c>
      <c r="AZ127" s="763">
        <f t="shared" ca="1" si="122"/>
        <v>988484.38619549794</v>
      </c>
      <c r="BA127" s="763">
        <f t="shared" ca="1" si="122"/>
        <v>0</v>
      </c>
      <c r="BB127" s="763">
        <f t="shared" ca="1" si="122"/>
        <v>0</v>
      </c>
      <c r="BC127" s="763">
        <f t="shared" ca="1" si="122"/>
        <v>0</v>
      </c>
      <c r="BD127" s="763">
        <f t="shared" ca="1" si="122"/>
        <v>0</v>
      </c>
      <c r="BE127" s="763">
        <f t="shared" ca="1" si="122"/>
        <v>0</v>
      </c>
      <c r="BF127" s="763">
        <f t="shared" ca="1" si="122"/>
        <v>0</v>
      </c>
      <c r="BG127" s="763">
        <f t="shared" ca="1" si="122"/>
        <v>0</v>
      </c>
      <c r="BH127" s="763">
        <f t="shared" ca="1" si="122"/>
        <v>0</v>
      </c>
      <c r="BI127" s="763">
        <f t="shared" ca="1" si="122"/>
        <v>0</v>
      </c>
      <c r="BJ127" s="763">
        <f t="shared" ca="1" si="122"/>
        <v>0</v>
      </c>
      <c r="BK127" s="763">
        <f t="shared" ca="1" si="122"/>
        <v>0</v>
      </c>
      <c r="BL127" s="763">
        <f t="shared" ca="1" si="122"/>
        <v>0</v>
      </c>
    </row>
    <row r="128" spans="1:64">
      <c r="A128" s="781" t="s">
        <v>652</v>
      </c>
      <c r="B128" s="701">
        <f t="shared" ca="1" si="109"/>
        <v>256651.24401427453</v>
      </c>
      <c r="C128" s="701"/>
      <c r="D128" s="763">
        <f t="shared" ref="D128:AI128" ca="1" si="123">D100</f>
        <v>0</v>
      </c>
      <c r="E128" s="763">
        <f t="shared" ca="1" si="123"/>
        <v>0</v>
      </c>
      <c r="F128" s="763">
        <f t="shared" ca="1" si="123"/>
        <v>0</v>
      </c>
      <c r="G128" s="763">
        <f t="shared" ca="1" si="123"/>
        <v>0</v>
      </c>
      <c r="H128" s="763">
        <f t="shared" ca="1" si="123"/>
        <v>0</v>
      </c>
      <c r="I128" s="763">
        <f t="shared" ca="1" si="123"/>
        <v>0</v>
      </c>
      <c r="J128" s="763">
        <f t="shared" ca="1" si="123"/>
        <v>0</v>
      </c>
      <c r="K128" s="763">
        <f t="shared" ca="1" si="123"/>
        <v>0</v>
      </c>
      <c r="L128" s="763">
        <f t="shared" ca="1" si="123"/>
        <v>0</v>
      </c>
      <c r="M128" s="763">
        <f t="shared" ca="1" si="123"/>
        <v>0</v>
      </c>
      <c r="N128" s="763">
        <f t="shared" ca="1" si="123"/>
        <v>0</v>
      </c>
      <c r="O128" s="763">
        <f t="shared" ca="1" si="123"/>
        <v>0</v>
      </c>
      <c r="P128" s="763">
        <f t="shared" ca="1" si="123"/>
        <v>0</v>
      </c>
      <c r="Q128" s="763">
        <f t="shared" ca="1" si="123"/>
        <v>0</v>
      </c>
      <c r="R128" s="763">
        <f t="shared" ca="1" si="123"/>
        <v>0</v>
      </c>
      <c r="S128" s="763">
        <f t="shared" ca="1" si="123"/>
        <v>0</v>
      </c>
      <c r="T128" s="763">
        <f t="shared" ca="1" si="123"/>
        <v>0</v>
      </c>
      <c r="U128" s="763">
        <f t="shared" ca="1" si="123"/>
        <v>0</v>
      </c>
      <c r="V128" s="763">
        <f t="shared" ca="1" si="123"/>
        <v>0</v>
      </c>
      <c r="W128" s="763">
        <f t="shared" ca="1" si="123"/>
        <v>0</v>
      </c>
      <c r="X128" s="763">
        <f t="shared" ca="1" si="123"/>
        <v>0</v>
      </c>
      <c r="Y128" s="763">
        <f t="shared" ca="1" si="123"/>
        <v>0</v>
      </c>
      <c r="Z128" s="763">
        <f t="shared" ca="1" si="123"/>
        <v>0</v>
      </c>
      <c r="AA128" s="763">
        <f t="shared" ca="1" si="123"/>
        <v>0</v>
      </c>
      <c r="AB128" s="763">
        <f t="shared" ca="1" si="123"/>
        <v>0</v>
      </c>
      <c r="AC128" s="763">
        <f t="shared" ca="1" si="123"/>
        <v>0</v>
      </c>
      <c r="AD128" s="763">
        <f t="shared" ca="1" si="123"/>
        <v>0</v>
      </c>
      <c r="AE128" s="763">
        <f t="shared" ca="1" si="123"/>
        <v>0</v>
      </c>
      <c r="AF128" s="763">
        <f t="shared" ca="1" si="123"/>
        <v>0</v>
      </c>
      <c r="AG128" s="763">
        <f t="shared" ca="1" si="123"/>
        <v>0</v>
      </c>
      <c r="AH128" s="763">
        <f t="shared" ca="1" si="123"/>
        <v>0</v>
      </c>
      <c r="AI128" s="763">
        <f t="shared" ca="1" si="123"/>
        <v>0</v>
      </c>
      <c r="AJ128" s="763">
        <f t="shared" ref="AJ128:BL128" ca="1" si="124">AJ100</f>
        <v>0</v>
      </c>
      <c r="AK128" s="763">
        <f t="shared" ca="1" si="124"/>
        <v>0</v>
      </c>
      <c r="AL128" s="763">
        <f t="shared" ca="1" si="124"/>
        <v>0</v>
      </c>
      <c r="AM128" s="763">
        <f t="shared" ca="1" si="124"/>
        <v>0</v>
      </c>
      <c r="AN128" s="763">
        <f t="shared" ca="1" si="124"/>
        <v>0</v>
      </c>
      <c r="AO128" s="763">
        <f t="shared" ca="1" si="124"/>
        <v>0</v>
      </c>
      <c r="AP128" s="763">
        <f t="shared" ca="1" si="124"/>
        <v>0</v>
      </c>
      <c r="AQ128" s="763">
        <f t="shared" ca="1" si="124"/>
        <v>0</v>
      </c>
      <c r="AR128" s="763">
        <f t="shared" ca="1" si="124"/>
        <v>0</v>
      </c>
      <c r="AS128" s="763">
        <f t="shared" ca="1" si="124"/>
        <v>0</v>
      </c>
      <c r="AT128" s="763">
        <f t="shared" ca="1" si="124"/>
        <v>0</v>
      </c>
      <c r="AU128" s="763">
        <f t="shared" ca="1" si="124"/>
        <v>0</v>
      </c>
      <c r="AV128" s="763">
        <f t="shared" ca="1" si="124"/>
        <v>0</v>
      </c>
      <c r="AW128" s="763">
        <f t="shared" ca="1" si="124"/>
        <v>0</v>
      </c>
      <c r="AX128" s="763">
        <f t="shared" ca="1" si="124"/>
        <v>0</v>
      </c>
      <c r="AY128" s="763">
        <f t="shared" ca="1" si="124"/>
        <v>0</v>
      </c>
      <c r="AZ128" s="763">
        <f t="shared" ca="1" si="124"/>
        <v>256651.24401493339</v>
      </c>
      <c r="BA128" s="763">
        <f t="shared" ca="1" si="124"/>
        <v>0</v>
      </c>
      <c r="BB128" s="763">
        <f t="shared" ca="1" si="124"/>
        <v>0</v>
      </c>
      <c r="BC128" s="763">
        <f t="shared" ca="1" si="124"/>
        <v>0</v>
      </c>
      <c r="BD128" s="763">
        <f t="shared" ca="1" si="124"/>
        <v>0</v>
      </c>
      <c r="BE128" s="763">
        <f t="shared" ca="1" si="124"/>
        <v>0</v>
      </c>
      <c r="BF128" s="763">
        <f t="shared" ca="1" si="124"/>
        <v>0</v>
      </c>
      <c r="BG128" s="763">
        <f t="shared" ca="1" si="124"/>
        <v>0</v>
      </c>
      <c r="BH128" s="763">
        <f t="shared" ca="1" si="124"/>
        <v>0</v>
      </c>
      <c r="BI128" s="763">
        <f t="shared" ca="1" si="124"/>
        <v>0</v>
      </c>
      <c r="BJ128" s="763">
        <f t="shared" ca="1" si="124"/>
        <v>0</v>
      </c>
      <c r="BK128" s="763">
        <f t="shared" ca="1" si="124"/>
        <v>0</v>
      </c>
      <c r="BL128" s="763">
        <f t="shared" ca="1" si="124"/>
        <v>0</v>
      </c>
    </row>
    <row r="129" spans="1:64">
      <c r="A129" s="781" t="s">
        <v>656</v>
      </c>
      <c r="B129" s="701">
        <f t="shared" ca="1" si="109"/>
        <v>2088003.9494898706</v>
      </c>
      <c r="C129" s="701"/>
      <c r="D129" s="763">
        <f t="shared" ref="D129:AI129" ca="1" si="125">D101</f>
        <v>0</v>
      </c>
      <c r="E129" s="763">
        <f t="shared" ca="1" si="125"/>
        <v>0</v>
      </c>
      <c r="F129" s="763">
        <f t="shared" ca="1" si="125"/>
        <v>0</v>
      </c>
      <c r="G129" s="763">
        <f t="shared" ca="1" si="125"/>
        <v>0</v>
      </c>
      <c r="H129" s="763">
        <f t="shared" ca="1" si="125"/>
        <v>0</v>
      </c>
      <c r="I129" s="763">
        <f t="shared" ca="1" si="125"/>
        <v>0</v>
      </c>
      <c r="J129" s="763">
        <f t="shared" ca="1" si="125"/>
        <v>0</v>
      </c>
      <c r="K129" s="763">
        <f t="shared" ca="1" si="125"/>
        <v>0</v>
      </c>
      <c r="L129" s="763">
        <f t="shared" ca="1" si="125"/>
        <v>0</v>
      </c>
      <c r="M129" s="763">
        <f t="shared" ca="1" si="125"/>
        <v>0</v>
      </c>
      <c r="N129" s="763">
        <f t="shared" ca="1" si="125"/>
        <v>0</v>
      </c>
      <c r="O129" s="763">
        <f t="shared" ca="1" si="125"/>
        <v>0</v>
      </c>
      <c r="P129" s="763">
        <f t="shared" ca="1" si="125"/>
        <v>0</v>
      </c>
      <c r="Q129" s="763">
        <f t="shared" ca="1" si="125"/>
        <v>0</v>
      </c>
      <c r="R129" s="763">
        <f t="shared" ca="1" si="125"/>
        <v>0</v>
      </c>
      <c r="S129" s="763">
        <f t="shared" ca="1" si="125"/>
        <v>0</v>
      </c>
      <c r="T129" s="763">
        <f t="shared" ca="1" si="125"/>
        <v>0</v>
      </c>
      <c r="U129" s="763">
        <f t="shared" ca="1" si="125"/>
        <v>0</v>
      </c>
      <c r="V129" s="763">
        <f t="shared" ca="1" si="125"/>
        <v>0</v>
      </c>
      <c r="W129" s="763">
        <f t="shared" ca="1" si="125"/>
        <v>0</v>
      </c>
      <c r="X129" s="763">
        <f t="shared" ca="1" si="125"/>
        <v>0</v>
      </c>
      <c r="Y129" s="763">
        <f t="shared" ca="1" si="125"/>
        <v>0</v>
      </c>
      <c r="Z129" s="763">
        <f t="shared" ca="1" si="125"/>
        <v>0</v>
      </c>
      <c r="AA129" s="763">
        <f t="shared" ca="1" si="125"/>
        <v>0</v>
      </c>
      <c r="AB129" s="763">
        <f t="shared" ca="1" si="125"/>
        <v>0</v>
      </c>
      <c r="AC129" s="763">
        <f t="shared" ca="1" si="125"/>
        <v>0</v>
      </c>
      <c r="AD129" s="763">
        <f t="shared" ca="1" si="125"/>
        <v>0</v>
      </c>
      <c r="AE129" s="763">
        <f t="shared" ca="1" si="125"/>
        <v>0</v>
      </c>
      <c r="AF129" s="763">
        <f t="shared" ca="1" si="125"/>
        <v>0</v>
      </c>
      <c r="AG129" s="763">
        <f t="shared" ca="1" si="125"/>
        <v>0</v>
      </c>
      <c r="AH129" s="763">
        <f t="shared" ca="1" si="125"/>
        <v>0</v>
      </c>
      <c r="AI129" s="763">
        <f t="shared" ca="1" si="125"/>
        <v>0</v>
      </c>
      <c r="AJ129" s="763">
        <f t="shared" ref="AJ129:BL129" ca="1" si="126">AJ101</f>
        <v>0</v>
      </c>
      <c r="AK129" s="763">
        <f t="shared" ca="1" si="126"/>
        <v>0</v>
      </c>
      <c r="AL129" s="763">
        <f t="shared" ca="1" si="126"/>
        <v>0</v>
      </c>
      <c r="AM129" s="763">
        <f t="shared" ca="1" si="126"/>
        <v>0</v>
      </c>
      <c r="AN129" s="763">
        <f t="shared" ca="1" si="126"/>
        <v>0</v>
      </c>
      <c r="AO129" s="763">
        <f t="shared" ca="1" si="126"/>
        <v>0</v>
      </c>
      <c r="AP129" s="763">
        <f t="shared" ca="1" si="126"/>
        <v>0</v>
      </c>
      <c r="AQ129" s="763">
        <f t="shared" ca="1" si="126"/>
        <v>0</v>
      </c>
      <c r="AR129" s="763">
        <f t="shared" ca="1" si="126"/>
        <v>0</v>
      </c>
      <c r="AS129" s="763">
        <f t="shared" ca="1" si="126"/>
        <v>0</v>
      </c>
      <c r="AT129" s="763">
        <f t="shared" ca="1" si="126"/>
        <v>0</v>
      </c>
      <c r="AU129" s="763">
        <f t="shared" ca="1" si="126"/>
        <v>0</v>
      </c>
      <c r="AV129" s="763">
        <f t="shared" ca="1" si="126"/>
        <v>0</v>
      </c>
      <c r="AW129" s="763">
        <f t="shared" ca="1" si="126"/>
        <v>0</v>
      </c>
      <c r="AX129" s="763">
        <f t="shared" ca="1" si="126"/>
        <v>0</v>
      </c>
      <c r="AY129" s="763">
        <f t="shared" ca="1" si="126"/>
        <v>0</v>
      </c>
      <c r="AZ129" s="763">
        <f t="shared" ca="1" si="126"/>
        <v>2088003.9494952182</v>
      </c>
      <c r="BA129" s="763">
        <f t="shared" ca="1" si="126"/>
        <v>0</v>
      </c>
      <c r="BB129" s="763">
        <f t="shared" ca="1" si="126"/>
        <v>0</v>
      </c>
      <c r="BC129" s="763">
        <f t="shared" ca="1" si="126"/>
        <v>0</v>
      </c>
      <c r="BD129" s="763">
        <f t="shared" ca="1" si="126"/>
        <v>0</v>
      </c>
      <c r="BE129" s="763">
        <f t="shared" ca="1" si="126"/>
        <v>0</v>
      </c>
      <c r="BF129" s="763">
        <f t="shared" ca="1" si="126"/>
        <v>0</v>
      </c>
      <c r="BG129" s="763">
        <f t="shared" ca="1" si="126"/>
        <v>0</v>
      </c>
      <c r="BH129" s="763">
        <f t="shared" ca="1" si="126"/>
        <v>0</v>
      </c>
      <c r="BI129" s="763">
        <f t="shared" ca="1" si="126"/>
        <v>0</v>
      </c>
      <c r="BJ129" s="763">
        <f t="shared" ca="1" si="126"/>
        <v>0</v>
      </c>
      <c r="BK129" s="763">
        <f t="shared" ca="1" si="126"/>
        <v>0</v>
      </c>
      <c r="BL129" s="763">
        <f t="shared" ca="1" si="126"/>
        <v>0</v>
      </c>
    </row>
    <row r="130" spans="1:64">
      <c r="A130" s="782" t="s">
        <v>702</v>
      </c>
      <c r="B130" s="754">
        <f t="shared" ca="1" si="109"/>
        <v>8654738.5339100473</v>
      </c>
      <c r="C130" s="701"/>
      <c r="D130" s="764">
        <f t="shared" ref="D130:AI130" ca="1" si="127">SUM(D117:D129)</f>
        <v>-534505.07346667291</v>
      </c>
      <c r="E130" s="764">
        <f t="shared" ca="1" si="127"/>
        <v>706293.44077840215</v>
      </c>
      <c r="F130" s="764">
        <f t="shared" ca="1" si="127"/>
        <v>43788.36731173085</v>
      </c>
      <c r="G130" s="764">
        <f t="shared" ca="1" si="127"/>
        <v>43788.36731173085</v>
      </c>
      <c r="H130" s="764">
        <f t="shared" ca="1" si="127"/>
        <v>43788.36731173085</v>
      </c>
      <c r="I130" s="764">
        <f t="shared" ca="1" si="127"/>
        <v>43788.36731173085</v>
      </c>
      <c r="J130" s="764">
        <f t="shared" ca="1" si="127"/>
        <v>43788.36731173085</v>
      </c>
      <c r="K130" s="764">
        <f t="shared" ca="1" si="127"/>
        <v>43788.36731173085</v>
      </c>
      <c r="L130" s="764">
        <f t="shared" ca="1" si="127"/>
        <v>43788.36731173085</v>
      </c>
      <c r="M130" s="764">
        <f t="shared" ca="1" si="127"/>
        <v>43788.367311729235</v>
      </c>
      <c r="N130" s="764">
        <f t="shared" ca="1" si="127"/>
        <v>43788.367311729235</v>
      </c>
      <c r="O130" s="764">
        <f t="shared" ca="1" si="127"/>
        <v>43788.367311729235</v>
      </c>
      <c r="P130" s="764">
        <f t="shared" ca="1" si="127"/>
        <v>43788.367311729235</v>
      </c>
      <c r="Q130" s="764">
        <f t="shared" ca="1" si="127"/>
        <v>43788.367311729235</v>
      </c>
      <c r="R130" s="764">
        <f t="shared" ca="1" si="127"/>
        <v>43788.226732726209</v>
      </c>
      <c r="S130" s="764">
        <f t="shared" ca="1" si="127"/>
        <v>9592.605754684022</v>
      </c>
      <c r="T130" s="764">
        <f t="shared" ca="1" si="127"/>
        <v>9592.605754684022</v>
      </c>
      <c r="U130" s="764">
        <f t="shared" ca="1" si="127"/>
        <v>9592.605754684022</v>
      </c>
      <c r="V130" s="764">
        <f t="shared" ca="1" si="127"/>
        <v>9592.605754684022</v>
      </c>
      <c r="W130" s="764">
        <f t="shared" ca="1" si="127"/>
        <v>9592.605754684022</v>
      </c>
      <c r="X130" s="764">
        <f t="shared" ca="1" si="127"/>
        <v>9592.605754684022</v>
      </c>
      <c r="Y130" s="764">
        <f t="shared" ca="1" si="127"/>
        <v>9592.605754684022</v>
      </c>
      <c r="Z130" s="764">
        <f t="shared" ca="1" si="127"/>
        <v>9592.605754684022</v>
      </c>
      <c r="AA130" s="764">
        <f t="shared" ca="1" si="127"/>
        <v>9592.605754684022</v>
      </c>
      <c r="AB130" s="764">
        <f t="shared" ca="1" si="127"/>
        <v>9592.605754684022</v>
      </c>
      <c r="AC130" s="764">
        <f t="shared" ca="1" si="127"/>
        <v>9592.5952193735193</v>
      </c>
      <c r="AD130" s="764">
        <f t="shared" ca="1" si="127"/>
        <v>9592.4651756809671</v>
      </c>
      <c r="AE130" s="764">
        <f t="shared" ca="1" si="127"/>
        <v>9592.5750191773459</v>
      </c>
      <c r="AF130" s="764">
        <f t="shared" ca="1" si="127"/>
        <v>9592.5642058258873</v>
      </c>
      <c r="AG130" s="764">
        <f t="shared" ca="1" si="127"/>
        <v>9592.5539575239363</v>
      </c>
      <c r="AH130" s="764">
        <f t="shared" ca="1" si="127"/>
        <v>9592.5287690310488</v>
      </c>
      <c r="AI130" s="764">
        <f t="shared" ca="1" si="127"/>
        <v>9592.5165905657541</v>
      </c>
      <c r="AJ130" s="764">
        <f t="shared" ref="AJ130:BL130" ca="1" si="128">SUM(AJ117:AJ129)</f>
        <v>9592.5085677858642</v>
      </c>
      <c r="AK130" s="764">
        <f t="shared" ca="1" si="128"/>
        <v>9592.5353453672124</v>
      </c>
      <c r="AL130" s="764">
        <f t="shared" ca="1" si="128"/>
        <v>9592.5349498493651</v>
      </c>
      <c r="AM130" s="764">
        <f t="shared" ca="1" si="128"/>
        <v>9592.535674863122</v>
      </c>
      <c r="AN130" s="764">
        <f t="shared" ca="1" si="128"/>
        <v>9592.5252924212673</v>
      </c>
      <c r="AO130" s="764">
        <f t="shared" ca="1" si="128"/>
        <v>9592.526060743794</v>
      </c>
      <c r="AP130" s="764">
        <f t="shared" ca="1" si="128"/>
        <v>9592.5230441657095</v>
      </c>
      <c r="AQ130" s="764">
        <f t="shared" ca="1" si="128"/>
        <v>9592.5197612912507</v>
      </c>
      <c r="AR130" s="764">
        <f t="shared" ca="1" si="128"/>
        <v>9592.5160664160558</v>
      </c>
      <c r="AS130" s="764">
        <f t="shared" ca="1" si="128"/>
        <v>9592.5114955490189</v>
      </c>
      <c r="AT130" s="764">
        <f t="shared" ca="1" si="128"/>
        <v>9592.5087282161167</v>
      </c>
      <c r="AU130" s="764">
        <f t="shared" ca="1" si="128"/>
        <v>9592.5067918233453</v>
      </c>
      <c r="AV130" s="764">
        <f t="shared" ca="1" si="128"/>
        <v>9592.5050506019816</v>
      </c>
      <c r="AW130" s="764">
        <f t="shared" ca="1" si="128"/>
        <v>9592.5063146639932</v>
      </c>
      <c r="AX130" s="764">
        <f t="shared" ca="1" si="128"/>
        <v>9592.506979961754</v>
      </c>
      <c r="AY130" s="764">
        <f t="shared" ca="1" si="128"/>
        <v>9592.5085888257217</v>
      </c>
      <c r="AZ130" s="764">
        <f t="shared" ca="1" si="128"/>
        <v>7597147.3969193492</v>
      </c>
      <c r="BA130" s="764">
        <f t="shared" ca="1" si="128"/>
        <v>0</v>
      </c>
      <c r="BB130" s="764">
        <f t="shared" ca="1" si="128"/>
        <v>0</v>
      </c>
      <c r="BC130" s="764">
        <f t="shared" ca="1" si="128"/>
        <v>0</v>
      </c>
      <c r="BD130" s="764">
        <f t="shared" ca="1" si="128"/>
        <v>0</v>
      </c>
      <c r="BE130" s="764">
        <f t="shared" ca="1" si="128"/>
        <v>0</v>
      </c>
      <c r="BF130" s="764">
        <f t="shared" ca="1" si="128"/>
        <v>0</v>
      </c>
      <c r="BG130" s="764">
        <f t="shared" ca="1" si="128"/>
        <v>0</v>
      </c>
      <c r="BH130" s="764">
        <f t="shared" ca="1" si="128"/>
        <v>0</v>
      </c>
      <c r="BI130" s="764">
        <f t="shared" ca="1" si="128"/>
        <v>0</v>
      </c>
      <c r="BJ130" s="764">
        <f t="shared" ca="1" si="128"/>
        <v>0</v>
      </c>
      <c r="BK130" s="764">
        <f t="shared" ca="1" si="128"/>
        <v>0</v>
      </c>
      <c r="BL130" s="764">
        <f t="shared" ca="1" si="128"/>
        <v>0</v>
      </c>
    </row>
    <row r="131" spans="1:64">
      <c r="A131" s="787">
        <f ca="1">(1+IRR(D130:BL130,0.01))^12-1</f>
        <v>117.19829068768365</v>
      </c>
      <c r="B131" s="762"/>
      <c r="C131" s="762"/>
      <c r="D131" s="762"/>
      <c r="E131" s="762"/>
      <c r="F131" s="762"/>
      <c r="G131" s="762"/>
      <c r="H131" s="762"/>
      <c r="I131" s="762"/>
      <c r="J131" s="762"/>
      <c r="K131" s="762"/>
      <c r="L131" s="762"/>
      <c r="M131" s="762"/>
      <c r="N131" s="762"/>
      <c r="O131" s="762"/>
      <c r="P131" s="762"/>
      <c r="Q131" s="762"/>
      <c r="R131" s="762"/>
      <c r="S131" s="762"/>
      <c r="T131" s="762"/>
      <c r="U131" s="762"/>
      <c r="V131" s="762"/>
      <c r="W131" s="762"/>
      <c r="X131" s="762"/>
      <c r="Y131" s="762"/>
      <c r="Z131" s="762"/>
      <c r="AA131" s="762"/>
      <c r="AB131" s="762"/>
      <c r="AC131" s="762"/>
      <c r="AD131" s="762"/>
      <c r="AE131" s="762"/>
      <c r="AF131" s="762"/>
      <c r="AG131" s="762"/>
      <c r="AH131" s="762"/>
      <c r="AI131" s="762"/>
      <c r="AJ131" s="762"/>
      <c r="AK131" s="762"/>
      <c r="AL131" s="762"/>
      <c r="AM131" s="762"/>
      <c r="AN131" s="762"/>
      <c r="AO131" s="762"/>
      <c r="AP131" s="762"/>
      <c r="AQ131" s="762"/>
      <c r="AR131" s="762"/>
      <c r="AS131" s="762"/>
      <c r="AT131" s="762"/>
      <c r="AU131" s="762"/>
      <c r="AV131" s="762"/>
      <c r="AW131" s="762"/>
      <c r="AX131" s="762"/>
      <c r="AY131" s="762"/>
      <c r="AZ131" s="762"/>
      <c r="BA131" s="762"/>
      <c r="BB131" s="762"/>
      <c r="BC131" s="762"/>
      <c r="BD131" s="762"/>
      <c r="BE131" s="762"/>
      <c r="BF131" s="762"/>
      <c r="BG131" s="762"/>
      <c r="BH131" s="762"/>
      <c r="BI131" s="762"/>
      <c r="BJ131" s="762"/>
      <c r="BK131" s="762"/>
      <c r="BL131" s="762"/>
    </row>
    <row r="132" spans="1:64">
      <c r="A132" s="788">
        <f ca="1">SUM(D130:BL130)</f>
        <v>8654738.5339011326</v>
      </c>
      <c r="B132" s="762"/>
      <c r="C132" s="762"/>
      <c r="D132" s="762"/>
      <c r="E132" s="762"/>
      <c r="F132" s="762"/>
      <c r="G132" s="762"/>
      <c r="H132" s="762"/>
      <c r="I132" s="762"/>
      <c r="J132" s="762"/>
      <c r="K132" s="762"/>
      <c r="L132" s="762"/>
      <c r="M132" s="762"/>
      <c r="N132" s="762"/>
      <c r="O132" s="762"/>
      <c r="P132" s="762"/>
      <c r="Q132" s="762"/>
      <c r="R132" s="762"/>
      <c r="S132" s="762"/>
      <c r="T132" s="762"/>
      <c r="U132" s="762"/>
      <c r="V132" s="762"/>
      <c r="W132" s="762"/>
      <c r="X132" s="762"/>
      <c r="Y132" s="762"/>
      <c r="Z132" s="762"/>
      <c r="AA132" s="762"/>
      <c r="AB132" s="762"/>
      <c r="AC132" s="762"/>
      <c r="AD132" s="762"/>
      <c r="AE132" s="762"/>
      <c r="AF132" s="762"/>
      <c r="AG132" s="762"/>
      <c r="AH132" s="762"/>
      <c r="AI132" s="762"/>
      <c r="AJ132" s="762"/>
      <c r="AK132" s="762"/>
      <c r="AL132" s="762"/>
      <c r="AM132" s="762"/>
      <c r="AN132" s="762"/>
      <c r="AO132" s="762"/>
      <c r="AP132" s="762"/>
      <c r="AQ132" s="762"/>
      <c r="AR132" s="762"/>
      <c r="AS132" s="762"/>
      <c r="AT132" s="762"/>
      <c r="AU132" s="762"/>
      <c r="AV132" s="762"/>
      <c r="AW132" s="762"/>
      <c r="AX132" s="762"/>
      <c r="AY132" s="762"/>
      <c r="AZ132" s="762"/>
      <c r="BA132" s="762"/>
      <c r="BB132" s="762"/>
      <c r="BC132" s="762"/>
      <c r="BD132" s="762"/>
      <c r="BE132" s="762"/>
      <c r="BF132" s="762"/>
      <c r="BG132" s="762"/>
      <c r="BH132" s="762"/>
      <c r="BI132" s="762"/>
      <c r="BJ132" s="762"/>
      <c r="BK132" s="762"/>
      <c r="BL132" s="762"/>
    </row>
    <row r="133" spans="1:64">
      <c r="A133" s="789">
        <f ca="1">SUM(D118:BL129)/-SUM(D117:BL117)</f>
        <v>15.424564223168833</v>
      </c>
      <c r="B133" s="762"/>
      <c r="C133" s="762"/>
      <c r="D133" s="762"/>
      <c r="E133" s="762"/>
      <c r="F133" s="762"/>
      <c r="G133" s="762"/>
      <c r="H133" s="762"/>
      <c r="I133" s="762"/>
      <c r="J133" s="762"/>
      <c r="K133" s="762"/>
      <c r="L133" s="762"/>
      <c r="M133" s="762"/>
      <c r="N133" s="762"/>
      <c r="O133" s="762"/>
      <c r="P133" s="762"/>
      <c r="Q133" s="762"/>
      <c r="R133" s="762"/>
      <c r="S133" s="762"/>
      <c r="T133" s="762"/>
      <c r="U133" s="762"/>
      <c r="V133" s="762"/>
      <c r="W133" s="762"/>
      <c r="X133" s="762"/>
      <c r="Y133" s="762"/>
      <c r="Z133" s="762"/>
      <c r="AA133" s="762"/>
      <c r="AB133" s="762"/>
      <c r="AC133" s="762"/>
      <c r="AD133" s="762"/>
      <c r="AE133" s="762"/>
      <c r="AF133" s="762"/>
      <c r="AG133" s="762"/>
      <c r="AH133" s="762"/>
      <c r="AI133" s="762"/>
      <c r="AJ133" s="762"/>
      <c r="AK133" s="762"/>
      <c r="AL133" s="762"/>
      <c r="AM133" s="762"/>
      <c r="AN133" s="762"/>
      <c r="AO133" s="762"/>
      <c r="AP133" s="762"/>
      <c r="AQ133" s="762"/>
      <c r="AR133" s="762"/>
      <c r="AS133" s="762"/>
      <c r="AT133" s="762"/>
      <c r="AU133" s="762"/>
      <c r="AV133" s="762"/>
      <c r="AW133" s="762"/>
      <c r="AX133" s="762"/>
      <c r="AY133" s="762"/>
      <c r="AZ133" s="762"/>
      <c r="BA133" s="762"/>
      <c r="BB133" s="762"/>
      <c r="BC133" s="762"/>
      <c r="BD133" s="762"/>
      <c r="BE133" s="762"/>
      <c r="BF133" s="762"/>
      <c r="BG133" s="762"/>
      <c r="BH133" s="762"/>
      <c r="BI133" s="762"/>
      <c r="BJ133" s="762"/>
      <c r="BK133" s="762"/>
      <c r="BL133" s="762"/>
    </row>
    <row r="134" spans="1:64">
      <c r="A134" s="767"/>
      <c r="B134" s="762"/>
      <c r="C134" s="762"/>
      <c r="D134" s="762"/>
      <c r="E134" s="762"/>
      <c r="F134" s="762"/>
      <c r="G134" s="762"/>
      <c r="H134" s="762"/>
      <c r="I134" s="762"/>
      <c r="J134" s="762"/>
      <c r="K134" s="762"/>
      <c r="L134" s="762"/>
      <c r="M134" s="762"/>
      <c r="N134" s="762"/>
      <c r="O134" s="762"/>
      <c r="P134" s="762"/>
      <c r="Q134" s="762"/>
      <c r="R134" s="762"/>
      <c r="S134" s="762"/>
      <c r="T134" s="762"/>
      <c r="U134" s="762"/>
      <c r="V134" s="762"/>
      <c r="W134" s="762"/>
      <c r="X134" s="762"/>
      <c r="Y134" s="762"/>
      <c r="Z134" s="762"/>
      <c r="AA134" s="762"/>
      <c r="AB134" s="762"/>
      <c r="AC134" s="762"/>
      <c r="AD134" s="762"/>
      <c r="AE134" s="762"/>
      <c r="AF134" s="762"/>
      <c r="AG134" s="762"/>
      <c r="AH134" s="762"/>
      <c r="AI134" s="762"/>
      <c r="AJ134" s="762"/>
      <c r="AK134" s="762"/>
      <c r="AL134" s="762"/>
      <c r="AM134" s="762"/>
      <c r="AN134" s="762"/>
      <c r="AO134" s="762"/>
      <c r="AP134" s="762"/>
      <c r="AQ134" s="762"/>
      <c r="AR134" s="762"/>
      <c r="AS134" s="762"/>
      <c r="AT134" s="762"/>
      <c r="AU134" s="762"/>
      <c r="AV134" s="762"/>
      <c r="AW134" s="762"/>
      <c r="AX134" s="762"/>
      <c r="AY134" s="762"/>
      <c r="AZ134" s="762"/>
      <c r="BA134" s="762"/>
      <c r="BB134" s="762"/>
      <c r="BC134" s="762"/>
      <c r="BD134" s="762"/>
      <c r="BE134" s="762"/>
      <c r="BF134" s="762"/>
      <c r="BG134" s="762"/>
      <c r="BH134" s="762"/>
      <c r="BI134" s="762"/>
      <c r="BJ134" s="762"/>
      <c r="BK134" s="762"/>
      <c r="BL134" s="762"/>
    </row>
    <row r="135" spans="1:64">
      <c r="A135" s="814" t="s">
        <v>703</v>
      </c>
      <c r="B135" s="762"/>
      <c r="C135" s="762"/>
      <c r="D135" s="762"/>
      <c r="E135" s="762"/>
      <c r="F135" s="762"/>
      <c r="G135" s="762"/>
      <c r="H135" s="762"/>
      <c r="I135" s="762"/>
      <c r="J135" s="762"/>
      <c r="K135" s="762"/>
      <c r="L135" s="762"/>
      <c r="M135" s="762"/>
      <c r="N135" s="762"/>
      <c r="O135" s="762"/>
      <c r="P135" s="762"/>
      <c r="Q135" s="762"/>
      <c r="R135" s="762"/>
      <c r="S135" s="762"/>
      <c r="T135" s="762"/>
      <c r="U135" s="762"/>
      <c r="V135" s="762"/>
      <c r="W135" s="762"/>
      <c r="X135" s="762"/>
      <c r="Y135" s="762"/>
      <c r="Z135" s="762"/>
      <c r="AA135" s="762"/>
      <c r="AB135" s="762"/>
      <c r="AC135" s="762"/>
      <c r="AD135" s="762"/>
      <c r="AE135" s="762"/>
      <c r="AF135" s="762"/>
      <c r="AG135" s="762"/>
      <c r="AH135" s="762"/>
      <c r="AI135" s="762"/>
      <c r="AJ135" s="762"/>
      <c r="AK135" s="762"/>
      <c r="AL135" s="762"/>
      <c r="AM135" s="762"/>
      <c r="AN135" s="762"/>
      <c r="AO135" s="762"/>
      <c r="AP135" s="762"/>
      <c r="AQ135" s="762"/>
      <c r="AR135" s="762"/>
      <c r="AS135" s="762"/>
      <c r="AT135" s="762"/>
      <c r="AU135" s="762"/>
      <c r="AV135" s="762"/>
      <c r="AW135" s="762"/>
      <c r="AX135" s="762"/>
      <c r="AY135" s="762"/>
      <c r="AZ135" s="762"/>
      <c r="BA135" s="762"/>
      <c r="BB135" s="762"/>
      <c r="BC135" s="762"/>
      <c r="BD135" s="762"/>
      <c r="BE135" s="762"/>
      <c r="BF135" s="762"/>
      <c r="BG135" s="762"/>
      <c r="BH135" s="762"/>
      <c r="BI135" s="762"/>
      <c r="BJ135" s="762"/>
      <c r="BK135" s="762"/>
      <c r="BL135" s="762"/>
    </row>
    <row r="136" spans="1:64">
      <c r="A136" s="811" t="s">
        <v>704</v>
      </c>
      <c r="B136" s="762"/>
      <c r="C136" s="762"/>
      <c r="D136" s="763">
        <f ca="1">D117</f>
        <v>-534505.07346667291</v>
      </c>
      <c r="E136" s="763">
        <f t="shared" ref="E136:BL136" ca="1" si="129">E117</f>
        <v>-65494.926533327045</v>
      </c>
      <c r="F136" s="763">
        <f t="shared" ca="1" si="129"/>
        <v>1.6133862035746707E-9</v>
      </c>
      <c r="G136" s="763">
        <f t="shared" ca="1" si="129"/>
        <v>1.6133862035746707E-9</v>
      </c>
      <c r="H136" s="763">
        <f t="shared" ca="1" si="129"/>
        <v>1.6133862035746707E-9</v>
      </c>
      <c r="I136" s="763">
        <f t="shared" ca="1" si="129"/>
        <v>1.6133862035746707E-9</v>
      </c>
      <c r="J136" s="763">
        <f t="shared" ca="1" si="129"/>
        <v>1.6133862035746707E-9</v>
      </c>
      <c r="K136" s="763">
        <f t="shared" ca="1" si="129"/>
        <v>1.6133862035746707E-9</v>
      </c>
      <c r="L136" s="763">
        <f t="shared" ca="1" si="129"/>
        <v>1.6133862035746707E-9</v>
      </c>
      <c r="M136" s="763">
        <f t="shared" ca="1" si="129"/>
        <v>0</v>
      </c>
      <c r="N136" s="763">
        <f t="shared" ca="1" si="129"/>
        <v>0</v>
      </c>
      <c r="O136" s="763">
        <f t="shared" ca="1" si="129"/>
        <v>0</v>
      </c>
      <c r="P136" s="763">
        <f t="shared" ca="1" si="129"/>
        <v>0</v>
      </c>
      <c r="Q136" s="763">
        <f t="shared" ca="1" si="129"/>
        <v>0</v>
      </c>
      <c r="R136" s="763">
        <f t="shared" ca="1" si="129"/>
        <v>0</v>
      </c>
      <c r="S136" s="763">
        <f t="shared" ca="1" si="129"/>
        <v>0</v>
      </c>
      <c r="T136" s="763">
        <f t="shared" ca="1" si="129"/>
        <v>0</v>
      </c>
      <c r="U136" s="763">
        <f t="shared" ca="1" si="129"/>
        <v>0</v>
      </c>
      <c r="V136" s="763">
        <f t="shared" ca="1" si="129"/>
        <v>0</v>
      </c>
      <c r="W136" s="763">
        <f t="shared" ca="1" si="129"/>
        <v>0</v>
      </c>
      <c r="X136" s="763">
        <f t="shared" ca="1" si="129"/>
        <v>0</v>
      </c>
      <c r="Y136" s="763">
        <f t="shared" ca="1" si="129"/>
        <v>0</v>
      </c>
      <c r="Z136" s="763">
        <f t="shared" ca="1" si="129"/>
        <v>0</v>
      </c>
      <c r="AA136" s="763">
        <f t="shared" ca="1" si="129"/>
        <v>0</v>
      </c>
      <c r="AB136" s="763">
        <f t="shared" ca="1" si="129"/>
        <v>0</v>
      </c>
      <c r="AC136" s="763">
        <f t="shared" ca="1" si="129"/>
        <v>0</v>
      </c>
      <c r="AD136" s="763">
        <f t="shared" ca="1" si="129"/>
        <v>0</v>
      </c>
      <c r="AE136" s="763">
        <f t="shared" ca="1" si="129"/>
        <v>0</v>
      </c>
      <c r="AF136" s="763">
        <f t="shared" ca="1" si="129"/>
        <v>0</v>
      </c>
      <c r="AG136" s="763">
        <f t="shared" ca="1" si="129"/>
        <v>0</v>
      </c>
      <c r="AH136" s="763">
        <f t="shared" ca="1" si="129"/>
        <v>0</v>
      </c>
      <c r="AI136" s="763">
        <f t="shared" ca="1" si="129"/>
        <v>0</v>
      </c>
      <c r="AJ136" s="763">
        <f t="shared" ca="1" si="129"/>
        <v>0</v>
      </c>
      <c r="AK136" s="763">
        <f t="shared" ca="1" si="129"/>
        <v>0</v>
      </c>
      <c r="AL136" s="763">
        <f t="shared" ca="1" si="129"/>
        <v>0</v>
      </c>
      <c r="AM136" s="763">
        <f t="shared" ca="1" si="129"/>
        <v>0</v>
      </c>
      <c r="AN136" s="763">
        <f t="shared" ca="1" si="129"/>
        <v>0</v>
      </c>
      <c r="AO136" s="763">
        <f t="shared" ca="1" si="129"/>
        <v>0</v>
      </c>
      <c r="AP136" s="763">
        <f t="shared" ca="1" si="129"/>
        <v>0</v>
      </c>
      <c r="AQ136" s="763">
        <f t="shared" ca="1" si="129"/>
        <v>0</v>
      </c>
      <c r="AR136" s="763">
        <f t="shared" ca="1" si="129"/>
        <v>0</v>
      </c>
      <c r="AS136" s="763">
        <f t="shared" ca="1" si="129"/>
        <v>0</v>
      </c>
      <c r="AT136" s="763">
        <f t="shared" ca="1" si="129"/>
        <v>0</v>
      </c>
      <c r="AU136" s="763">
        <f t="shared" ca="1" si="129"/>
        <v>0</v>
      </c>
      <c r="AV136" s="763">
        <f t="shared" ca="1" si="129"/>
        <v>0</v>
      </c>
      <c r="AW136" s="763">
        <f t="shared" ca="1" si="129"/>
        <v>0</v>
      </c>
      <c r="AX136" s="763">
        <f t="shared" ca="1" si="129"/>
        <v>0</v>
      </c>
      <c r="AY136" s="763">
        <f t="shared" ca="1" si="129"/>
        <v>0</v>
      </c>
      <c r="AZ136" s="763">
        <f t="shared" ca="1" si="129"/>
        <v>0</v>
      </c>
      <c r="BA136" s="763">
        <f t="shared" ca="1" si="129"/>
        <v>0</v>
      </c>
      <c r="BB136" s="763">
        <f t="shared" ca="1" si="129"/>
        <v>0</v>
      </c>
      <c r="BC136" s="763">
        <f t="shared" ca="1" si="129"/>
        <v>0</v>
      </c>
      <c r="BD136" s="763">
        <f t="shared" ca="1" si="129"/>
        <v>0</v>
      </c>
      <c r="BE136" s="763">
        <f t="shared" ca="1" si="129"/>
        <v>0</v>
      </c>
      <c r="BF136" s="763">
        <f t="shared" ca="1" si="129"/>
        <v>0</v>
      </c>
      <c r="BG136" s="763">
        <f t="shared" ca="1" si="129"/>
        <v>0</v>
      </c>
      <c r="BH136" s="763">
        <f t="shared" ca="1" si="129"/>
        <v>0</v>
      </c>
      <c r="BI136" s="763">
        <f t="shared" ca="1" si="129"/>
        <v>0</v>
      </c>
      <c r="BJ136" s="763">
        <f t="shared" ca="1" si="129"/>
        <v>0</v>
      </c>
      <c r="BK136" s="763">
        <f t="shared" ca="1" si="129"/>
        <v>0</v>
      </c>
      <c r="BL136" s="763">
        <f t="shared" ca="1" si="129"/>
        <v>0</v>
      </c>
    </row>
    <row r="137" spans="1:64">
      <c r="A137" s="811" t="s">
        <v>705</v>
      </c>
      <c r="B137" s="762"/>
      <c r="C137" s="762"/>
      <c r="D137" s="763">
        <f ca="1">SUM(D120,D123:D129)</f>
        <v>0</v>
      </c>
      <c r="E137" s="763">
        <f t="shared" ref="E137:BL137" ca="1" si="130">SUM(E120,E123:E129)</f>
        <v>0</v>
      </c>
      <c r="F137" s="763">
        <f t="shared" ca="1" si="130"/>
        <v>0</v>
      </c>
      <c r="G137" s="763">
        <f t="shared" ca="1" si="130"/>
        <v>0</v>
      </c>
      <c r="H137" s="763">
        <f t="shared" ca="1" si="130"/>
        <v>0</v>
      </c>
      <c r="I137" s="763">
        <f t="shared" ca="1" si="130"/>
        <v>0</v>
      </c>
      <c r="J137" s="763">
        <f t="shared" ca="1" si="130"/>
        <v>0</v>
      </c>
      <c r="K137" s="763">
        <f t="shared" ca="1" si="130"/>
        <v>0</v>
      </c>
      <c r="L137" s="763">
        <f t="shared" ca="1" si="130"/>
        <v>0</v>
      </c>
      <c r="M137" s="763">
        <f t="shared" ca="1" si="130"/>
        <v>0</v>
      </c>
      <c r="N137" s="763">
        <f t="shared" ca="1" si="130"/>
        <v>0</v>
      </c>
      <c r="O137" s="763">
        <f t="shared" ca="1" si="130"/>
        <v>0</v>
      </c>
      <c r="P137" s="763">
        <f t="shared" ca="1" si="130"/>
        <v>0</v>
      </c>
      <c r="Q137" s="763">
        <f t="shared" ca="1" si="130"/>
        <v>0</v>
      </c>
      <c r="R137" s="763">
        <f t="shared" ca="1" si="130"/>
        <v>-0.14057900302577764</v>
      </c>
      <c r="S137" s="763">
        <f t="shared" ca="1" si="130"/>
        <v>0</v>
      </c>
      <c r="T137" s="763">
        <f t="shared" ca="1" si="130"/>
        <v>0</v>
      </c>
      <c r="U137" s="763">
        <f t="shared" ca="1" si="130"/>
        <v>0</v>
      </c>
      <c r="V137" s="763">
        <f t="shared" ca="1" si="130"/>
        <v>0</v>
      </c>
      <c r="W137" s="763">
        <f t="shared" ca="1" si="130"/>
        <v>0</v>
      </c>
      <c r="X137" s="763">
        <f t="shared" ca="1" si="130"/>
        <v>0</v>
      </c>
      <c r="Y137" s="763">
        <f t="shared" ca="1" si="130"/>
        <v>0</v>
      </c>
      <c r="Z137" s="763">
        <f t="shared" ca="1" si="130"/>
        <v>0</v>
      </c>
      <c r="AA137" s="763">
        <f t="shared" ca="1" si="130"/>
        <v>0</v>
      </c>
      <c r="AB137" s="763">
        <f t="shared" ca="1" si="130"/>
        <v>0</v>
      </c>
      <c r="AC137" s="763">
        <f t="shared" ca="1" si="130"/>
        <v>-1.0535310502746142E-2</v>
      </c>
      <c r="AD137" s="763">
        <f t="shared" ca="1" si="130"/>
        <v>-0.14057900305488147</v>
      </c>
      <c r="AE137" s="763">
        <f t="shared" ca="1" si="130"/>
        <v>-3.0735506676137447E-2</v>
      </c>
      <c r="AF137" s="763">
        <f t="shared" ca="1" si="130"/>
        <v>-4.1548858134774491E-2</v>
      </c>
      <c r="AG137" s="763">
        <f t="shared" ca="1" si="130"/>
        <v>-5.1797160085698124E-2</v>
      </c>
      <c r="AH137" s="763">
        <f t="shared" ca="1" si="130"/>
        <v>-7.6985652973235119E-2</v>
      </c>
      <c r="AI137" s="763">
        <f t="shared" ca="1" si="130"/>
        <v>-8.9164118267945014E-2</v>
      </c>
      <c r="AJ137" s="763">
        <f t="shared" ca="1" si="130"/>
        <v>-9.7186898157815449E-2</v>
      </c>
      <c r="AK137" s="763">
        <f t="shared" ca="1" si="130"/>
        <v>-7.0409316809673328E-2</v>
      </c>
      <c r="AL137" s="763">
        <f t="shared" ca="1" si="130"/>
        <v>-7.0804834656883031E-2</v>
      </c>
      <c r="AM137" s="763">
        <f t="shared" ca="1" si="130"/>
        <v>-7.0079820899991319E-2</v>
      </c>
      <c r="AN137" s="763">
        <f t="shared" ca="1" si="130"/>
        <v>-8.0462262754736003E-2</v>
      </c>
      <c r="AO137" s="763">
        <f t="shared" ca="1" si="130"/>
        <v>-7.9693940228025895E-2</v>
      </c>
      <c r="AP137" s="763">
        <f t="shared" ca="1" si="130"/>
        <v>-8.2710518312524073E-2</v>
      </c>
      <c r="AQ137" s="763">
        <f t="shared" ca="1" si="130"/>
        <v>-8.5993392771342769E-2</v>
      </c>
      <c r="AR137" s="763">
        <f t="shared" ca="1" si="130"/>
        <v>-8.9688267966266721E-2</v>
      </c>
      <c r="AS137" s="763">
        <f t="shared" ca="1" si="130"/>
        <v>-9.4259135003085248E-2</v>
      </c>
      <c r="AT137" s="763">
        <f t="shared" ca="1" si="130"/>
        <v>-9.7026467905379832E-2</v>
      </c>
      <c r="AU137" s="763">
        <f t="shared" ca="1" si="130"/>
        <v>-9.8962860676692799E-2</v>
      </c>
      <c r="AV137" s="763">
        <f t="shared" ca="1" si="130"/>
        <v>-0.10070408204046544</v>
      </c>
      <c r="AW137" s="763">
        <f t="shared" ca="1" si="130"/>
        <v>-9.9440020028850995E-2</v>
      </c>
      <c r="AX137" s="763">
        <f t="shared" ca="1" si="130"/>
        <v>-9.8774722267990001E-2</v>
      </c>
      <c r="AY137" s="763">
        <f t="shared" ca="1" si="130"/>
        <v>-9.7165858300286345E-2</v>
      </c>
      <c r="AZ137" s="763">
        <f ca="1">SUM(AZ120,AZ123:AZ129)</f>
        <v>7597147.3969193492</v>
      </c>
      <c r="BA137" s="763">
        <f t="shared" ca="1" si="130"/>
        <v>0</v>
      </c>
      <c r="BB137" s="763">
        <f t="shared" ca="1" si="130"/>
        <v>0</v>
      </c>
      <c r="BC137" s="763">
        <f t="shared" ca="1" si="130"/>
        <v>0</v>
      </c>
      <c r="BD137" s="763">
        <f t="shared" ca="1" si="130"/>
        <v>0</v>
      </c>
      <c r="BE137" s="763">
        <f t="shared" ca="1" si="130"/>
        <v>0</v>
      </c>
      <c r="BF137" s="763">
        <f t="shared" ca="1" si="130"/>
        <v>0</v>
      </c>
      <c r="BG137" s="763">
        <f t="shared" ca="1" si="130"/>
        <v>0</v>
      </c>
      <c r="BH137" s="763">
        <f t="shared" ca="1" si="130"/>
        <v>0</v>
      </c>
      <c r="BI137" s="763">
        <f t="shared" ca="1" si="130"/>
        <v>0</v>
      </c>
      <c r="BJ137" s="763">
        <f t="shared" ca="1" si="130"/>
        <v>0</v>
      </c>
      <c r="BK137" s="763">
        <f t="shared" ca="1" si="130"/>
        <v>0</v>
      </c>
      <c r="BL137" s="763">
        <f t="shared" ca="1" si="130"/>
        <v>0</v>
      </c>
    </row>
    <row r="138" spans="1:64">
      <c r="A138" s="811" t="s">
        <v>706</v>
      </c>
      <c r="B138" s="762"/>
      <c r="C138" s="762"/>
      <c r="D138" s="812">
        <f ca="1">SUM(D136:D137)</f>
        <v>-534505.07346667291</v>
      </c>
      <c r="E138" s="812">
        <f t="shared" ref="E138:BL138" ca="1" si="131">SUM(E136:E137)</f>
        <v>-65494.926533327045</v>
      </c>
      <c r="F138" s="812">
        <f t="shared" ca="1" si="131"/>
        <v>1.6133862035746707E-9</v>
      </c>
      <c r="G138" s="812">
        <f t="shared" ca="1" si="131"/>
        <v>1.6133862035746707E-9</v>
      </c>
      <c r="H138" s="812">
        <f t="shared" ca="1" si="131"/>
        <v>1.6133862035746707E-9</v>
      </c>
      <c r="I138" s="812">
        <f t="shared" ca="1" si="131"/>
        <v>1.6133862035746707E-9</v>
      </c>
      <c r="J138" s="812">
        <f t="shared" ca="1" si="131"/>
        <v>1.6133862035746707E-9</v>
      </c>
      <c r="K138" s="812">
        <f t="shared" ca="1" si="131"/>
        <v>1.6133862035746707E-9</v>
      </c>
      <c r="L138" s="812">
        <f t="shared" ca="1" si="131"/>
        <v>1.6133862035746707E-9</v>
      </c>
      <c r="M138" s="812">
        <f t="shared" ca="1" si="131"/>
        <v>0</v>
      </c>
      <c r="N138" s="812">
        <f t="shared" ca="1" si="131"/>
        <v>0</v>
      </c>
      <c r="O138" s="812">
        <f t="shared" ca="1" si="131"/>
        <v>0</v>
      </c>
      <c r="P138" s="812">
        <f t="shared" ca="1" si="131"/>
        <v>0</v>
      </c>
      <c r="Q138" s="812">
        <f t="shared" ca="1" si="131"/>
        <v>0</v>
      </c>
      <c r="R138" s="812">
        <f t="shared" ca="1" si="131"/>
        <v>-0.14057900302577764</v>
      </c>
      <c r="S138" s="812">
        <f t="shared" ca="1" si="131"/>
        <v>0</v>
      </c>
      <c r="T138" s="812">
        <f t="shared" ca="1" si="131"/>
        <v>0</v>
      </c>
      <c r="U138" s="812">
        <f t="shared" ca="1" si="131"/>
        <v>0</v>
      </c>
      <c r="V138" s="812">
        <f t="shared" ca="1" si="131"/>
        <v>0</v>
      </c>
      <c r="W138" s="812">
        <f t="shared" ca="1" si="131"/>
        <v>0</v>
      </c>
      <c r="X138" s="812">
        <f t="shared" ca="1" si="131"/>
        <v>0</v>
      </c>
      <c r="Y138" s="812">
        <f t="shared" ca="1" si="131"/>
        <v>0</v>
      </c>
      <c r="Z138" s="812">
        <f t="shared" ca="1" si="131"/>
        <v>0</v>
      </c>
      <c r="AA138" s="812">
        <f t="shared" ca="1" si="131"/>
        <v>0</v>
      </c>
      <c r="AB138" s="812">
        <f t="shared" ca="1" si="131"/>
        <v>0</v>
      </c>
      <c r="AC138" s="812">
        <f t="shared" ca="1" si="131"/>
        <v>-1.0535310502746142E-2</v>
      </c>
      <c r="AD138" s="812">
        <f t="shared" ca="1" si="131"/>
        <v>-0.14057900305488147</v>
      </c>
      <c r="AE138" s="812">
        <f t="shared" ca="1" si="131"/>
        <v>-3.0735506676137447E-2</v>
      </c>
      <c r="AF138" s="812">
        <f t="shared" ca="1" si="131"/>
        <v>-4.1548858134774491E-2</v>
      </c>
      <c r="AG138" s="812">
        <f t="shared" ca="1" si="131"/>
        <v>-5.1797160085698124E-2</v>
      </c>
      <c r="AH138" s="812">
        <f t="shared" ca="1" si="131"/>
        <v>-7.6985652973235119E-2</v>
      </c>
      <c r="AI138" s="812">
        <f t="shared" ca="1" si="131"/>
        <v>-8.9164118267945014E-2</v>
      </c>
      <c r="AJ138" s="812">
        <f t="shared" ca="1" si="131"/>
        <v>-9.7186898157815449E-2</v>
      </c>
      <c r="AK138" s="812">
        <f t="shared" ca="1" si="131"/>
        <v>-7.0409316809673328E-2</v>
      </c>
      <c r="AL138" s="812">
        <f t="shared" ca="1" si="131"/>
        <v>-7.0804834656883031E-2</v>
      </c>
      <c r="AM138" s="812">
        <f t="shared" ca="1" si="131"/>
        <v>-7.0079820899991319E-2</v>
      </c>
      <c r="AN138" s="812">
        <f t="shared" ca="1" si="131"/>
        <v>-8.0462262754736003E-2</v>
      </c>
      <c r="AO138" s="812">
        <f t="shared" ca="1" si="131"/>
        <v>-7.9693940228025895E-2</v>
      </c>
      <c r="AP138" s="812">
        <f t="shared" ca="1" si="131"/>
        <v>-8.2710518312524073E-2</v>
      </c>
      <c r="AQ138" s="812">
        <f t="shared" ca="1" si="131"/>
        <v>-8.5993392771342769E-2</v>
      </c>
      <c r="AR138" s="812">
        <f t="shared" ca="1" si="131"/>
        <v>-8.9688267966266721E-2</v>
      </c>
      <c r="AS138" s="812">
        <f t="shared" ca="1" si="131"/>
        <v>-9.4259135003085248E-2</v>
      </c>
      <c r="AT138" s="812">
        <f t="shared" ca="1" si="131"/>
        <v>-9.7026467905379832E-2</v>
      </c>
      <c r="AU138" s="812">
        <f t="shared" ca="1" si="131"/>
        <v>-9.8962860676692799E-2</v>
      </c>
      <c r="AV138" s="812">
        <f t="shared" ca="1" si="131"/>
        <v>-0.10070408204046544</v>
      </c>
      <c r="AW138" s="812">
        <f t="shared" ca="1" si="131"/>
        <v>-9.9440020028850995E-2</v>
      </c>
      <c r="AX138" s="812">
        <f t="shared" ca="1" si="131"/>
        <v>-9.8774722267990001E-2</v>
      </c>
      <c r="AY138" s="812">
        <f t="shared" ca="1" si="131"/>
        <v>-9.7165858300286345E-2</v>
      </c>
      <c r="AZ138" s="812">
        <f t="shared" ca="1" si="131"/>
        <v>7597147.3969193492</v>
      </c>
      <c r="BA138" s="812">
        <f t="shared" ca="1" si="131"/>
        <v>0</v>
      </c>
      <c r="BB138" s="812">
        <f t="shared" ca="1" si="131"/>
        <v>0</v>
      </c>
      <c r="BC138" s="812">
        <f t="shared" ca="1" si="131"/>
        <v>0</v>
      </c>
      <c r="BD138" s="812">
        <f t="shared" ca="1" si="131"/>
        <v>0</v>
      </c>
      <c r="BE138" s="812">
        <f t="shared" ca="1" si="131"/>
        <v>0</v>
      </c>
      <c r="BF138" s="812">
        <f t="shared" ca="1" si="131"/>
        <v>0</v>
      </c>
      <c r="BG138" s="812">
        <f t="shared" ca="1" si="131"/>
        <v>0</v>
      </c>
      <c r="BH138" s="812">
        <f t="shared" ca="1" si="131"/>
        <v>0</v>
      </c>
      <c r="BI138" s="812">
        <f t="shared" ca="1" si="131"/>
        <v>0</v>
      </c>
      <c r="BJ138" s="812">
        <f t="shared" ca="1" si="131"/>
        <v>0</v>
      </c>
      <c r="BK138" s="812">
        <f t="shared" ca="1" si="131"/>
        <v>0</v>
      </c>
      <c r="BL138" s="812">
        <f t="shared" ca="1" si="131"/>
        <v>0</v>
      </c>
    </row>
    <row r="139" spans="1:64">
      <c r="A139" s="787">
        <f ca="1">(1+IRR(D138:BL138,0.01))^12-1</f>
        <v>0.88902774607634294</v>
      </c>
      <c r="B139" s="762"/>
      <c r="C139" s="762"/>
      <c r="D139" s="762"/>
      <c r="E139" s="762"/>
      <c r="F139" s="762"/>
      <c r="G139" s="762"/>
      <c r="H139" s="762"/>
      <c r="I139" s="762"/>
      <c r="J139" s="762"/>
      <c r="K139" s="762"/>
      <c r="L139" s="762"/>
      <c r="M139" s="762"/>
      <c r="N139" s="762"/>
      <c r="O139" s="762"/>
      <c r="P139" s="762"/>
      <c r="Q139" s="762"/>
      <c r="R139" s="762"/>
      <c r="S139" s="762"/>
      <c r="T139" s="762"/>
      <c r="U139" s="762"/>
      <c r="V139" s="762"/>
      <c r="W139" s="762"/>
      <c r="X139" s="762"/>
      <c r="Y139" s="762"/>
      <c r="Z139" s="762"/>
      <c r="AA139" s="762"/>
      <c r="AB139" s="762"/>
      <c r="AC139" s="762"/>
      <c r="AD139" s="762"/>
      <c r="AE139" s="762"/>
      <c r="AF139" s="762"/>
      <c r="AG139" s="762"/>
      <c r="AH139" s="762"/>
      <c r="AI139" s="762"/>
      <c r="AJ139" s="762"/>
      <c r="AK139" s="762"/>
      <c r="AL139" s="762"/>
      <c r="AM139" s="762"/>
      <c r="AN139" s="762"/>
      <c r="AO139" s="762"/>
      <c r="AP139" s="762"/>
      <c r="AQ139" s="762"/>
      <c r="AR139" s="762"/>
      <c r="AS139" s="762"/>
      <c r="AT139" s="762"/>
      <c r="AU139" s="762"/>
      <c r="AV139" s="762"/>
      <c r="AW139" s="762"/>
      <c r="AX139" s="762"/>
      <c r="AY139" s="762"/>
      <c r="AZ139" s="762"/>
      <c r="BA139" s="762"/>
      <c r="BB139" s="762"/>
      <c r="BC139" s="762"/>
      <c r="BD139" s="762"/>
      <c r="BE139" s="762"/>
      <c r="BF139" s="762"/>
      <c r="BG139" s="762"/>
      <c r="BH139" s="762"/>
      <c r="BI139" s="762"/>
      <c r="BJ139" s="762"/>
      <c r="BK139" s="762"/>
      <c r="BL139" s="762"/>
    </row>
    <row r="140" spans="1:64">
      <c r="A140" s="788">
        <f ca="1">SUM(D138:BL138)</f>
        <v>6997145.401632349</v>
      </c>
      <c r="B140" s="762"/>
      <c r="C140" s="762"/>
      <c r="D140" s="762"/>
      <c r="E140" s="762"/>
      <c r="F140" s="762"/>
      <c r="G140" s="762"/>
      <c r="H140" s="762"/>
      <c r="I140" s="762"/>
      <c r="J140" s="762"/>
      <c r="K140" s="762"/>
      <c r="L140" s="762"/>
      <c r="M140" s="762"/>
      <c r="N140" s="762"/>
      <c r="O140" s="762"/>
      <c r="P140" s="762"/>
      <c r="Q140" s="762"/>
      <c r="R140" s="762"/>
      <c r="S140" s="762"/>
      <c r="T140" s="762"/>
      <c r="U140" s="762"/>
      <c r="V140" s="762"/>
      <c r="W140" s="762"/>
      <c r="X140" s="762"/>
      <c r="Y140" s="762"/>
      <c r="Z140" s="762"/>
      <c r="AA140" s="762"/>
      <c r="AB140" s="762"/>
      <c r="AC140" s="762"/>
      <c r="AD140" s="762"/>
      <c r="AE140" s="762"/>
      <c r="AF140" s="762"/>
      <c r="AG140" s="762"/>
      <c r="AH140" s="762"/>
      <c r="AI140" s="762"/>
      <c r="AJ140" s="762"/>
      <c r="AK140" s="762"/>
      <c r="AL140" s="762"/>
      <c r="AM140" s="762"/>
      <c r="AN140" s="762"/>
      <c r="AO140" s="762"/>
      <c r="AP140" s="762"/>
      <c r="AQ140" s="762"/>
      <c r="AR140" s="762"/>
      <c r="AS140" s="762"/>
      <c r="AT140" s="762"/>
      <c r="AU140" s="762"/>
      <c r="AV140" s="762"/>
      <c r="AW140" s="762"/>
      <c r="AX140" s="762"/>
      <c r="AY140" s="762"/>
      <c r="AZ140" s="762"/>
      <c r="BA140" s="762"/>
      <c r="BB140" s="762"/>
      <c r="BC140" s="762"/>
      <c r="BD140" s="762"/>
      <c r="BE140" s="762"/>
      <c r="BF140" s="762"/>
      <c r="BG140" s="762"/>
      <c r="BH140" s="762"/>
      <c r="BI140" s="762"/>
      <c r="BJ140" s="762"/>
      <c r="BK140" s="762"/>
      <c r="BL140" s="762"/>
    </row>
    <row r="141" spans="1:64">
      <c r="A141" s="789">
        <f ca="1">SUM(D137:BL137)/-SUM(D136:BL136)</f>
        <v>12.661909002720805</v>
      </c>
      <c r="B141" s="762"/>
      <c r="C141" s="762"/>
      <c r="D141" s="762"/>
      <c r="E141" s="762"/>
      <c r="F141" s="762"/>
      <c r="G141" s="762"/>
      <c r="H141" s="762"/>
      <c r="I141" s="762"/>
      <c r="J141" s="762"/>
      <c r="K141" s="762"/>
      <c r="L141" s="762"/>
      <c r="M141" s="762"/>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2"/>
      <c r="AJ141" s="762"/>
      <c r="AK141" s="762"/>
      <c r="AL141" s="762"/>
      <c r="AM141" s="762"/>
      <c r="AN141" s="762"/>
      <c r="AO141" s="762"/>
      <c r="AP141" s="762"/>
      <c r="AQ141" s="762"/>
      <c r="AR141" s="762"/>
      <c r="AS141" s="762"/>
      <c r="AT141" s="762"/>
      <c r="AU141" s="762"/>
      <c r="AV141" s="762"/>
      <c r="AW141" s="762"/>
      <c r="AX141" s="762"/>
      <c r="AY141" s="762"/>
      <c r="AZ141" s="762"/>
      <c r="BA141" s="762"/>
      <c r="BB141" s="762"/>
      <c r="BC141" s="762"/>
      <c r="BD141" s="762"/>
      <c r="BE141" s="762"/>
      <c r="BF141" s="762"/>
      <c r="BG141" s="762"/>
      <c r="BH141" s="762"/>
      <c r="BI141" s="762"/>
      <c r="BJ141" s="762"/>
      <c r="BK141" s="762"/>
      <c r="BL141" s="762"/>
    </row>
    <row r="142" spans="1:64">
      <c r="A142" s="811"/>
      <c r="B142" s="762"/>
      <c r="C142" s="762"/>
      <c r="D142" s="762"/>
      <c r="E142" s="762"/>
      <c r="F142" s="762"/>
      <c r="G142" s="762"/>
      <c r="H142" s="762"/>
      <c r="I142" s="762"/>
      <c r="J142" s="762"/>
      <c r="K142" s="762"/>
      <c r="L142" s="762"/>
      <c r="M142" s="762"/>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2"/>
      <c r="AJ142" s="762"/>
      <c r="AK142" s="762"/>
      <c r="AL142" s="762"/>
      <c r="AM142" s="762"/>
      <c r="AN142" s="762"/>
      <c r="AO142" s="762"/>
      <c r="AP142" s="762"/>
      <c r="AQ142" s="762"/>
      <c r="AR142" s="762"/>
      <c r="AS142" s="762"/>
      <c r="AT142" s="762"/>
      <c r="AU142" s="762"/>
      <c r="AV142" s="762"/>
      <c r="AW142" s="762"/>
      <c r="AX142" s="762"/>
      <c r="AY142" s="762"/>
      <c r="AZ142" s="762"/>
      <c r="BA142" s="762"/>
      <c r="BB142" s="762"/>
      <c r="BC142" s="762"/>
      <c r="BD142" s="762"/>
      <c r="BE142" s="762"/>
      <c r="BF142" s="762"/>
      <c r="BG142" s="762"/>
      <c r="BH142" s="762"/>
      <c r="BI142" s="762"/>
      <c r="BJ142" s="762"/>
      <c r="BK142" s="762"/>
      <c r="BL142" s="762"/>
    </row>
    <row r="143" spans="1:64">
      <c r="A143" s="767"/>
      <c r="B143" s="762"/>
      <c r="C143" s="762"/>
      <c r="D143" s="762"/>
      <c r="E143" s="762"/>
      <c r="F143" s="762"/>
      <c r="G143" s="762"/>
      <c r="H143" s="762"/>
      <c r="I143" s="762"/>
      <c r="J143" s="762"/>
      <c r="K143" s="762"/>
      <c r="L143" s="762"/>
      <c r="M143" s="762"/>
      <c r="N143" s="762"/>
      <c r="O143" s="762"/>
      <c r="P143" s="762"/>
      <c r="Q143" s="762"/>
      <c r="R143" s="762"/>
      <c r="S143" s="762"/>
      <c r="T143" s="762"/>
      <c r="U143" s="762"/>
      <c r="V143" s="762"/>
      <c r="W143" s="762"/>
      <c r="X143" s="762"/>
      <c r="Y143" s="762"/>
      <c r="Z143" s="762"/>
      <c r="AA143" s="762"/>
      <c r="AB143" s="762"/>
      <c r="AC143" s="762"/>
      <c r="AD143" s="762"/>
      <c r="AE143" s="762"/>
      <c r="AF143" s="762"/>
      <c r="AG143" s="762"/>
      <c r="AH143" s="762"/>
      <c r="AI143" s="762"/>
      <c r="AJ143" s="762"/>
      <c r="AK143" s="762"/>
      <c r="AL143" s="762"/>
      <c r="AM143" s="762"/>
      <c r="AN143" s="762"/>
      <c r="AO143" s="762"/>
      <c r="AP143" s="762"/>
      <c r="AQ143" s="762"/>
      <c r="AR143" s="762"/>
      <c r="AS143" s="762"/>
      <c r="AT143" s="762"/>
      <c r="AU143" s="762"/>
      <c r="AV143" s="762"/>
      <c r="AW143" s="762"/>
      <c r="AX143" s="762"/>
      <c r="AY143" s="762"/>
      <c r="AZ143" s="762"/>
      <c r="BA143" s="762"/>
      <c r="BB143" s="762"/>
      <c r="BC143" s="762"/>
      <c r="BD143" s="762"/>
      <c r="BE143" s="762"/>
      <c r="BF143" s="762"/>
      <c r="BG143" s="762"/>
      <c r="BH143" s="762"/>
      <c r="BI143" s="762"/>
      <c r="BJ143" s="762"/>
      <c r="BK143" s="762"/>
      <c r="BL143" s="762"/>
    </row>
    <row r="144" spans="1:64">
      <c r="A144" s="759" t="s">
        <v>657</v>
      </c>
      <c r="B144" s="759"/>
    </row>
    <row r="145" spans="1:64" s="772" customFormat="1">
      <c r="A145" s="815" t="s">
        <v>645</v>
      </c>
      <c r="B145" s="762"/>
      <c r="C145" s="762"/>
      <c r="D145" s="763">
        <f ca="1">D105+D136</f>
        <v>-6170830.5186084136</v>
      </c>
      <c r="E145" s="763">
        <f t="shared" ref="E145:BL145" ca="1" si="132">E105+E136</f>
        <v>-756135.18286102917</v>
      </c>
      <c r="F145" s="763">
        <f t="shared" ca="1" si="132"/>
        <v>1.862645149230957E-8</v>
      </c>
      <c r="G145" s="763">
        <f t="shared" ca="1" si="132"/>
        <v>1.862645149230957E-8</v>
      </c>
      <c r="H145" s="763">
        <f t="shared" ca="1" si="132"/>
        <v>1.862645149230957E-8</v>
      </c>
      <c r="I145" s="763">
        <f t="shared" ca="1" si="132"/>
        <v>1.862645149230957E-8</v>
      </c>
      <c r="J145" s="763">
        <f t="shared" ca="1" si="132"/>
        <v>1.862645149230957E-8</v>
      </c>
      <c r="K145" s="763">
        <f t="shared" ca="1" si="132"/>
        <v>1.862645149230957E-8</v>
      </c>
      <c r="L145" s="763">
        <f t="shared" ca="1" si="132"/>
        <v>2.0239837695884241E-8</v>
      </c>
      <c r="M145" s="763">
        <f t="shared" ca="1" si="132"/>
        <v>0</v>
      </c>
      <c r="N145" s="763">
        <f t="shared" ca="1" si="132"/>
        <v>0</v>
      </c>
      <c r="O145" s="763">
        <f t="shared" ca="1" si="132"/>
        <v>0</v>
      </c>
      <c r="P145" s="763">
        <f t="shared" ca="1" si="132"/>
        <v>0</v>
      </c>
      <c r="Q145" s="763">
        <f t="shared" ca="1" si="132"/>
        <v>0</v>
      </c>
      <c r="R145" s="763">
        <f t="shared" ca="1" si="132"/>
        <v>0</v>
      </c>
      <c r="S145" s="763">
        <f t="shared" ca="1" si="132"/>
        <v>0</v>
      </c>
      <c r="T145" s="763">
        <f t="shared" ca="1" si="132"/>
        <v>0</v>
      </c>
      <c r="U145" s="763">
        <f t="shared" ca="1" si="132"/>
        <v>0</v>
      </c>
      <c r="V145" s="763">
        <f t="shared" ca="1" si="132"/>
        <v>0</v>
      </c>
      <c r="W145" s="763">
        <f t="shared" ca="1" si="132"/>
        <v>0</v>
      </c>
      <c r="X145" s="763">
        <f t="shared" ca="1" si="132"/>
        <v>0</v>
      </c>
      <c r="Y145" s="763">
        <f t="shared" ca="1" si="132"/>
        <v>0</v>
      </c>
      <c r="Z145" s="763">
        <f t="shared" ca="1" si="132"/>
        <v>0</v>
      </c>
      <c r="AA145" s="763">
        <f t="shared" ca="1" si="132"/>
        <v>0</v>
      </c>
      <c r="AB145" s="763">
        <f t="shared" ca="1" si="132"/>
        <v>0</v>
      </c>
      <c r="AC145" s="763">
        <f t="shared" ca="1" si="132"/>
        <v>0</v>
      </c>
      <c r="AD145" s="763">
        <f t="shared" ca="1" si="132"/>
        <v>0</v>
      </c>
      <c r="AE145" s="763">
        <f t="shared" ca="1" si="132"/>
        <v>0</v>
      </c>
      <c r="AF145" s="763">
        <f t="shared" ca="1" si="132"/>
        <v>0</v>
      </c>
      <c r="AG145" s="763">
        <f t="shared" ca="1" si="132"/>
        <v>0</v>
      </c>
      <c r="AH145" s="763">
        <f t="shared" ca="1" si="132"/>
        <v>0</v>
      </c>
      <c r="AI145" s="763">
        <f t="shared" ca="1" si="132"/>
        <v>0</v>
      </c>
      <c r="AJ145" s="763">
        <f t="shared" ca="1" si="132"/>
        <v>0</v>
      </c>
      <c r="AK145" s="763">
        <f t="shared" ca="1" si="132"/>
        <v>0</v>
      </c>
      <c r="AL145" s="763">
        <f t="shared" ca="1" si="132"/>
        <v>0</v>
      </c>
      <c r="AM145" s="763">
        <f t="shared" ca="1" si="132"/>
        <v>0</v>
      </c>
      <c r="AN145" s="763">
        <f t="shared" ca="1" si="132"/>
        <v>0</v>
      </c>
      <c r="AO145" s="763">
        <f t="shared" ca="1" si="132"/>
        <v>0</v>
      </c>
      <c r="AP145" s="763">
        <f t="shared" ca="1" si="132"/>
        <v>0</v>
      </c>
      <c r="AQ145" s="763">
        <f t="shared" ca="1" si="132"/>
        <v>0</v>
      </c>
      <c r="AR145" s="763">
        <f t="shared" ca="1" si="132"/>
        <v>0</v>
      </c>
      <c r="AS145" s="763">
        <f t="shared" ca="1" si="132"/>
        <v>0</v>
      </c>
      <c r="AT145" s="763">
        <f t="shared" ca="1" si="132"/>
        <v>0</v>
      </c>
      <c r="AU145" s="763">
        <f t="shared" ca="1" si="132"/>
        <v>0</v>
      </c>
      <c r="AV145" s="763">
        <f t="shared" ca="1" si="132"/>
        <v>0</v>
      </c>
      <c r="AW145" s="763">
        <f t="shared" ca="1" si="132"/>
        <v>0</v>
      </c>
      <c r="AX145" s="763">
        <f t="shared" ca="1" si="132"/>
        <v>0</v>
      </c>
      <c r="AY145" s="763">
        <f t="shared" ca="1" si="132"/>
        <v>0</v>
      </c>
      <c r="AZ145" s="763">
        <f t="shared" ca="1" si="132"/>
        <v>0</v>
      </c>
      <c r="BA145" s="763">
        <f t="shared" ca="1" si="132"/>
        <v>0</v>
      </c>
      <c r="BB145" s="763">
        <f t="shared" ca="1" si="132"/>
        <v>0</v>
      </c>
      <c r="BC145" s="763">
        <f t="shared" ca="1" si="132"/>
        <v>0</v>
      </c>
      <c r="BD145" s="763">
        <f t="shared" ca="1" si="132"/>
        <v>0</v>
      </c>
      <c r="BE145" s="763">
        <f t="shared" ca="1" si="132"/>
        <v>0</v>
      </c>
      <c r="BF145" s="763">
        <f t="shared" ca="1" si="132"/>
        <v>0</v>
      </c>
      <c r="BG145" s="763">
        <f t="shared" ca="1" si="132"/>
        <v>0</v>
      </c>
      <c r="BH145" s="763">
        <f t="shared" ca="1" si="132"/>
        <v>0</v>
      </c>
      <c r="BI145" s="763">
        <f t="shared" ca="1" si="132"/>
        <v>0</v>
      </c>
      <c r="BJ145" s="763">
        <f t="shared" ca="1" si="132"/>
        <v>0</v>
      </c>
      <c r="BK145" s="763">
        <f t="shared" ca="1" si="132"/>
        <v>0</v>
      </c>
      <c r="BL145" s="763">
        <f t="shared" ca="1" si="132"/>
        <v>0</v>
      </c>
    </row>
    <row r="146" spans="1:64" s="772" customFormat="1">
      <c r="A146" s="815" t="s">
        <v>49</v>
      </c>
      <c r="B146" s="762"/>
      <c r="C146" s="762"/>
      <c r="D146" s="763">
        <f ca="1">SUM(D106:D109,D137)</f>
        <v>0</v>
      </c>
      <c r="E146" s="763">
        <f t="shared" ref="E146:BL146" ca="1" si="133">SUM(E106:E109,E137)</f>
        <v>0</v>
      </c>
      <c r="F146" s="763">
        <f t="shared" ca="1" si="133"/>
        <v>0</v>
      </c>
      <c r="G146" s="763">
        <f t="shared" ca="1" si="133"/>
        <v>0</v>
      </c>
      <c r="H146" s="763">
        <f t="shared" ca="1" si="133"/>
        <v>0</v>
      </c>
      <c r="I146" s="763">
        <f t="shared" ca="1" si="133"/>
        <v>0</v>
      </c>
      <c r="J146" s="763">
        <f t="shared" ca="1" si="133"/>
        <v>0</v>
      </c>
      <c r="K146" s="763">
        <f t="shared" ca="1" si="133"/>
        <v>0</v>
      </c>
      <c r="L146" s="763">
        <f t="shared" ca="1" si="133"/>
        <v>0</v>
      </c>
      <c r="M146" s="763">
        <f t="shared" ca="1" si="133"/>
        <v>0</v>
      </c>
      <c r="N146" s="763">
        <f t="shared" ca="1" si="133"/>
        <v>0</v>
      </c>
      <c r="O146" s="763">
        <f t="shared" ca="1" si="133"/>
        <v>0</v>
      </c>
      <c r="P146" s="763">
        <f t="shared" ca="1" si="133"/>
        <v>0</v>
      </c>
      <c r="Q146" s="763">
        <f t="shared" ca="1" si="133"/>
        <v>0</v>
      </c>
      <c r="R146" s="763">
        <f t="shared" ca="1" si="133"/>
        <v>132618.31297400931</v>
      </c>
      <c r="S146" s="763">
        <f t="shared" ca="1" si="133"/>
        <v>0</v>
      </c>
      <c r="T146" s="763">
        <f t="shared" ca="1" si="133"/>
        <v>0</v>
      </c>
      <c r="U146" s="763">
        <f t="shared" ca="1" si="133"/>
        <v>0</v>
      </c>
      <c r="V146" s="763">
        <f t="shared" ca="1" si="133"/>
        <v>0</v>
      </c>
      <c r="W146" s="763">
        <f t="shared" ca="1" si="133"/>
        <v>0</v>
      </c>
      <c r="X146" s="763">
        <f t="shared" ca="1" si="133"/>
        <v>0</v>
      </c>
      <c r="Y146" s="763">
        <f t="shared" ca="1" si="133"/>
        <v>0</v>
      </c>
      <c r="Z146" s="763">
        <f t="shared" ca="1" si="133"/>
        <v>0</v>
      </c>
      <c r="AA146" s="763">
        <f t="shared" ca="1" si="133"/>
        <v>0</v>
      </c>
      <c r="AB146" s="763">
        <f t="shared" ca="1" si="133"/>
        <v>0</v>
      </c>
      <c r="AC146" s="763">
        <f t="shared" ca="1" si="133"/>
        <v>7206.0087427061371</v>
      </c>
      <c r="AD146" s="763">
        <f t="shared" ca="1" si="133"/>
        <v>173151.06485049459</v>
      </c>
      <c r="AE146" s="763">
        <f t="shared" ca="1" si="133"/>
        <v>21055.946865947888</v>
      </c>
      <c r="AF146" s="763">
        <f t="shared" ca="1" si="133"/>
        <v>28724.387467987923</v>
      </c>
      <c r="AG146" s="763">
        <f t="shared" ca="1" si="133"/>
        <v>36104.966417679243</v>
      </c>
      <c r="AH146" s="763">
        <f t="shared" ca="1" si="133"/>
        <v>54059.507925376165</v>
      </c>
      <c r="AI146" s="763">
        <f t="shared" ca="1" si="133"/>
        <v>62943.060065788086</v>
      </c>
      <c r="AJ146" s="763">
        <f t="shared" ca="1" si="133"/>
        <v>68900.47988270261</v>
      </c>
      <c r="AK146" s="763">
        <f t="shared" ca="1" si="133"/>
        <v>50097.05957852221</v>
      </c>
      <c r="AL146" s="763">
        <f t="shared" ca="1" si="133"/>
        <v>50673.06200911761</v>
      </c>
      <c r="AM146" s="763">
        <f t="shared" ca="1" si="133"/>
        <v>50445.81195463457</v>
      </c>
      <c r="AN146" s="763">
        <f t="shared" ca="1" si="133"/>
        <v>58259.71555476317</v>
      </c>
      <c r="AO146" s="763">
        <f t="shared" ca="1" si="133"/>
        <v>57992.480314047338</v>
      </c>
      <c r="AP146" s="763">
        <f t="shared" ca="1" si="133"/>
        <v>60492.991125167217</v>
      </c>
      <c r="AQ146" s="763">
        <f t="shared" ca="1" si="133"/>
        <v>63197.325187124254</v>
      </c>
      <c r="AR146" s="763">
        <f t="shared" ca="1" si="133"/>
        <v>66212.546362612702</v>
      </c>
      <c r="AS146" s="763">
        <f t="shared" ca="1" si="133"/>
        <v>69882.109380630471</v>
      </c>
      <c r="AT146" s="763">
        <f t="shared" ca="1" si="133"/>
        <v>72211.426165391909</v>
      </c>
      <c r="AU146" s="763">
        <f t="shared" ca="1" si="133"/>
        <v>73919.889087109943</v>
      </c>
      <c r="AV146" s="763">
        <f t="shared" ca="1" si="133"/>
        <v>75481.35254099837</v>
      </c>
      <c r="AW146" s="763">
        <f t="shared" ca="1" si="133"/>
        <v>74781.561758040159</v>
      </c>
      <c r="AX146" s="763">
        <f t="shared" ca="1" si="133"/>
        <v>74535.894558091793</v>
      </c>
      <c r="AY146" s="763">
        <f t="shared" ca="1" si="133"/>
        <v>73577.268404592178</v>
      </c>
      <c r="AZ146" s="763">
        <f t="shared" ca="1" si="133"/>
        <v>23717035.15209382</v>
      </c>
      <c r="BA146" s="763">
        <f t="shared" ca="1" si="133"/>
        <v>0</v>
      </c>
      <c r="BB146" s="763">
        <f t="shared" ca="1" si="133"/>
        <v>0</v>
      </c>
      <c r="BC146" s="763">
        <f t="shared" ca="1" si="133"/>
        <v>0</v>
      </c>
      <c r="BD146" s="763">
        <f t="shared" ca="1" si="133"/>
        <v>0</v>
      </c>
      <c r="BE146" s="763">
        <f t="shared" ca="1" si="133"/>
        <v>0</v>
      </c>
      <c r="BF146" s="763">
        <f t="shared" ca="1" si="133"/>
        <v>0</v>
      </c>
      <c r="BG146" s="763">
        <f t="shared" ca="1" si="133"/>
        <v>0</v>
      </c>
      <c r="BH146" s="763">
        <f t="shared" ca="1" si="133"/>
        <v>0</v>
      </c>
      <c r="BI146" s="763">
        <f t="shared" ca="1" si="133"/>
        <v>0</v>
      </c>
      <c r="BJ146" s="763">
        <f t="shared" ca="1" si="133"/>
        <v>0</v>
      </c>
      <c r="BK146" s="763">
        <f t="shared" ca="1" si="133"/>
        <v>0</v>
      </c>
      <c r="BL146" s="763">
        <f t="shared" ca="1" si="133"/>
        <v>0</v>
      </c>
    </row>
    <row r="147" spans="1:64" s="772" customFormat="1">
      <c r="A147" s="816" t="s">
        <v>708</v>
      </c>
      <c r="B147" s="759"/>
      <c r="C147" s="759"/>
      <c r="D147" s="768">
        <f ca="1">SUM(D145:D146)</f>
        <v>-6170830.5186084136</v>
      </c>
      <c r="E147" s="768">
        <f t="shared" ref="E147:BL147" ca="1" si="134">SUM(E145:E146)</f>
        <v>-756135.18286102917</v>
      </c>
      <c r="F147" s="768">
        <f t="shared" ca="1" si="134"/>
        <v>1.862645149230957E-8</v>
      </c>
      <c r="G147" s="768">
        <f t="shared" ca="1" si="134"/>
        <v>1.862645149230957E-8</v>
      </c>
      <c r="H147" s="768">
        <f t="shared" ca="1" si="134"/>
        <v>1.862645149230957E-8</v>
      </c>
      <c r="I147" s="768">
        <f t="shared" ca="1" si="134"/>
        <v>1.862645149230957E-8</v>
      </c>
      <c r="J147" s="768">
        <f t="shared" ca="1" si="134"/>
        <v>1.862645149230957E-8</v>
      </c>
      <c r="K147" s="768">
        <f t="shared" ca="1" si="134"/>
        <v>1.862645149230957E-8</v>
      </c>
      <c r="L147" s="768">
        <f t="shared" ca="1" si="134"/>
        <v>2.0239837695884241E-8</v>
      </c>
      <c r="M147" s="768">
        <f t="shared" ca="1" si="134"/>
        <v>0</v>
      </c>
      <c r="N147" s="768">
        <f t="shared" ca="1" si="134"/>
        <v>0</v>
      </c>
      <c r="O147" s="768">
        <f t="shared" ca="1" si="134"/>
        <v>0</v>
      </c>
      <c r="P147" s="768">
        <f t="shared" ca="1" si="134"/>
        <v>0</v>
      </c>
      <c r="Q147" s="768">
        <f t="shared" ca="1" si="134"/>
        <v>0</v>
      </c>
      <c r="R147" s="768">
        <f t="shared" ca="1" si="134"/>
        <v>132618.31297400931</v>
      </c>
      <c r="S147" s="768">
        <f t="shared" ca="1" si="134"/>
        <v>0</v>
      </c>
      <c r="T147" s="768">
        <f t="shared" ca="1" si="134"/>
        <v>0</v>
      </c>
      <c r="U147" s="768">
        <f t="shared" ca="1" si="134"/>
        <v>0</v>
      </c>
      <c r="V147" s="768">
        <f t="shared" ca="1" si="134"/>
        <v>0</v>
      </c>
      <c r="W147" s="768">
        <f t="shared" ca="1" si="134"/>
        <v>0</v>
      </c>
      <c r="X147" s="768">
        <f t="shared" ca="1" si="134"/>
        <v>0</v>
      </c>
      <c r="Y147" s="768">
        <f t="shared" ca="1" si="134"/>
        <v>0</v>
      </c>
      <c r="Z147" s="768">
        <f t="shared" ca="1" si="134"/>
        <v>0</v>
      </c>
      <c r="AA147" s="768">
        <f t="shared" ca="1" si="134"/>
        <v>0</v>
      </c>
      <c r="AB147" s="768">
        <f t="shared" ca="1" si="134"/>
        <v>0</v>
      </c>
      <c r="AC147" s="768">
        <f t="shared" ca="1" si="134"/>
        <v>7206.0087427061371</v>
      </c>
      <c r="AD147" s="768">
        <f t="shared" ca="1" si="134"/>
        <v>173151.06485049459</v>
      </c>
      <c r="AE147" s="768">
        <f t="shared" ca="1" si="134"/>
        <v>21055.946865947888</v>
      </c>
      <c r="AF147" s="768">
        <f t="shared" ca="1" si="134"/>
        <v>28724.387467987923</v>
      </c>
      <c r="AG147" s="768">
        <f t="shared" ca="1" si="134"/>
        <v>36104.966417679243</v>
      </c>
      <c r="AH147" s="768">
        <f t="shared" ca="1" si="134"/>
        <v>54059.507925376165</v>
      </c>
      <c r="AI147" s="768">
        <f t="shared" ca="1" si="134"/>
        <v>62943.060065788086</v>
      </c>
      <c r="AJ147" s="768">
        <f t="shared" ca="1" si="134"/>
        <v>68900.47988270261</v>
      </c>
      <c r="AK147" s="768">
        <f t="shared" ca="1" si="134"/>
        <v>50097.05957852221</v>
      </c>
      <c r="AL147" s="768">
        <f t="shared" ca="1" si="134"/>
        <v>50673.06200911761</v>
      </c>
      <c r="AM147" s="768">
        <f t="shared" ca="1" si="134"/>
        <v>50445.81195463457</v>
      </c>
      <c r="AN147" s="768">
        <f t="shared" ca="1" si="134"/>
        <v>58259.71555476317</v>
      </c>
      <c r="AO147" s="768">
        <f t="shared" ca="1" si="134"/>
        <v>57992.480314047338</v>
      </c>
      <c r="AP147" s="768">
        <f t="shared" ca="1" si="134"/>
        <v>60492.991125167217</v>
      </c>
      <c r="AQ147" s="768">
        <f t="shared" ca="1" si="134"/>
        <v>63197.325187124254</v>
      </c>
      <c r="AR147" s="768">
        <f t="shared" ca="1" si="134"/>
        <v>66212.546362612702</v>
      </c>
      <c r="AS147" s="768">
        <f t="shared" ca="1" si="134"/>
        <v>69882.109380630471</v>
      </c>
      <c r="AT147" s="768">
        <f t="shared" ca="1" si="134"/>
        <v>72211.426165391909</v>
      </c>
      <c r="AU147" s="768">
        <f t="shared" ca="1" si="134"/>
        <v>73919.889087109943</v>
      </c>
      <c r="AV147" s="768">
        <f t="shared" ca="1" si="134"/>
        <v>75481.35254099837</v>
      </c>
      <c r="AW147" s="768">
        <f t="shared" ca="1" si="134"/>
        <v>74781.561758040159</v>
      </c>
      <c r="AX147" s="768">
        <f t="shared" ca="1" si="134"/>
        <v>74535.894558091793</v>
      </c>
      <c r="AY147" s="768">
        <f t="shared" ca="1" si="134"/>
        <v>73577.268404592178</v>
      </c>
      <c r="AZ147" s="768">
        <f t="shared" ca="1" si="134"/>
        <v>23717035.15209382</v>
      </c>
      <c r="BA147" s="768">
        <f t="shared" ca="1" si="134"/>
        <v>0</v>
      </c>
      <c r="BB147" s="768">
        <f t="shared" ca="1" si="134"/>
        <v>0</v>
      </c>
      <c r="BC147" s="768">
        <f t="shared" ca="1" si="134"/>
        <v>0</v>
      </c>
      <c r="BD147" s="768">
        <f t="shared" ca="1" si="134"/>
        <v>0</v>
      </c>
      <c r="BE147" s="768">
        <f t="shared" ca="1" si="134"/>
        <v>0</v>
      </c>
      <c r="BF147" s="768">
        <f t="shared" ca="1" si="134"/>
        <v>0</v>
      </c>
      <c r="BG147" s="768">
        <f t="shared" ca="1" si="134"/>
        <v>0</v>
      </c>
      <c r="BH147" s="768">
        <f t="shared" ca="1" si="134"/>
        <v>0</v>
      </c>
      <c r="BI147" s="768">
        <f t="shared" ca="1" si="134"/>
        <v>0</v>
      </c>
      <c r="BJ147" s="768">
        <f t="shared" ca="1" si="134"/>
        <v>0</v>
      </c>
      <c r="BK147" s="768">
        <f t="shared" ca="1" si="134"/>
        <v>0</v>
      </c>
      <c r="BL147" s="768">
        <f t="shared" ca="1" si="134"/>
        <v>0</v>
      </c>
    </row>
    <row r="148" spans="1:64">
      <c r="A148" s="817">
        <f ca="1">(1+IRR(D147:BL147,0.01))^12-1</f>
        <v>0.39339794100222036</v>
      </c>
      <c r="B148" s="701"/>
      <c r="C148" s="762"/>
      <c r="D148" s="701"/>
      <c r="E148" s="701"/>
      <c r="F148" s="701"/>
      <c r="G148" s="701"/>
      <c r="H148" s="701"/>
      <c r="I148" s="701"/>
      <c r="J148" s="701"/>
      <c r="K148" s="701"/>
      <c r="L148" s="701"/>
      <c r="M148" s="701"/>
      <c r="N148" s="701"/>
      <c r="O148" s="701"/>
      <c r="P148" s="701"/>
      <c r="Q148" s="701"/>
      <c r="R148" s="701"/>
      <c r="S148" s="701"/>
      <c r="T148" s="701"/>
      <c r="U148" s="701"/>
      <c r="V148" s="701"/>
      <c r="W148" s="701"/>
      <c r="X148" s="701"/>
      <c r="Y148" s="701"/>
      <c r="Z148" s="701"/>
      <c r="AA148" s="701"/>
      <c r="AB148" s="701"/>
      <c r="AC148" s="701"/>
      <c r="AD148" s="701"/>
      <c r="AE148" s="701"/>
      <c r="AF148" s="701"/>
      <c r="AG148" s="701"/>
      <c r="AH148" s="701"/>
      <c r="AI148" s="701"/>
      <c r="AJ148" s="701"/>
      <c r="AK148" s="701"/>
      <c r="AL148" s="701"/>
      <c r="AM148" s="701"/>
      <c r="AN148" s="701"/>
      <c r="AO148" s="701"/>
      <c r="AP148" s="701"/>
      <c r="AQ148" s="701"/>
      <c r="AR148" s="701"/>
      <c r="AS148" s="701"/>
      <c r="AT148" s="701"/>
      <c r="AU148" s="701"/>
      <c r="AV148" s="701"/>
      <c r="AW148" s="701"/>
      <c r="AX148" s="701"/>
      <c r="AY148" s="701"/>
      <c r="AZ148" s="701"/>
      <c r="BA148" s="701"/>
      <c r="BB148" s="701"/>
      <c r="BC148" s="701"/>
      <c r="BD148" s="701"/>
      <c r="BE148" s="701"/>
      <c r="BF148" s="701"/>
      <c r="BG148" s="701"/>
      <c r="BH148" s="701"/>
      <c r="BI148" s="701"/>
      <c r="BJ148" s="701"/>
      <c r="BK148" s="701"/>
      <c r="BL148" s="701"/>
    </row>
    <row r="149" spans="1:64">
      <c r="A149" s="818">
        <f ca="1">SUM(D147:BL147)</f>
        <v>18346593.679798044</v>
      </c>
      <c r="B149" s="701"/>
      <c r="C149" s="701"/>
      <c r="D149" s="701"/>
      <c r="E149" s="701"/>
      <c r="F149" s="701"/>
      <c r="G149" s="701"/>
      <c r="H149" s="701"/>
      <c r="I149" s="701"/>
      <c r="J149" s="701"/>
      <c r="K149" s="701"/>
      <c r="L149" s="701"/>
      <c r="M149" s="701"/>
      <c r="N149" s="701"/>
      <c r="O149" s="701"/>
      <c r="P149" s="701"/>
      <c r="Q149" s="701"/>
      <c r="R149" s="701"/>
      <c r="S149" s="701"/>
      <c r="T149" s="701"/>
      <c r="U149" s="701"/>
      <c r="V149" s="701"/>
      <c r="W149" s="701"/>
      <c r="X149" s="701"/>
      <c r="Y149" s="701"/>
      <c r="Z149" s="701"/>
      <c r="AA149" s="701"/>
      <c r="AB149" s="701"/>
      <c r="AC149" s="701"/>
      <c r="AD149" s="701"/>
      <c r="AE149" s="701"/>
      <c r="AF149" s="701"/>
      <c r="AG149" s="701"/>
      <c r="AH149" s="701"/>
      <c r="AI149" s="701"/>
      <c r="AJ149" s="701"/>
      <c r="AK149" s="701"/>
      <c r="AL149" s="701"/>
      <c r="AM149" s="701"/>
      <c r="AN149" s="701"/>
      <c r="AO149" s="701"/>
      <c r="AP149" s="701"/>
      <c r="AQ149" s="701"/>
      <c r="AR149" s="701"/>
      <c r="AS149" s="701"/>
      <c r="AT149" s="701"/>
      <c r="AU149" s="701"/>
      <c r="AV149" s="701"/>
      <c r="AW149" s="701"/>
      <c r="AX149" s="701"/>
      <c r="AY149" s="701"/>
      <c r="AZ149" s="701"/>
      <c r="BA149" s="701"/>
      <c r="BB149" s="701"/>
      <c r="BC149" s="701"/>
      <c r="BD149" s="701"/>
      <c r="BE149" s="701"/>
      <c r="BF149" s="701"/>
      <c r="BG149" s="701"/>
      <c r="BH149" s="701"/>
      <c r="BI149" s="701"/>
      <c r="BJ149" s="701"/>
      <c r="BK149" s="701"/>
      <c r="BL149" s="701"/>
    </row>
    <row r="150" spans="1:64">
      <c r="A150" s="819">
        <f ca="1">SUM(I147:BL147)/-SUM(D147:H147)</f>
        <v>3.648575793569508</v>
      </c>
      <c r="B150" s="701"/>
      <c r="C150" s="701"/>
      <c r="D150" s="701"/>
      <c r="E150" s="701"/>
      <c r="F150" s="701"/>
      <c r="G150" s="701"/>
      <c r="H150" s="701"/>
      <c r="I150" s="701"/>
      <c r="J150" s="701"/>
      <c r="K150" s="701"/>
      <c r="L150" s="701"/>
      <c r="M150" s="701"/>
      <c r="N150" s="701"/>
      <c r="O150" s="701"/>
      <c r="P150" s="701"/>
      <c r="Q150" s="701"/>
      <c r="R150" s="701"/>
      <c r="S150" s="701"/>
      <c r="T150" s="701"/>
      <c r="U150" s="701"/>
      <c r="V150" s="701"/>
      <c r="W150" s="701"/>
      <c r="X150" s="701"/>
      <c r="Y150" s="701"/>
      <c r="Z150" s="701"/>
      <c r="AA150" s="701"/>
      <c r="AB150" s="701"/>
      <c r="AC150" s="701"/>
      <c r="AD150" s="701"/>
      <c r="AE150" s="701"/>
      <c r="AF150" s="701"/>
      <c r="AG150" s="701"/>
      <c r="AH150" s="701"/>
      <c r="AI150" s="701"/>
      <c r="AJ150" s="701"/>
      <c r="AK150" s="701"/>
      <c r="AL150" s="701"/>
      <c r="AM150" s="701"/>
      <c r="AN150" s="701"/>
      <c r="AO150" s="701"/>
      <c r="AP150" s="701"/>
      <c r="AQ150" s="701"/>
      <c r="AR150" s="701"/>
      <c r="AS150" s="701"/>
      <c r="AT150" s="701"/>
      <c r="AU150" s="701"/>
      <c r="AV150" s="701"/>
      <c r="AW150" s="701"/>
      <c r="AX150" s="701"/>
      <c r="AY150" s="701"/>
      <c r="AZ150" s="701"/>
      <c r="BA150" s="701"/>
      <c r="BB150" s="701"/>
      <c r="BC150" s="701"/>
      <c r="BD150" s="701"/>
      <c r="BE150" s="701"/>
      <c r="BF150" s="701"/>
      <c r="BG150" s="701"/>
      <c r="BH150" s="701"/>
      <c r="BI150" s="701"/>
      <c r="BJ150" s="701"/>
      <c r="BK150" s="701"/>
      <c r="BL150" s="701"/>
    </row>
    <row r="152" spans="1:64">
      <c r="B152" s="714"/>
    </row>
    <row r="153" spans="1:64">
      <c r="A153" s="713" t="s">
        <v>118</v>
      </c>
      <c r="B153" s="714">
        <f ca="1">A149-C20</f>
        <v>-1.4077872037887573E-5</v>
      </c>
    </row>
    <row r="154" spans="1:64">
      <c r="B154" s="714"/>
    </row>
    <row r="155" spans="1:64">
      <c r="B155" s="714"/>
    </row>
    <row r="156" spans="1:64">
      <c r="B156" s="714"/>
    </row>
    <row r="157" spans="1:64">
      <c r="B157" s="714"/>
    </row>
    <row r="158" spans="1:64">
      <c r="B158" s="714"/>
    </row>
    <row r="159" spans="1:64">
      <c r="B159" s="714"/>
    </row>
    <row r="160" spans="1:64">
      <c r="B160" s="714"/>
    </row>
    <row r="161" spans="2:2">
      <c r="B161" s="714"/>
    </row>
    <row r="162" spans="2:2">
      <c r="B162" s="714"/>
    </row>
    <row r="163" spans="2:2">
      <c r="B163" s="714"/>
    </row>
    <row r="164" spans="2:2">
      <c r="B164" s="714"/>
    </row>
    <row r="165" spans="2:2">
      <c r="B165" s="714"/>
    </row>
    <row r="166" spans="2:2">
      <c r="B166" s="714"/>
    </row>
    <row r="167" spans="2:2">
      <c r="B167" s="714"/>
    </row>
    <row r="168" spans="2:2">
      <c r="B168" s="714"/>
    </row>
    <row r="169" spans="2:2">
      <c r="B169" s="714"/>
    </row>
    <row r="170" spans="2:2">
      <c r="B170" s="714"/>
    </row>
    <row r="171" spans="2:2">
      <c r="B171" s="714"/>
    </row>
  </sheetData>
  <mergeCells count="3">
    <mergeCell ref="J7:K7"/>
    <mergeCell ref="L7:M7"/>
    <mergeCell ref="N7:O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E90E-8D6C-4A10-BF47-C56F7408E702}">
  <sheetPr>
    <tabColor theme="4" tint="0.79998168889431442"/>
  </sheetPr>
  <dimension ref="A1:T240"/>
  <sheetViews>
    <sheetView showGridLines="0" zoomScale="80" zoomScaleNormal="80" workbookViewId="0">
      <selection activeCell="I17" sqref="I17"/>
    </sheetView>
  </sheetViews>
  <sheetFormatPr defaultRowHeight="14.5"/>
  <cols>
    <col min="1" max="1" width="13.08984375" customWidth="1"/>
    <col min="2" max="2" width="29.26953125" bestFit="1" customWidth="1"/>
    <col min="3" max="3" width="8.81640625" bestFit="1" customWidth="1"/>
    <col min="4" max="4" width="7.08984375" bestFit="1" customWidth="1"/>
    <col min="5" max="5" width="8.1796875" bestFit="1" customWidth="1"/>
    <col min="6" max="6" width="11.08984375" bestFit="1" customWidth="1"/>
    <col min="7" max="7" width="13.7265625" customWidth="1"/>
    <col min="8" max="8" width="14.81640625" bestFit="1" customWidth="1"/>
    <col min="9" max="10" width="13.7265625" customWidth="1"/>
    <col min="11" max="11" width="16.36328125" bestFit="1" customWidth="1"/>
    <col min="12" max="12" width="12.81640625" bestFit="1" customWidth="1"/>
  </cols>
  <sheetData>
    <row r="1" spans="1:20" ht="16">
      <c r="A1" s="1193" t="s">
        <v>1001</v>
      </c>
      <c r="B1" s="159"/>
      <c r="C1" s="159"/>
      <c r="D1" s="159"/>
      <c r="E1" s="160"/>
      <c r="F1" s="161"/>
      <c r="G1" s="161"/>
      <c r="H1" s="162"/>
      <c r="I1" s="163"/>
      <c r="J1" s="506"/>
      <c r="K1" s="161"/>
      <c r="L1" s="160"/>
      <c r="M1" s="160"/>
      <c r="N1" s="160"/>
      <c r="O1" s="160"/>
      <c r="P1" s="160"/>
      <c r="Q1" s="160"/>
      <c r="R1" s="160"/>
      <c r="S1" s="160"/>
      <c r="T1" s="160"/>
    </row>
    <row r="2" spans="1:20">
      <c r="A2" s="159"/>
      <c r="B2" s="159"/>
      <c r="C2" s="159"/>
      <c r="D2" s="159"/>
      <c r="E2" s="160"/>
      <c r="F2" s="161"/>
      <c r="G2" s="161"/>
      <c r="H2" s="162"/>
      <c r="I2" s="163"/>
      <c r="J2" s="506"/>
      <c r="K2" s="161"/>
      <c r="L2" s="160"/>
      <c r="M2" s="160"/>
      <c r="N2" s="160"/>
      <c r="O2" s="160"/>
      <c r="P2" s="160"/>
      <c r="Q2" s="160"/>
      <c r="R2" s="160"/>
      <c r="S2" s="160"/>
      <c r="T2" s="160"/>
    </row>
    <row r="3" spans="1:20">
      <c r="A3" s="159"/>
      <c r="B3" s="159"/>
      <c r="G3" s="1232" t="s">
        <v>158</v>
      </c>
      <c r="H3" s="1233"/>
      <c r="I3" s="1232" t="s">
        <v>159</v>
      </c>
      <c r="J3" s="1233"/>
      <c r="K3" s="161"/>
      <c r="L3" s="160"/>
      <c r="M3" s="160"/>
      <c r="N3" s="160"/>
      <c r="O3" s="160"/>
      <c r="P3" s="160"/>
      <c r="Q3" s="160"/>
      <c r="R3" s="160"/>
      <c r="S3" s="160"/>
      <c r="T3" s="160"/>
    </row>
    <row r="4" spans="1:20">
      <c r="A4" s="159" t="s">
        <v>160</v>
      </c>
      <c r="B4" s="164"/>
      <c r="G4" s="1234">
        <f>'[1]SF Breakdown'!B12</f>
        <v>73280</v>
      </c>
      <c r="H4" s="1235"/>
      <c r="I4" s="1236">
        <f>H235/G4</f>
        <v>69.205959541484702</v>
      </c>
      <c r="J4" s="1237"/>
      <c r="K4" s="161"/>
      <c r="L4" s="160"/>
      <c r="M4" s="160" t="s">
        <v>161</v>
      </c>
      <c r="N4" s="160"/>
      <c r="O4" s="1238" t="s">
        <v>162</v>
      </c>
      <c r="P4" s="1238"/>
      <c r="Q4" s="1238"/>
      <c r="R4" s="160"/>
      <c r="S4" s="160"/>
      <c r="T4" s="160"/>
    </row>
    <row r="5" spans="1:20">
      <c r="A5" s="165" t="s">
        <v>163</v>
      </c>
      <c r="B5" s="166"/>
      <c r="C5" s="167"/>
      <c r="D5" s="167"/>
      <c r="E5" s="160"/>
      <c r="F5" s="161"/>
      <c r="G5" s="161"/>
      <c r="H5" s="161"/>
      <c r="I5" s="163"/>
      <c r="J5" s="506"/>
      <c r="K5" s="161"/>
      <c r="L5" s="160"/>
      <c r="M5" s="160" t="s">
        <v>164</v>
      </c>
      <c r="N5" s="160"/>
      <c r="O5" s="1238" t="s">
        <v>165</v>
      </c>
      <c r="P5" s="1238"/>
      <c r="Q5" s="1238"/>
      <c r="R5" s="160"/>
      <c r="S5" s="160"/>
      <c r="T5" s="160"/>
    </row>
    <row r="6" spans="1:20">
      <c r="A6" s="165" t="s">
        <v>166</v>
      </c>
      <c r="B6" s="168">
        <v>45343</v>
      </c>
      <c r="C6" s="167"/>
      <c r="D6" s="167"/>
      <c r="E6" s="160"/>
      <c r="F6" s="161"/>
      <c r="G6" s="161"/>
      <c r="H6" s="161"/>
      <c r="I6" s="163"/>
      <c r="J6" s="506"/>
      <c r="K6" s="161"/>
      <c r="L6" s="160"/>
      <c r="M6" s="160"/>
      <c r="N6" s="160"/>
      <c r="O6" s="160"/>
      <c r="P6" s="160"/>
      <c r="Q6" s="160"/>
      <c r="R6" s="160"/>
      <c r="S6" s="160"/>
      <c r="T6" s="160"/>
    </row>
    <row r="7" spans="1:20" ht="39">
      <c r="A7" s="1231" t="s">
        <v>167</v>
      </c>
      <c r="B7" s="1231"/>
      <c r="C7" s="169" t="s">
        <v>168</v>
      </c>
      <c r="D7" s="170" t="s">
        <v>169</v>
      </c>
      <c r="E7" s="169" t="s">
        <v>170</v>
      </c>
      <c r="F7" s="171" t="s">
        <v>171</v>
      </c>
      <c r="G7" s="1167" t="s">
        <v>172</v>
      </c>
      <c r="H7" s="1167" t="s">
        <v>173</v>
      </c>
      <c r="I7" s="172" t="s">
        <v>124</v>
      </c>
      <c r="J7" s="507" t="s">
        <v>174</v>
      </c>
      <c r="K7" s="171" t="s">
        <v>583</v>
      </c>
      <c r="L7" s="1239" t="s">
        <v>175</v>
      </c>
      <c r="M7" s="1240"/>
      <c r="N7" s="1240"/>
      <c r="O7" s="1240"/>
      <c r="P7" s="1240"/>
      <c r="Q7" s="1240"/>
      <c r="R7" s="1240"/>
      <c r="S7" s="1240"/>
      <c r="T7" s="1240"/>
    </row>
    <row r="8" spans="1:20">
      <c r="A8" s="173"/>
      <c r="B8" s="174"/>
      <c r="C8" s="174"/>
      <c r="D8" s="175"/>
      <c r="E8" s="176"/>
      <c r="F8" s="177"/>
      <c r="G8" s="1168"/>
      <c r="H8" s="1169"/>
      <c r="I8" s="179"/>
      <c r="J8" s="508"/>
      <c r="K8" s="177"/>
      <c r="L8" s="1241"/>
      <c r="M8" s="1242"/>
      <c r="N8" s="1242"/>
      <c r="O8" s="1242"/>
      <c r="P8" s="1242"/>
      <c r="Q8" s="1242"/>
      <c r="R8" s="1242"/>
      <c r="S8" s="1242"/>
      <c r="T8" s="1243"/>
    </row>
    <row r="9" spans="1:20">
      <c r="A9" s="180" t="s">
        <v>176</v>
      </c>
      <c r="B9" s="181"/>
      <c r="C9" s="181"/>
      <c r="D9" s="182"/>
      <c r="E9" s="183"/>
      <c r="F9" s="184"/>
      <c r="G9" s="1170"/>
      <c r="H9" s="1171">
        <f>SUM(G10:G11)</f>
        <v>0</v>
      </c>
      <c r="I9" s="186">
        <f>H9/$H$226</f>
        <v>0</v>
      </c>
      <c r="J9" s="1189">
        <f>H9/$G$4</f>
        <v>0</v>
      </c>
      <c r="K9" s="1181"/>
      <c r="L9" s="1225"/>
      <c r="M9" s="1226"/>
      <c r="N9" s="1226"/>
      <c r="O9" s="1226"/>
      <c r="P9" s="1226"/>
      <c r="Q9" s="1226"/>
      <c r="R9" s="1226"/>
      <c r="S9" s="1226"/>
      <c r="T9" s="1227"/>
    </row>
    <row r="10" spans="1:20">
      <c r="A10" s="187"/>
      <c r="B10" s="174"/>
      <c r="C10" s="174"/>
      <c r="D10" s="175"/>
      <c r="E10" s="176"/>
      <c r="F10" s="177"/>
      <c r="G10" s="1168"/>
      <c r="H10" s="1172"/>
      <c r="I10" s="179"/>
      <c r="J10" s="1190"/>
      <c r="K10" s="1183"/>
      <c r="L10" s="1228"/>
      <c r="M10" s="1229"/>
      <c r="N10" s="1229"/>
      <c r="O10" s="1229"/>
      <c r="P10" s="1229"/>
      <c r="Q10" s="1229"/>
      <c r="R10" s="1229"/>
      <c r="S10" s="1229"/>
      <c r="T10" s="1230"/>
    </row>
    <row r="11" spans="1:20">
      <c r="A11" s="187"/>
      <c r="B11" s="174"/>
      <c r="C11" s="174"/>
      <c r="D11" s="175"/>
      <c r="E11" s="176"/>
      <c r="F11" s="177"/>
      <c r="G11" s="1168"/>
      <c r="H11" s="1172"/>
      <c r="I11" s="179"/>
      <c r="J11" s="1190"/>
      <c r="K11" s="1183"/>
      <c r="L11" s="1228"/>
      <c r="M11" s="1229"/>
      <c r="N11" s="1229"/>
      <c r="O11" s="1229"/>
      <c r="P11" s="1229"/>
      <c r="Q11" s="1229"/>
      <c r="R11" s="1229"/>
      <c r="S11" s="1229"/>
      <c r="T11" s="1230"/>
    </row>
    <row r="12" spans="1:20">
      <c r="A12" s="180" t="s">
        <v>177</v>
      </c>
      <c r="B12" s="181" t="s">
        <v>178</v>
      </c>
      <c r="C12" s="181"/>
      <c r="D12" s="182"/>
      <c r="E12" s="183"/>
      <c r="F12" s="184"/>
      <c r="G12" s="1170"/>
      <c r="H12" s="1171">
        <f>SUM(G13:G18)</f>
        <v>277000</v>
      </c>
      <c r="I12" s="186">
        <f>H12/$H$226</f>
        <v>5.9441958039557014E-2</v>
      </c>
      <c r="J12" s="1189">
        <f>H12/$G$4</f>
        <v>3.7800218340611353</v>
      </c>
      <c r="K12" s="1181"/>
      <c r="L12" s="1225"/>
      <c r="M12" s="1226"/>
      <c r="N12" s="1226"/>
      <c r="O12" s="1226"/>
      <c r="P12" s="1226"/>
      <c r="Q12" s="1226"/>
      <c r="R12" s="1226"/>
      <c r="S12" s="1226"/>
      <c r="T12" s="1227"/>
    </row>
    <row r="13" spans="1:20">
      <c r="A13" s="192"/>
      <c r="B13" s="176" t="s">
        <v>179</v>
      </c>
      <c r="C13" s="166"/>
      <c r="D13" s="175"/>
      <c r="E13" s="176"/>
      <c r="F13" s="193"/>
      <c r="G13" s="1168">
        <v>28000</v>
      </c>
      <c r="H13" s="1172"/>
      <c r="I13" s="179"/>
      <c r="J13" s="1190"/>
      <c r="K13" s="1183"/>
      <c r="L13" s="1228">
        <v>23000</v>
      </c>
      <c r="M13" s="1229"/>
      <c r="N13" s="1229"/>
      <c r="O13" s="1229"/>
      <c r="P13" s="1229"/>
      <c r="Q13" s="1229"/>
      <c r="R13" s="1229"/>
      <c r="S13" s="1229"/>
      <c r="T13" s="1230"/>
    </row>
    <row r="14" spans="1:20">
      <c r="A14" s="192"/>
      <c r="B14" s="176" t="s">
        <v>314</v>
      </c>
      <c r="C14" s="166"/>
      <c r="D14" s="175"/>
      <c r="E14" s="176"/>
      <c r="F14" s="193"/>
      <c r="G14" s="1168">
        <v>20000</v>
      </c>
      <c r="H14" s="1172"/>
      <c r="I14" s="179"/>
      <c r="J14" s="1190"/>
      <c r="K14" s="1183"/>
      <c r="L14" s="1228"/>
      <c r="M14" s="1229"/>
      <c r="N14" s="1229"/>
      <c r="O14" s="1229"/>
      <c r="P14" s="1229"/>
      <c r="Q14" s="1229"/>
      <c r="R14" s="1229"/>
      <c r="S14" s="1229"/>
      <c r="T14" s="1230"/>
    </row>
    <row r="15" spans="1:20">
      <c r="A15" s="192"/>
      <c r="B15" s="176" t="s">
        <v>315</v>
      </c>
      <c r="C15" s="166"/>
      <c r="D15" s="175"/>
      <c r="E15" s="176"/>
      <c r="F15" s="193"/>
      <c r="G15" s="1168">
        <v>35000</v>
      </c>
      <c r="H15" s="1172"/>
      <c r="I15" s="179"/>
      <c r="J15" s="1190"/>
      <c r="K15" s="1183"/>
      <c r="L15" s="1228">
        <v>-15000</v>
      </c>
      <c r="M15" s="1229"/>
      <c r="N15" s="1229"/>
      <c r="O15" s="1229"/>
      <c r="P15" s="1229"/>
      <c r="Q15" s="1229"/>
      <c r="R15" s="1229"/>
      <c r="S15" s="1229"/>
      <c r="T15" s="1230"/>
    </row>
    <row r="16" spans="1:20">
      <c r="A16" s="192"/>
      <c r="B16" s="176" t="s">
        <v>181</v>
      </c>
      <c r="C16" s="166"/>
      <c r="D16" s="175" t="s">
        <v>182</v>
      </c>
      <c r="E16" s="176">
        <v>10</v>
      </c>
      <c r="F16" s="193">
        <v>400</v>
      </c>
      <c r="G16" s="1168">
        <f>F16*E16</f>
        <v>4000</v>
      </c>
      <c r="H16" s="1172"/>
      <c r="I16" s="179"/>
      <c r="J16" s="1190"/>
      <c r="K16" s="1183">
        <f>G16</f>
        <v>4000</v>
      </c>
      <c r="L16" s="189"/>
      <c r="M16" s="190"/>
      <c r="N16" s="190"/>
      <c r="O16" s="190"/>
      <c r="P16" s="190"/>
      <c r="Q16" s="190"/>
      <c r="R16" s="190"/>
      <c r="S16" s="190"/>
      <c r="T16" s="191"/>
    </row>
    <row r="17" spans="1:20">
      <c r="A17" s="192"/>
      <c r="B17" s="176" t="s">
        <v>316</v>
      </c>
      <c r="C17" s="166"/>
      <c r="D17" s="175"/>
      <c r="E17" s="176"/>
      <c r="F17" s="193"/>
      <c r="G17" s="1168">
        <v>40000</v>
      </c>
      <c r="H17" s="1172"/>
      <c r="I17" s="179"/>
      <c r="J17" s="1190"/>
      <c r="K17" s="1183"/>
      <c r="L17" s="189">
        <v>20000</v>
      </c>
      <c r="M17" s="190"/>
      <c r="N17" s="190"/>
      <c r="O17" s="190"/>
      <c r="P17" s="190"/>
      <c r="Q17" s="190"/>
      <c r="R17" s="190"/>
      <c r="S17" s="190"/>
      <c r="T17" s="191"/>
    </row>
    <row r="18" spans="1:20">
      <c r="A18" s="194"/>
      <c r="B18" s="176" t="s">
        <v>961</v>
      </c>
      <c r="C18" s="176"/>
      <c r="D18" s="175"/>
      <c r="E18" s="195"/>
      <c r="F18" s="193"/>
      <c r="G18" s="1168">
        <v>150000</v>
      </c>
      <c r="H18" s="1172"/>
      <c r="I18" s="179"/>
      <c r="J18" s="1190"/>
      <c r="K18" s="1183"/>
      <c r="L18" s="1228">
        <v>105000</v>
      </c>
      <c r="M18" s="1229"/>
      <c r="N18" s="1229"/>
      <c r="O18" s="1229"/>
      <c r="P18" s="1229"/>
      <c r="Q18" s="1229"/>
      <c r="R18" s="1229"/>
      <c r="S18" s="1229"/>
      <c r="T18" s="1230"/>
    </row>
    <row r="19" spans="1:20">
      <c r="A19" s="180" t="s">
        <v>177</v>
      </c>
      <c r="B19" s="181" t="s">
        <v>185</v>
      </c>
      <c r="C19" s="181"/>
      <c r="D19" s="182"/>
      <c r="E19" s="183"/>
      <c r="F19" s="184"/>
      <c r="G19" s="1170"/>
      <c r="H19" s="1171">
        <f>SUM(G20:G23)</f>
        <v>12000</v>
      </c>
      <c r="I19" s="186">
        <f>H19/$H$226</f>
        <v>2.5751028753598706E-3</v>
      </c>
      <c r="J19" s="1189">
        <f>H19/$G$4</f>
        <v>0.16375545851528384</v>
      </c>
      <c r="K19" s="1181"/>
      <c r="L19" s="1244"/>
      <c r="M19" s="1245"/>
      <c r="N19" s="1245"/>
      <c r="O19" s="1245"/>
      <c r="P19" s="1245"/>
      <c r="Q19" s="1245"/>
      <c r="R19" s="1245"/>
      <c r="S19" s="1245"/>
      <c r="T19" s="1246"/>
    </row>
    <row r="20" spans="1:20">
      <c r="A20" s="192"/>
      <c r="B20" s="176" t="s">
        <v>317</v>
      </c>
      <c r="C20" s="176"/>
      <c r="D20" s="175"/>
      <c r="E20" s="176"/>
      <c r="F20" s="177"/>
      <c r="G20" s="1168">
        <v>12000</v>
      </c>
      <c r="H20" s="1172"/>
      <c r="I20" s="179"/>
      <c r="J20" s="1190"/>
      <c r="K20" s="1183">
        <f>G20</f>
        <v>12000</v>
      </c>
      <c r="L20" s="1228"/>
      <c r="M20" s="1229"/>
      <c r="N20" s="1229"/>
      <c r="O20" s="1229"/>
      <c r="P20" s="1229"/>
      <c r="Q20" s="1229"/>
      <c r="R20" s="1229"/>
      <c r="S20" s="1229"/>
      <c r="T20" s="1230"/>
    </row>
    <row r="21" spans="1:20">
      <c r="A21" s="192"/>
      <c r="B21" s="176"/>
      <c r="C21" s="176"/>
      <c r="D21" s="175"/>
      <c r="E21" s="176"/>
      <c r="F21" s="177"/>
      <c r="G21" s="1168"/>
      <c r="H21" s="1172"/>
      <c r="I21" s="179"/>
      <c r="J21" s="1190"/>
      <c r="K21" s="1183"/>
      <c r="L21" s="1228"/>
      <c r="M21" s="1229"/>
      <c r="N21" s="1229"/>
      <c r="O21" s="1229"/>
      <c r="P21" s="1229"/>
      <c r="Q21" s="1229"/>
      <c r="R21" s="1229"/>
      <c r="S21" s="1229"/>
      <c r="T21" s="1230"/>
    </row>
    <row r="22" spans="1:20">
      <c r="A22" s="192"/>
      <c r="B22" s="176"/>
      <c r="C22" s="176"/>
      <c r="D22" s="175"/>
      <c r="E22" s="176"/>
      <c r="F22" s="177"/>
      <c r="G22" s="1168"/>
      <c r="H22" s="1172"/>
      <c r="I22" s="179"/>
      <c r="J22" s="1190"/>
      <c r="K22" s="1183"/>
      <c r="L22" s="1228"/>
      <c r="M22" s="1229"/>
      <c r="N22" s="1229"/>
      <c r="O22" s="1229"/>
      <c r="P22" s="1229"/>
      <c r="Q22" s="1229"/>
      <c r="R22" s="1229"/>
      <c r="S22" s="1229"/>
      <c r="T22" s="1230"/>
    </row>
    <row r="23" spans="1:20">
      <c r="A23" s="192"/>
      <c r="B23" s="176"/>
      <c r="C23" s="176"/>
      <c r="D23" s="175"/>
      <c r="E23" s="176"/>
      <c r="F23" s="177"/>
      <c r="G23" s="1168"/>
      <c r="H23" s="1172"/>
      <c r="I23" s="179"/>
      <c r="J23" s="1190"/>
      <c r="K23" s="1183"/>
      <c r="L23" s="1228"/>
      <c r="M23" s="1229"/>
      <c r="N23" s="1229"/>
      <c r="O23" s="1229"/>
      <c r="P23" s="1229"/>
      <c r="Q23" s="1229"/>
      <c r="R23" s="1229"/>
      <c r="S23" s="1229"/>
      <c r="T23" s="1230"/>
    </row>
    <row r="24" spans="1:20">
      <c r="A24" s="180" t="s">
        <v>187</v>
      </c>
      <c r="B24" s="181" t="s">
        <v>188</v>
      </c>
      <c r="C24" s="181"/>
      <c r="D24" s="182"/>
      <c r="E24" s="183"/>
      <c r="F24" s="184"/>
      <c r="G24" s="1170"/>
      <c r="H24" s="1171">
        <f>SUM(G25:G28)</f>
        <v>30000</v>
      </c>
      <c r="I24" s="186">
        <f>H24/$H$226</f>
        <v>6.4377571883996766E-3</v>
      </c>
      <c r="J24" s="1189">
        <f>H24/$G$4</f>
        <v>0.40938864628820959</v>
      </c>
      <c r="K24" s="1181"/>
      <c r="L24" s="1247"/>
      <c r="M24" s="1247"/>
      <c r="N24" s="1247"/>
      <c r="O24" s="1247"/>
      <c r="P24" s="1247"/>
      <c r="Q24" s="1247"/>
      <c r="R24" s="1247"/>
      <c r="S24" s="1247"/>
      <c r="T24" s="1247"/>
    </row>
    <row r="25" spans="1:20">
      <c r="A25" s="192"/>
      <c r="B25" s="176" t="s">
        <v>962</v>
      </c>
      <c r="C25" s="176"/>
      <c r="D25" s="175"/>
      <c r="E25" s="176"/>
      <c r="F25" s="177"/>
      <c r="G25" s="1168">
        <v>10000</v>
      </c>
      <c r="H25" s="1172"/>
      <c r="I25" s="179"/>
      <c r="J25" s="1190"/>
      <c r="K25" s="1183"/>
      <c r="L25" s="1248"/>
      <c r="M25" s="1248"/>
      <c r="N25" s="1248"/>
      <c r="O25" s="1248"/>
      <c r="P25" s="1248"/>
      <c r="Q25" s="1248"/>
      <c r="R25" s="1248"/>
      <c r="S25" s="1248"/>
      <c r="T25" s="1248"/>
    </row>
    <row r="26" spans="1:20">
      <c r="A26" s="192"/>
      <c r="B26" s="176" t="s">
        <v>963</v>
      </c>
      <c r="C26" s="176"/>
      <c r="D26" s="175"/>
      <c r="E26" s="176"/>
      <c r="F26" s="177"/>
      <c r="G26" s="1168">
        <v>20000</v>
      </c>
      <c r="H26" s="1172"/>
      <c r="I26" s="179"/>
      <c r="J26" s="1190"/>
      <c r="K26" s="1183"/>
      <c r="L26" s="1249"/>
      <c r="M26" s="1249"/>
      <c r="N26" s="1249"/>
      <c r="O26" s="1249"/>
      <c r="P26" s="1249"/>
      <c r="Q26" s="1249"/>
      <c r="R26" s="1249"/>
      <c r="S26" s="1249"/>
      <c r="T26" s="1249"/>
    </row>
    <row r="27" spans="1:20">
      <c r="A27" s="192"/>
      <c r="B27" s="176"/>
      <c r="C27" s="176"/>
      <c r="D27" s="175"/>
      <c r="E27" s="176"/>
      <c r="F27" s="177"/>
      <c r="G27" s="1168"/>
      <c r="H27" s="1172"/>
      <c r="I27" s="179"/>
      <c r="J27" s="1190"/>
      <c r="K27" s="1183"/>
      <c r="L27" s="1250"/>
      <c r="M27" s="1250"/>
      <c r="N27" s="1250"/>
      <c r="O27" s="1250"/>
      <c r="P27" s="1250"/>
      <c r="Q27" s="1250"/>
      <c r="R27" s="1250"/>
      <c r="S27" s="1250"/>
      <c r="T27" s="1250"/>
    </row>
    <row r="28" spans="1:20">
      <c r="A28" s="192"/>
      <c r="B28" s="176"/>
      <c r="C28" s="176"/>
      <c r="D28" s="175"/>
      <c r="E28" s="176"/>
      <c r="F28" s="177"/>
      <c r="G28" s="1168"/>
      <c r="H28" s="1172"/>
      <c r="I28" s="179"/>
      <c r="J28" s="1190"/>
      <c r="K28" s="1183"/>
      <c r="L28" s="1250"/>
      <c r="M28" s="1250"/>
      <c r="N28" s="1250"/>
      <c r="O28" s="1250"/>
      <c r="P28" s="1250"/>
      <c r="Q28" s="1250"/>
      <c r="R28" s="1250"/>
      <c r="S28" s="1250"/>
      <c r="T28" s="1250"/>
    </row>
    <row r="29" spans="1:20">
      <c r="A29" s="180" t="s">
        <v>191</v>
      </c>
      <c r="B29" s="181" t="s">
        <v>192</v>
      </c>
      <c r="C29" s="181"/>
      <c r="D29" s="182"/>
      <c r="E29" s="183"/>
      <c r="F29" s="184"/>
      <c r="G29" s="1170"/>
      <c r="H29" s="1171">
        <f>SUM(G30:G33)</f>
        <v>475000</v>
      </c>
      <c r="I29" s="186">
        <f>H29/$H$226</f>
        <v>0.10193115548299488</v>
      </c>
      <c r="J29" s="1189">
        <f>H29/$G$4</f>
        <v>6.481986899563319</v>
      </c>
      <c r="K29" s="1181"/>
      <c r="L29" s="1247"/>
      <c r="M29" s="1247"/>
      <c r="N29" s="1247"/>
      <c r="O29" s="1247"/>
      <c r="P29" s="1247"/>
      <c r="Q29" s="1247"/>
      <c r="R29" s="1247"/>
      <c r="S29" s="1247"/>
      <c r="T29" s="1247"/>
    </row>
    <row r="30" spans="1:20">
      <c r="A30" s="194"/>
      <c r="B30" s="176" t="s">
        <v>318</v>
      </c>
      <c r="C30" s="176"/>
      <c r="D30" s="175" t="s">
        <v>319</v>
      </c>
      <c r="E30" s="195">
        <v>5000</v>
      </c>
      <c r="F30" s="177">
        <v>25</v>
      </c>
      <c r="G30" s="1168">
        <f>E30*F30</f>
        <v>125000</v>
      </c>
      <c r="H30" s="1172"/>
      <c r="I30" s="179"/>
      <c r="J30" s="1190"/>
      <c r="K30" s="1183"/>
      <c r="L30" s="1250" t="s">
        <v>1015</v>
      </c>
      <c r="M30" s="1250"/>
      <c r="N30" s="1250"/>
      <c r="O30" s="1250"/>
      <c r="P30" s="1250"/>
      <c r="Q30" s="1250"/>
      <c r="R30" s="1250"/>
      <c r="S30" s="1250"/>
      <c r="T30" s="1250"/>
    </row>
    <row r="31" spans="1:20">
      <c r="A31" s="194"/>
      <c r="B31" s="160" t="s">
        <v>193</v>
      </c>
      <c r="C31" s="160"/>
      <c r="D31" s="160"/>
      <c r="E31" s="160"/>
      <c r="F31" s="161"/>
      <c r="G31" s="1173">
        <v>350000</v>
      </c>
      <c r="H31" s="1172"/>
      <c r="I31" s="179"/>
      <c r="J31" s="1190"/>
      <c r="K31" s="496"/>
      <c r="L31" s="1250" t="s">
        <v>1016</v>
      </c>
      <c r="M31" s="1250"/>
      <c r="N31" s="1250"/>
      <c r="O31" s="1250"/>
      <c r="P31" s="1250"/>
      <c r="Q31" s="1250"/>
      <c r="R31" s="1250"/>
      <c r="S31" s="1250"/>
      <c r="T31" s="1250"/>
    </row>
    <row r="32" spans="1:20">
      <c r="A32" s="194"/>
      <c r="B32" s="176"/>
      <c r="C32" s="176"/>
      <c r="D32" s="175"/>
      <c r="E32" s="195"/>
      <c r="F32" s="177"/>
      <c r="G32" s="1168"/>
      <c r="H32" s="1172"/>
      <c r="I32" s="179"/>
      <c r="J32" s="1190"/>
      <c r="K32" s="1183"/>
      <c r="L32" s="1250"/>
      <c r="M32" s="1250"/>
      <c r="N32" s="1250"/>
      <c r="O32" s="1250"/>
      <c r="P32" s="1250"/>
      <c r="Q32" s="1250"/>
      <c r="R32" s="1250"/>
      <c r="S32" s="1250"/>
      <c r="T32" s="1250"/>
    </row>
    <row r="33" spans="1:20">
      <c r="A33" s="194"/>
      <c r="B33" s="176"/>
      <c r="C33" s="176"/>
      <c r="D33" s="175"/>
      <c r="E33" s="195"/>
      <c r="F33" s="177"/>
      <c r="G33" s="1168"/>
      <c r="H33" s="1172"/>
      <c r="I33" s="179"/>
      <c r="J33" s="1190"/>
      <c r="K33" s="1183"/>
      <c r="L33" s="1250"/>
      <c r="M33" s="1250"/>
      <c r="N33" s="1250"/>
      <c r="O33" s="1250"/>
      <c r="P33" s="1250"/>
      <c r="Q33" s="1250"/>
      <c r="R33" s="1250"/>
      <c r="S33" s="1250"/>
      <c r="T33" s="1250"/>
    </row>
    <row r="34" spans="1:20">
      <c r="A34" s="180" t="s">
        <v>194</v>
      </c>
      <c r="B34" s="181" t="s">
        <v>195</v>
      </c>
      <c r="C34" s="181"/>
      <c r="D34" s="182"/>
      <c r="E34" s="183"/>
      <c r="F34" s="184"/>
      <c r="G34" s="1170"/>
      <c r="H34" s="1171">
        <f>SUM(G35:G38)</f>
        <v>418000</v>
      </c>
      <c r="I34" s="186">
        <f>H34/$H$226</f>
        <v>8.9699416825035488E-2</v>
      </c>
      <c r="J34" s="1189">
        <f>H34/$G$4</f>
        <v>5.7041484716157207</v>
      </c>
      <c r="K34" s="1181"/>
      <c r="L34" s="1247"/>
      <c r="M34" s="1247"/>
      <c r="N34" s="1247"/>
      <c r="O34" s="1247"/>
      <c r="P34" s="1247"/>
      <c r="Q34" s="1247"/>
      <c r="R34" s="1247"/>
      <c r="S34" s="1247"/>
      <c r="T34" s="1247"/>
    </row>
    <row r="35" spans="1:20">
      <c r="A35" s="200"/>
      <c r="B35" s="176" t="s">
        <v>320</v>
      </c>
      <c r="C35" s="176"/>
      <c r="D35" s="175"/>
      <c r="E35" s="176"/>
      <c r="F35" s="177"/>
      <c r="G35" s="1168">
        <v>10000</v>
      </c>
      <c r="H35" s="1172"/>
      <c r="I35" s="179"/>
      <c r="J35" s="1190"/>
      <c r="K35" s="1183">
        <f>G35</f>
        <v>10000</v>
      </c>
      <c r="L35" s="1250"/>
      <c r="M35" s="1250"/>
      <c r="N35" s="1250"/>
      <c r="O35" s="1250"/>
      <c r="P35" s="1250"/>
      <c r="Q35" s="1250"/>
      <c r="R35" s="1250"/>
      <c r="S35" s="1250"/>
      <c r="T35" s="1250"/>
    </row>
    <row r="36" spans="1:20">
      <c r="A36" s="200"/>
      <c r="B36" s="176" t="s">
        <v>321</v>
      </c>
      <c r="C36" s="176"/>
      <c r="D36" s="175"/>
      <c r="E36" s="195"/>
      <c r="F36" s="177"/>
      <c r="G36" s="1168">
        <v>408000</v>
      </c>
      <c r="H36" s="1172"/>
      <c r="I36" s="179"/>
      <c r="J36" s="1190"/>
      <c r="K36" s="1183">
        <f>G36</f>
        <v>408000</v>
      </c>
      <c r="L36" s="1250"/>
      <c r="M36" s="1250"/>
      <c r="N36" s="1250"/>
      <c r="O36" s="1250"/>
      <c r="P36" s="1250"/>
      <c r="Q36" s="1250"/>
      <c r="R36" s="1250"/>
      <c r="S36" s="1250"/>
      <c r="T36" s="1250"/>
    </row>
    <row r="37" spans="1:20">
      <c r="A37" s="200"/>
      <c r="B37" s="176"/>
      <c r="C37" s="176"/>
      <c r="D37" s="175"/>
      <c r="E37" s="176"/>
      <c r="F37" s="177"/>
      <c r="G37" s="1168"/>
      <c r="H37" s="1172"/>
      <c r="I37" s="179"/>
      <c r="J37" s="1190"/>
      <c r="K37" s="1183"/>
      <c r="L37" s="1250"/>
      <c r="M37" s="1250"/>
      <c r="N37" s="1250"/>
      <c r="O37" s="1250"/>
      <c r="P37" s="1250"/>
      <c r="Q37" s="1250"/>
      <c r="R37" s="1250"/>
      <c r="S37" s="1250"/>
      <c r="T37" s="1250"/>
    </row>
    <row r="38" spans="1:20">
      <c r="A38" s="201"/>
      <c r="B38" s="176"/>
      <c r="C38" s="176"/>
      <c r="D38" s="175"/>
      <c r="E38" s="176"/>
      <c r="F38" s="177"/>
      <c r="G38" s="1168"/>
      <c r="H38" s="1172"/>
      <c r="I38" s="179"/>
      <c r="J38" s="1190"/>
      <c r="K38" s="1183"/>
      <c r="L38" s="1250"/>
      <c r="M38" s="1250"/>
      <c r="N38" s="1250"/>
      <c r="O38" s="1250"/>
      <c r="P38" s="1250"/>
      <c r="Q38" s="1250"/>
      <c r="R38" s="1250"/>
      <c r="S38" s="1250"/>
      <c r="T38" s="1250"/>
    </row>
    <row r="39" spans="1:20">
      <c r="A39" s="180" t="s">
        <v>194</v>
      </c>
      <c r="B39" s="181" t="s">
        <v>197</v>
      </c>
      <c r="C39" s="181"/>
      <c r="D39" s="182"/>
      <c r="E39" s="183"/>
      <c r="F39" s="184"/>
      <c r="G39" s="1170"/>
      <c r="H39" s="1171">
        <f>SUM(G40:G43)</f>
        <v>120000</v>
      </c>
      <c r="I39" s="186">
        <f>H39/$H$226</f>
        <v>2.5751028753598706E-2</v>
      </c>
      <c r="J39" s="1189">
        <f>H39/$G$4</f>
        <v>1.6375545851528384</v>
      </c>
      <c r="K39" s="1181"/>
      <c r="L39" s="1247"/>
      <c r="M39" s="1247"/>
      <c r="N39" s="1247"/>
      <c r="O39" s="1247"/>
      <c r="P39" s="1247"/>
      <c r="Q39" s="1247"/>
      <c r="R39" s="1247"/>
      <c r="S39" s="1247"/>
      <c r="T39" s="1247"/>
    </row>
    <row r="40" spans="1:20">
      <c r="A40" s="202"/>
      <c r="B40" s="176" t="s">
        <v>322</v>
      </c>
      <c r="C40" s="176"/>
      <c r="D40" s="175"/>
      <c r="E40" s="176"/>
      <c r="F40" s="177"/>
      <c r="G40" s="1168">
        <v>120000</v>
      </c>
      <c r="H40" s="1172"/>
      <c r="I40" s="179"/>
      <c r="J40" s="1190"/>
      <c r="K40" s="1183"/>
      <c r="L40" s="1250">
        <v>-30000</v>
      </c>
      <c r="M40" s="1250"/>
      <c r="N40" s="1250"/>
      <c r="O40" s="1250"/>
      <c r="P40" s="1250"/>
      <c r="Q40" s="1250"/>
      <c r="R40" s="1250"/>
      <c r="S40" s="1250"/>
      <c r="T40" s="1250"/>
    </row>
    <row r="41" spans="1:20">
      <c r="A41" s="203"/>
      <c r="B41" s="176"/>
      <c r="C41" s="176"/>
      <c r="D41" s="175"/>
      <c r="E41" s="176"/>
      <c r="F41" s="177"/>
      <c r="G41" s="1168"/>
      <c r="H41" s="1172"/>
      <c r="I41" s="179"/>
      <c r="J41" s="1190"/>
      <c r="K41" s="1183"/>
      <c r="L41" s="1250"/>
      <c r="M41" s="1250"/>
      <c r="N41" s="1250"/>
      <c r="O41" s="1250"/>
      <c r="P41" s="1250"/>
      <c r="Q41" s="1250"/>
      <c r="R41" s="1250"/>
      <c r="S41" s="1250"/>
      <c r="T41" s="1250"/>
    </row>
    <row r="42" spans="1:20">
      <c r="A42" s="203"/>
      <c r="B42" s="176"/>
      <c r="C42" s="176"/>
      <c r="D42" s="175"/>
      <c r="E42" s="176"/>
      <c r="F42" s="177"/>
      <c r="G42" s="1168"/>
      <c r="H42" s="1172"/>
      <c r="I42" s="179"/>
      <c r="J42" s="1190"/>
      <c r="K42" s="1183"/>
      <c r="L42" s="1250"/>
      <c r="M42" s="1250"/>
      <c r="N42" s="1250"/>
      <c r="O42" s="1250"/>
      <c r="P42" s="1250"/>
      <c r="Q42" s="1250"/>
      <c r="R42" s="1250"/>
      <c r="S42" s="1250"/>
      <c r="T42" s="1250"/>
    </row>
    <row r="43" spans="1:20">
      <c r="A43" s="203"/>
      <c r="B43" s="176"/>
      <c r="C43" s="176"/>
      <c r="D43" s="175"/>
      <c r="E43" s="176"/>
      <c r="F43" s="177"/>
      <c r="G43" s="1168"/>
      <c r="H43" s="1172"/>
      <c r="I43" s="179"/>
      <c r="J43" s="1190"/>
      <c r="K43" s="1183"/>
      <c r="L43" s="1250"/>
      <c r="M43" s="1250"/>
      <c r="N43" s="1250"/>
      <c r="O43" s="1250"/>
      <c r="P43" s="1250"/>
      <c r="Q43" s="1250"/>
      <c r="R43" s="1250"/>
      <c r="S43" s="1250"/>
      <c r="T43" s="1250"/>
    </row>
    <row r="44" spans="1:20">
      <c r="A44" s="180" t="s">
        <v>199</v>
      </c>
      <c r="B44" s="181" t="s">
        <v>200</v>
      </c>
      <c r="C44" s="181"/>
      <c r="D44" s="182"/>
      <c r="E44" s="183"/>
      <c r="F44" s="184"/>
      <c r="G44" s="1170"/>
      <c r="H44" s="1171">
        <f>SUM(G45:G48)</f>
        <v>0</v>
      </c>
      <c r="I44" s="186">
        <f>H44/$H$226</f>
        <v>0</v>
      </c>
      <c r="J44" s="1189">
        <f>H44/$G$4</f>
        <v>0</v>
      </c>
      <c r="K44" s="1181"/>
      <c r="L44" s="1247"/>
      <c r="M44" s="1247"/>
      <c r="N44" s="1247"/>
      <c r="O44" s="1247"/>
      <c r="P44" s="1247"/>
      <c r="Q44" s="1247"/>
      <c r="R44" s="1247"/>
      <c r="S44" s="1247"/>
      <c r="T44" s="1247"/>
    </row>
    <row r="45" spans="1:20">
      <c r="A45" s="200"/>
      <c r="B45" s="176"/>
      <c r="C45" s="176"/>
      <c r="D45" s="175"/>
      <c r="E45" s="195"/>
      <c r="F45" s="177"/>
      <c r="G45" s="1168"/>
      <c r="H45" s="1172"/>
      <c r="I45" s="179"/>
      <c r="J45" s="1190"/>
      <c r="K45" s="1183"/>
      <c r="L45" s="1250"/>
      <c r="M45" s="1250"/>
      <c r="N45" s="1250"/>
      <c r="O45" s="1250"/>
      <c r="P45" s="1250"/>
      <c r="Q45" s="1250"/>
      <c r="R45" s="1250"/>
      <c r="S45" s="1250"/>
      <c r="T45" s="1250"/>
    </row>
    <row r="46" spans="1:20">
      <c r="A46" s="200"/>
      <c r="B46" s="176"/>
      <c r="C46" s="176"/>
      <c r="D46" s="175"/>
      <c r="E46" s="195"/>
      <c r="F46" s="177"/>
      <c r="G46" s="1168"/>
      <c r="H46" s="1172"/>
      <c r="I46" s="179"/>
      <c r="J46" s="1190"/>
      <c r="K46" s="1183"/>
      <c r="L46" s="1250"/>
      <c r="M46" s="1250"/>
      <c r="N46" s="1250"/>
      <c r="O46" s="1250"/>
      <c r="P46" s="1250"/>
      <c r="Q46" s="1250"/>
      <c r="R46" s="1250"/>
      <c r="S46" s="1250"/>
      <c r="T46" s="1250"/>
    </row>
    <row r="47" spans="1:20">
      <c r="A47" s="200"/>
      <c r="B47" s="176"/>
      <c r="C47" s="176"/>
      <c r="D47" s="175"/>
      <c r="E47" s="195"/>
      <c r="F47" s="177"/>
      <c r="G47" s="1168"/>
      <c r="H47" s="1172"/>
      <c r="I47" s="179"/>
      <c r="J47" s="1190"/>
      <c r="K47" s="1183"/>
      <c r="L47" s="1250"/>
      <c r="M47" s="1250"/>
      <c r="N47" s="1250"/>
      <c r="O47" s="1250"/>
      <c r="P47" s="1250"/>
      <c r="Q47" s="1250"/>
      <c r="R47" s="1250"/>
      <c r="S47" s="1250"/>
      <c r="T47" s="1250"/>
    </row>
    <row r="48" spans="1:20">
      <c r="A48" s="200"/>
      <c r="B48" s="176"/>
      <c r="C48" s="176"/>
      <c r="D48" s="175"/>
      <c r="E48" s="195"/>
      <c r="F48" s="177"/>
      <c r="G48" s="1168"/>
      <c r="H48" s="1172"/>
      <c r="I48" s="179"/>
      <c r="J48" s="1190"/>
      <c r="K48" s="1183"/>
      <c r="L48" s="1250"/>
      <c r="M48" s="1250"/>
      <c r="N48" s="1250"/>
      <c r="O48" s="1250"/>
      <c r="P48" s="1250"/>
      <c r="Q48" s="1250"/>
      <c r="R48" s="1250"/>
      <c r="S48" s="1250"/>
      <c r="T48" s="1250"/>
    </row>
    <row r="49" spans="1:20">
      <c r="A49" s="180" t="s">
        <v>199</v>
      </c>
      <c r="B49" s="181" t="s">
        <v>201</v>
      </c>
      <c r="C49" s="181"/>
      <c r="D49" s="182"/>
      <c r="E49" s="183"/>
      <c r="F49" s="184"/>
      <c r="G49" s="1170"/>
      <c r="H49" s="1171">
        <f>SUM(G50:G53)</f>
        <v>18000</v>
      </c>
      <c r="I49" s="186">
        <f>H49/$H$226</f>
        <v>3.862654313039806E-3</v>
      </c>
      <c r="J49" s="1189">
        <f>H49/$G$4</f>
        <v>0.24563318777292575</v>
      </c>
      <c r="K49" s="1181"/>
      <c r="L49" s="1247"/>
      <c r="M49" s="1247"/>
      <c r="N49" s="1247"/>
      <c r="O49" s="1247"/>
      <c r="P49" s="1247"/>
      <c r="Q49" s="1247"/>
      <c r="R49" s="1247"/>
      <c r="S49" s="1247"/>
      <c r="T49" s="1247"/>
    </row>
    <row r="50" spans="1:20">
      <c r="A50" s="200"/>
      <c r="B50" s="176" t="s">
        <v>323</v>
      </c>
      <c r="C50" s="176"/>
      <c r="D50" s="175"/>
      <c r="E50" s="176"/>
      <c r="F50" s="177"/>
      <c r="G50" s="1168">
        <v>8000</v>
      </c>
      <c r="H50" s="1172"/>
      <c r="I50" s="179"/>
      <c r="J50" s="1191"/>
      <c r="K50" s="1183"/>
      <c r="L50" s="1250"/>
      <c r="M50" s="1250"/>
      <c r="N50" s="1250"/>
      <c r="O50" s="1250"/>
      <c r="P50" s="1250"/>
      <c r="Q50" s="1250"/>
      <c r="R50" s="1250"/>
      <c r="S50" s="1250"/>
      <c r="T50" s="1250"/>
    </row>
    <row r="51" spans="1:20">
      <c r="A51" s="200"/>
      <c r="B51" s="176" t="s">
        <v>202</v>
      </c>
      <c r="C51" s="176"/>
      <c r="D51" s="175"/>
      <c r="E51" s="176"/>
      <c r="F51" s="177"/>
      <c r="G51" s="1168">
        <v>10000</v>
      </c>
      <c r="H51" s="1172"/>
      <c r="I51" s="179"/>
      <c r="J51" s="1191"/>
      <c r="K51" s="1183"/>
      <c r="L51" s="1250"/>
      <c r="M51" s="1250"/>
      <c r="N51" s="1250"/>
      <c r="O51" s="1250"/>
      <c r="P51" s="1250"/>
      <c r="Q51" s="1250"/>
      <c r="R51" s="1250"/>
      <c r="S51" s="1250"/>
      <c r="T51" s="1250"/>
    </row>
    <row r="52" spans="1:20">
      <c r="A52" s="200"/>
      <c r="B52" s="176"/>
      <c r="C52" s="176"/>
      <c r="D52" s="175"/>
      <c r="E52" s="176"/>
      <c r="F52" s="177"/>
      <c r="G52" s="1168"/>
      <c r="H52" s="1172"/>
      <c r="I52" s="179"/>
      <c r="J52" s="1191"/>
      <c r="K52" s="1183"/>
      <c r="L52" s="1250"/>
      <c r="M52" s="1250"/>
      <c r="N52" s="1250"/>
      <c r="O52" s="1250"/>
      <c r="P52" s="1250"/>
      <c r="Q52" s="1250"/>
      <c r="R52" s="1250"/>
      <c r="S52" s="1250"/>
      <c r="T52" s="1250"/>
    </row>
    <row r="53" spans="1:20">
      <c r="A53" s="200"/>
      <c r="B53" s="176"/>
      <c r="C53" s="176"/>
      <c r="D53" s="175"/>
      <c r="E53" s="176"/>
      <c r="F53" s="177"/>
      <c r="G53" s="1168"/>
      <c r="H53" s="1172"/>
      <c r="I53" s="179"/>
      <c r="J53" s="1191"/>
      <c r="K53" s="1183"/>
      <c r="L53" s="1250"/>
      <c r="M53" s="1250"/>
      <c r="N53" s="1250"/>
      <c r="O53" s="1250"/>
      <c r="P53" s="1250"/>
      <c r="Q53" s="1250"/>
      <c r="R53" s="1250"/>
      <c r="S53" s="1250"/>
      <c r="T53" s="1250"/>
    </row>
    <row r="54" spans="1:20">
      <c r="A54" s="180" t="s">
        <v>203</v>
      </c>
      <c r="B54" s="181" t="s">
        <v>204</v>
      </c>
      <c r="C54" s="181"/>
      <c r="D54" s="182"/>
      <c r="E54" s="183"/>
      <c r="F54" s="184"/>
      <c r="G54" s="1170"/>
      <c r="H54" s="1171">
        <f>SUM(G55:G58)</f>
        <v>10000</v>
      </c>
      <c r="I54" s="186">
        <f>H54/$H$226</f>
        <v>2.1459190627998921E-3</v>
      </c>
      <c r="J54" s="1189">
        <f>H54/$G$4</f>
        <v>0.13646288209606988</v>
      </c>
      <c r="K54" s="1181"/>
      <c r="L54" s="1247"/>
      <c r="M54" s="1247"/>
      <c r="N54" s="1247"/>
      <c r="O54" s="1247"/>
      <c r="P54" s="1247"/>
      <c r="Q54" s="1247"/>
      <c r="R54" s="1247"/>
      <c r="S54" s="1247"/>
      <c r="T54" s="1247"/>
    </row>
    <row r="55" spans="1:20">
      <c r="A55" s="200"/>
      <c r="B55" s="176" t="s">
        <v>202</v>
      </c>
      <c r="C55" s="176"/>
      <c r="D55" s="175"/>
      <c r="E55" s="176"/>
      <c r="F55" s="177"/>
      <c r="G55" s="1168">
        <v>10000</v>
      </c>
      <c r="H55" s="1172"/>
      <c r="I55" s="179"/>
      <c r="J55" s="1191"/>
      <c r="K55" s="1183"/>
      <c r="L55" s="1250"/>
      <c r="M55" s="1250"/>
      <c r="N55" s="1250"/>
      <c r="O55" s="1250"/>
      <c r="P55" s="1250"/>
      <c r="Q55" s="1250"/>
      <c r="R55" s="1250"/>
      <c r="S55" s="1250"/>
      <c r="T55" s="1250"/>
    </row>
    <row r="56" spans="1:20">
      <c r="A56" s="200"/>
      <c r="B56" s="176"/>
      <c r="C56" s="176"/>
      <c r="D56" s="175"/>
      <c r="E56" s="176"/>
      <c r="F56" s="177"/>
      <c r="G56" s="1168"/>
      <c r="H56" s="1172"/>
      <c r="I56" s="179"/>
      <c r="J56" s="1191"/>
      <c r="K56" s="1183"/>
      <c r="L56" s="1250"/>
      <c r="M56" s="1250"/>
      <c r="N56" s="1250"/>
      <c r="O56" s="1250"/>
      <c r="P56" s="1250"/>
      <c r="Q56" s="1250"/>
      <c r="R56" s="1250"/>
      <c r="S56" s="1250"/>
      <c r="T56" s="1250"/>
    </row>
    <row r="57" spans="1:20">
      <c r="A57" s="200"/>
      <c r="B57" s="176"/>
      <c r="C57" s="176"/>
      <c r="D57" s="175"/>
      <c r="E57" s="176"/>
      <c r="F57" s="177"/>
      <c r="G57" s="1168"/>
      <c r="H57" s="1172"/>
      <c r="I57" s="179"/>
      <c r="J57" s="1191"/>
      <c r="K57" s="1183"/>
      <c r="L57" s="1250"/>
      <c r="M57" s="1250"/>
      <c r="N57" s="1250"/>
      <c r="O57" s="1250"/>
      <c r="P57" s="1250"/>
      <c r="Q57" s="1250"/>
      <c r="R57" s="1250"/>
      <c r="S57" s="1250"/>
      <c r="T57" s="1250"/>
    </row>
    <row r="58" spans="1:20">
      <c r="A58" s="200"/>
      <c r="B58" s="176"/>
      <c r="C58" s="176"/>
      <c r="D58" s="175"/>
      <c r="E58" s="176"/>
      <c r="F58" s="177"/>
      <c r="G58" s="1168"/>
      <c r="H58" s="1172"/>
      <c r="I58" s="179"/>
      <c r="J58" s="1191"/>
      <c r="K58" s="1183"/>
      <c r="L58" s="1250"/>
      <c r="M58" s="1250"/>
      <c r="N58" s="1250"/>
      <c r="O58" s="1250"/>
      <c r="P58" s="1250"/>
      <c r="Q58" s="1250"/>
      <c r="R58" s="1250"/>
      <c r="S58" s="1250"/>
      <c r="T58" s="1250"/>
    </row>
    <row r="59" spans="1:20">
      <c r="A59" s="180" t="s">
        <v>203</v>
      </c>
      <c r="B59" s="181" t="s">
        <v>205</v>
      </c>
      <c r="C59" s="181"/>
      <c r="D59" s="182"/>
      <c r="E59" s="183"/>
      <c r="F59" s="184"/>
      <c r="G59" s="1170"/>
      <c r="H59" s="1171">
        <f>SUM(G60:G63)</f>
        <v>114995</v>
      </c>
      <c r="I59" s="186">
        <f>H59/$H$226</f>
        <v>2.467699626266736E-2</v>
      </c>
      <c r="J59" s="1189">
        <f>H59/$G$4</f>
        <v>1.5692549126637554</v>
      </c>
      <c r="K59" s="1181"/>
      <c r="L59" s="1225"/>
      <c r="M59" s="1226"/>
      <c r="N59" s="1226"/>
      <c r="O59" s="1226"/>
      <c r="P59" s="1226"/>
      <c r="Q59" s="1226"/>
      <c r="R59" s="1226"/>
      <c r="S59" s="1226"/>
      <c r="T59" s="1227"/>
    </row>
    <row r="60" spans="1:20">
      <c r="A60" s="192"/>
      <c r="B60" s="176" t="s">
        <v>584</v>
      </c>
      <c r="C60" s="166"/>
      <c r="D60" s="175" t="s">
        <v>319</v>
      </c>
      <c r="E60" s="176">
        <v>13300</v>
      </c>
      <c r="F60" s="193"/>
      <c r="G60" s="1168">
        <v>114995</v>
      </c>
      <c r="H60" s="1172"/>
      <c r="I60" s="179"/>
      <c r="J60" s="1190"/>
      <c r="K60" s="1183">
        <f>G60</f>
        <v>114995</v>
      </c>
      <c r="L60" s="1228"/>
      <c r="M60" s="1229"/>
      <c r="N60" s="1229"/>
      <c r="O60" s="1229"/>
      <c r="P60" s="1229"/>
      <c r="Q60" s="1229"/>
      <c r="R60" s="1229"/>
      <c r="S60" s="1229"/>
      <c r="T60" s="1230"/>
    </row>
    <row r="61" spans="1:20">
      <c r="A61" s="192"/>
      <c r="B61" s="176"/>
      <c r="C61" s="166"/>
      <c r="D61" s="175"/>
      <c r="E61" s="176"/>
      <c r="F61" s="193"/>
      <c r="G61" s="1168"/>
      <c r="H61" s="1172"/>
      <c r="I61" s="179"/>
      <c r="J61" s="1190"/>
      <c r="K61" s="1183"/>
      <c r="L61" s="1228"/>
      <c r="M61" s="1229"/>
      <c r="N61" s="1229"/>
      <c r="O61" s="1229"/>
      <c r="P61" s="1229"/>
      <c r="Q61" s="1229"/>
      <c r="R61" s="1229"/>
      <c r="S61" s="1229"/>
      <c r="T61" s="1230"/>
    </row>
    <row r="62" spans="1:20">
      <c r="A62" s="192"/>
      <c r="B62" s="176"/>
      <c r="C62" s="166"/>
      <c r="D62" s="175"/>
      <c r="E62" s="176"/>
      <c r="F62" s="193"/>
      <c r="G62" s="1168"/>
      <c r="H62" s="1172"/>
      <c r="I62" s="179"/>
      <c r="J62" s="1190"/>
      <c r="K62" s="1183"/>
      <c r="L62" s="1228"/>
      <c r="M62" s="1229"/>
      <c r="N62" s="1229"/>
      <c r="O62" s="1229"/>
      <c r="P62" s="1229"/>
      <c r="Q62" s="1229"/>
      <c r="R62" s="1229"/>
      <c r="S62" s="1229"/>
      <c r="T62" s="1230"/>
    </row>
    <row r="63" spans="1:20">
      <c r="A63" s="194"/>
      <c r="B63" s="176"/>
      <c r="C63" s="176"/>
      <c r="D63" s="175"/>
      <c r="E63" s="195"/>
      <c r="F63" s="161"/>
      <c r="G63" s="1168"/>
      <c r="H63" s="1172"/>
      <c r="I63" s="179"/>
      <c r="J63" s="1190"/>
      <c r="K63" s="1183"/>
      <c r="L63" s="1250"/>
      <c r="M63" s="1250"/>
      <c r="N63" s="1250"/>
      <c r="O63" s="1250"/>
      <c r="P63" s="1250"/>
      <c r="Q63" s="1250"/>
      <c r="R63" s="1250"/>
      <c r="S63" s="1250"/>
      <c r="T63" s="1250"/>
    </row>
    <row r="64" spans="1:20">
      <c r="A64" s="180" t="s">
        <v>203</v>
      </c>
      <c r="B64" s="181" t="s">
        <v>207</v>
      </c>
      <c r="C64" s="181"/>
      <c r="D64" s="182"/>
      <c r="E64" s="183"/>
      <c r="F64" s="184"/>
      <c r="G64" s="1170"/>
      <c r="H64" s="1171">
        <f>SUM(G65:G68)</f>
        <v>92500</v>
      </c>
      <c r="I64" s="186">
        <f>H64/$H$226</f>
        <v>1.9849751330899001E-2</v>
      </c>
      <c r="J64" s="1189">
        <f>H64/$G$4</f>
        <v>1.2622816593886463</v>
      </c>
      <c r="K64" s="1181"/>
      <c r="L64" s="1244"/>
      <c r="M64" s="1245"/>
      <c r="N64" s="1245"/>
      <c r="O64" s="1245"/>
      <c r="P64" s="1245"/>
      <c r="Q64" s="1245"/>
      <c r="R64" s="1245"/>
      <c r="S64" s="1245"/>
      <c r="T64" s="1246"/>
    </row>
    <row r="65" spans="1:20">
      <c r="A65" s="192"/>
      <c r="B65" s="176" t="s">
        <v>549</v>
      </c>
      <c r="C65" s="176"/>
      <c r="D65" s="175" t="s">
        <v>319</v>
      </c>
      <c r="E65" s="176">
        <v>18500</v>
      </c>
      <c r="F65" s="177">
        <v>5</v>
      </c>
      <c r="G65" s="1168">
        <f>E65*F65</f>
        <v>92500</v>
      </c>
      <c r="H65" s="1172"/>
      <c r="I65" s="179"/>
      <c r="J65" s="1190"/>
      <c r="K65" s="1183"/>
      <c r="L65" s="1228"/>
      <c r="M65" s="1229"/>
      <c r="N65" s="1229"/>
      <c r="O65" s="1229"/>
      <c r="P65" s="1229"/>
      <c r="Q65" s="1229"/>
      <c r="R65" s="1229"/>
      <c r="S65" s="1229"/>
      <c r="T65" s="1230"/>
    </row>
    <row r="66" spans="1:20">
      <c r="A66" s="192"/>
      <c r="B66" s="160"/>
      <c r="C66" s="176"/>
      <c r="D66" s="175"/>
      <c r="E66" s="176"/>
      <c r="F66" s="177"/>
      <c r="G66" s="1168"/>
      <c r="H66" s="1172"/>
      <c r="I66" s="179"/>
      <c r="J66" s="1190"/>
      <c r="K66" s="1183"/>
      <c r="L66" s="1228"/>
      <c r="M66" s="1229"/>
      <c r="N66" s="1229"/>
      <c r="O66" s="1229"/>
      <c r="P66" s="1229"/>
      <c r="Q66" s="1229"/>
      <c r="R66" s="1229"/>
      <c r="S66" s="1229"/>
      <c r="T66" s="1230"/>
    </row>
    <row r="67" spans="1:20">
      <c r="A67" s="192"/>
      <c r="B67" s="176"/>
      <c r="C67" s="176"/>
      <c r="D67" s="175"/>
      <c r="E67" s="176"/>
      <c r="F67" s="177"/>
      <c r="G67" s="1168"/>
      <c r="H67" s="1172"/>
      <c r="I67" s="179"/>
      <c r="J67" s="1190"/>
      <c r="K67" s="1183"/>
      <c r="L67" s="1228"/>
      <c r="M67" s="1229"/>
      <c r="N67" s="1229"/>
      <c r="O67" s="1229"/>
      <c r="P67" s="1229"/>
      <c r="Q67" s="1229"/>
      <c r="R67" s="1229"/>
      <c r="S67" s="1229"/>
      <c r="T67" s="1230"/>
    </row>
    <row r="68" spans="1:20">
      <c r="A68" s="192"/>
      <c r="B68" s="176"/>
      <c r="C68" s="176"/>
      <c r="D68" s="175"/>
      <c r="E68" s="176"/>
      <c r="F68" s="177"/>
      <c r="G68" s="1168"/>
      <c r="H68" s="1172"/>
      <c r="I68" s="179"/>
      <c r="J68" s="1190"/>
      <c r="K68" s="1183"/>
      <c r="L68" s="1228"/>
      <c r="M68" s="1229"/>
      <c r="N68" s="1229"/>
      <c r="O68" s="1229"/>
      <c r="P68" s="1229"/>
      <c r="Q68" s="1229"/>
      <c r="R68" s="1229"/>
      <c r="S68" s="1229"/>
      <c r="T68" s="1230"/>
    </row>
    <row r="69" spans="1:20">
      <c r="A69" s="180" t="s">
        <v>203</v>
      </c>
      <c r="B69" s="181" t="s">
        <v>209</v>
      </c>
      <c r="C69" s="181"/>
      <c r="D69" s="182"/>
      <c r="E69" s="183"/>
      <c r="F69" s="184"/>
      <c r="G69" s="1170"/>
      <c r="H69" s="1171">
        <f>SUM(G70:G73)</f>
        <v>75000</v>
      </c>
      <c r="I69" s="186">
        <f>H69/$H$226</f>
        <v>1.609439297099919E-2</v>
      </c>
      <c r="J69" s="1189">
        <f>H69/$G$4</f>
        <v>1.0234716157205239</v>
      </c>
      <c r="K69" s="1181"/>
      <c r="L69" s="1247"/>
      <c r="M69" s="1247"/>
      <c r="N69" s="1247"/>
      <c r="O69" s="1247"/>
      <c r="P69" s="1247"/>
      <c r="Q69" s="1247"/>
      <c r="R69" s="1247"/>
      <c r="S69" s="1247"/>
      <c r="T69" s="1247"/>
    </row>
    <row r="70" spans="1:20">
      <c r="A70" s="203"/>
      <c r="B70" s="176" t="s">
        <v>324</v>
      </c>
      <c r="C70" s="176"/>
      <c r="D70" s="175"/>
      <c r="E70" s="176"/>
      <c r="F70" s="177"/>
      <c r="G70" s="1168">
        <v>75000</v>
      </c>
      <c r="H70" s="1172"/>
      <c r="I70" s="179"/>
      <c r="J70" s="1190"/>
      <c r="K70" s="1183"/>
      <c r="L70" s="1250"/>
      <c r="M70" s="1250"/>
      <c r="N70" s="1250"/>
      <c r="O70" s="1250"/>
      <c r="P70" s="1250"/>
      <c r="Q70" s="1250"/>
      <c r="R70" s="1250"/>
      <c r="S70" s="1250"/>
      <c r="T70" s="1250"/>
    </row>
    <row r="71" spans="1:20">
      <c r="A71" s="203"/>
      <c r="B71" s="176"/>
      <c r="C71" s="176"/>
      <c r="D71" s="175"/>
      <c r="E71" s="176"/>
      <c r="F71" s="177"/>
      <c r="G71" s="1168"/>
      <c r="H71" s="1172"/>
      <c r="I71" s="179"/>
      <c r="J71" s="1190"/>
      <c r="K71" s="1183"/>
      <c r="L71" s="1250"/>
      <c r="M71" s="1250"/>
      <c r="N71" s="1250"/>
      <c r="O71" s="1250"/>
      <c r="P71" s="1250"/>
      <c r="Q71" s="1250"/>
      <c r="R71" s="1250"/>
      <c r="S71" s="1250"/>
      <c r="T71" s="1250"/>
    </row>
    <row r="72" spans="1:20">
      <c r="A72" s="203"/>
      <c r="B72" s="176"/>
      <c r="C72" s="176"/>
      <c r="D72" s="175"/>
      <c r="E72" s="176"/>
      <c r="F72" s="177"/>
      <c r="G72" s="1168"/>
      <c r="H72" s="1172"/>
      <c r="I72" s="179"/>
      <c r="J72" s="1190"/>
      <c r="K72" s="1183"/>
      <c r="L72" s="1250"/>
      <c r="M72" s="1250"/>
      <c r="N72" s="1250"/>
      <c r="O72" s="1250"/>
      <c r="P72" s="1250"/>
      <c r="Q72" s="1250"/>
      <c r="R72" s="1250"/>
      <c r="S72" s="1250"/>
      <c r="T72" s="1250"/>
    </row>
    <row r="73" spans="1:20">
      <c r="A73" s="203"/>
      <c r="B73" s="176"/>
      <c r="C73" s="176"/>
      <c r="D73" s="175"/>
      <c r="E73" s="176"/>
      <c r="F73" s="177"/>
      <c r="G73" s="1168"/>
      <c r="H73" s="1172"/>
      <c r="I73" s="179"/>
      <c r="J73" s="1190"/>
      <c r="K73" s="1183"/>
      <c r="L73" s="1250"/>
      <c r="M73" s="1250"/>
      <c r="N73" s="1250"/>
      <c r="O73" s="1250"/>
      <c r="P73" s="1250"/>
      <c r="Q73" s="1250"/>
      <c r="R73" s="1250"/>
      <c r="S73" s="1250"/>
      <c r="T73" s="1250"/>
    </row>
    <row r="74" spans="1:20">
      <c r="A74" s="180" t="s">
        <v>203</v>
      </c>
      <c r="B74" s="181" t="s">
        <v>210</v>
      </c>
      <c r="C74" s="181"/>
      <c r="D74" s="182"/>
      <c r="E74" s="183"/>
      <c r="F74" s="184"/>
      <c r="G74" s="1170"/>
      <c r="H74" s="1171">
        <f>SUM(G75:G78)</f>
        <v>10000</v>
      </c>
      <c r="I74" s="186">
        <f>H74/$H$226</f>
        <v>2.1459190627998921E-3</v>
      </c>
      <c r="J74" s="1189">
        <f>H74/$G$4</f>
        <v>0.13646288209606988</v>
      </c>
      <c r="K74" s="1181"/>
      <c r="L74" s="1247"/>
      <c r="M74" s="1247"/>
      <c r="N74" s="1247"/>
      <c r="O74" s="1247"/>
      <c r="P74" s="1247"/>
      <c r="Q74" s="1247"/>
      <c r="R74" s="1247"/>
      <c r="S74" s="1247"/>
      <c r="T74" s="1247"/>
    </row>
    <row r="75" spans="1:20">
      <c r="A75" s="192"/>
      <c r="B75" s="176" t="s">
        <v>202</v>
      </c>
      <c r="C75" s="176"/>
      <c r="D75" s="175"/>
      <c r="E75" s="176"/>
      <c r="F75" s="177"/>
      <c r="G75" s="1168">
        <v>10000</v>
      </c>
      <c r="H75" s="1172"/>
      <c r="I75" s="179"/>
      <c r="J75" s="1190"/>
      <c r="K75" s="1183"/>
      <c r="L75" s="1250"/>
      <c r="M75" s="1250"/>
      <c r="N75" s="1250"/>
      <c r="O75" s="1250"/>
      <c r="P75" s="1250"/>
      <c r="Q75" s="1250"/>
      <c r="R75" s="1250"/>
      <c r="S75" s="1250"/>
      <c r="T75" s="1250"/>
    </row>
    <row r="76" spans="1:20">
      <c r="A76" s="192"/>
      <c r="B76" s="176"/>
      <c r="C76" s="176"/>
      <c r="D76" s="175"/>
      <c r="E76" s="176"/>
      <c r="F76" s="177"/>
      <c r="G76" s="1168"/>
      <c r="H76" s="1172"/>
      <c r="I76" s="179"/>
      <c r="J76" s="1190"/>
      <c r="K76" s="1183"/>
      <c r="L76" s="1250"/>
      <c r="M76" s="1250"/>
      <c r="N76" s="1250"/>
      <c r="O76" s="1250"/>
      <c r="P76" s="1250"/>
      <c r="Q76" s="1250"/>
      <c r="R76" s="1250"/>
      <c r="S76" s="1250"/>
      <c r="T76" s="1250"/>
    </row>
    <row r="77" spans="1:20">
      <c r="A77" s="192"/>
      <c r="B77" s="176"/>
      <c r="C77" s="176"/>
      <c r="D77" s="175"/>
      <c r="E77" s="176"/>
      <c r="F77" s="177"/>
      <c r="G77" s="1168"/>
      <c r="H77" s="1172"/>
      <c r="I77" s="179"/>
      <c r="J77" s="1190"/>
      <c r="K77" s="1183"/>
      <c r="L77" s="1250"/>
      <c r="M77" s="1250"/>
      <c r="N77" s="1250"/>
      <c r="O77" s="1250"/>
      <c r="P77" s="1250"/>
      <c r="Q77" s="1250"/>
      <c r="R77" s="1250"/>
      <c r="S77" s="1250"/>
      <c r="T77" s="1250"/>
    </row>
    <row r="78" spans="1:20">
      <c r="A78" s="192"/>
      <c r="B78" s="176"/>
      <c r="C78" s="176"/>
      <c r="D78" s="175"/>
      <c r="E78" s="176"/>
      <c r="F78" s="177"/>
      <c r="G78" s="1168"/>
      <c r="H78" s="1172"/>
      <c r="I78" s="179"/>
      <c r="J78" s="1190"/>
      <c r="K78" s="1183"/>
      <c r="L78" s="1250"/>
      <c r="M78" s="1250"/>
      <c r="N78" s="1250"/>
      <c r="O78" s="1250"/>
      <c r="P78" s="1250"/>
      <c r="Q78" s="1250"/>
      <c r="R78" s="1250"/>
      <c r="S78" s="1250"/>
      <c r="T78" s="1250"/>
    </row>
    <row r="79" spans="1:20">
      <c r="A79" s="180" t="s">
        <v>203</v>
      </c>
      <c r="B79" s="181" t="s">
        <v>211</v>
      </c>
      <c r="C79" s="181"/>
      <c r="D79" s="182"/>
      <c r="E79" s="183"/>
      <c r="F79" s="184"/>
      <c r="G79" s="1170"/>
      <c r="H79" s="1171">
        <f>SUM(G80:G83)</f>
        <v>0</v>
      </c>
      <c r="I79" s="186">
        <f>H79/$H$226</f>
        <v>0</v>
      </c>
      <c r="J79" s="1189">
        <f>H79/$G$4</f>
        <v>0</v>
      </c>
      <c r="K79" s="1181"/>
      <c r="L79" s="1247"/>
      <c r="M79" s="1247"/>
      <c r="N79" s="1247"/>
      <c r="O79" s="1247"/>
      <c r="P79" s="1247"/>
      <c r="Q79" s="1247"/>
      <c r="R79" s="1247"/>
      <c r="S79" s="1247"/>
      <c r="T79" s="1247"/>
    </row>
    <row r="80" spans="1:20">
      <c r="A80" s="192"/>
      <c r="B80" s="176"/>
      <c r="C80" s="176"/>
      <c r="D80" s="175"/>
      <c r="E80" s="176"/>
      <c r="F80" s="177"/>
      <c r="G80" s="1168"/>
      <c r="H80" s="1172"/>
      <c r="I80" s="179"/>
      <c r="J80" s="1190"/>
      <c r="K80" s="1183"/>
      <c r="L80" s="1250"/>
      <c r="M80" s="1250"/>
      <c r="N80" s="1250"/>
      <c r="O80" s="1250"/>
      <c r="P80" s="1250"/>
      <c r="Q80" s="1250"/>
      <c r="R80" s="1250"/>
      <c r="S80" s="1250"/>
      <c r="T80" s="1250"/>
    </row>
    <row r="81" spans="1:20">
      <c r="A81" s="192"/>
      <c r="B81" s="176"/>
      <c r="C81" s="176"/>
      <c r="D81" s="175"/>
      <c r="E81" s="176"/>
      <c r="F81" s="177"/>
      <c r="G81" s="1168"/>
      <c r="H81" s="1172"/>
      <c r="I81" s="179"/>
      <c r="J81" s="1190"/>
      <c r="K81" s="1183"/>
      <c r="L81" s="1250"/>
      <c r="M81" s="1250"/>
      <c r="N81" s="1250"/>
      <c r="O81" s="1250"/>
      <c r="P81" s="1250"/>
      <c r="Q81" s="1250"/>
      <c r="R81" s="1250"/>
      <c r="S81" s="1250"/>
      <c r="T81" s="1250"/>
    </row>
    <row r="82" spans="1:20">
      <c r="A82" s="192"/>
      <c r="B82" s="176"/>
      <c r="C82" s="176"/>
      <c r="D82" s="175"/>
      <c r="E82" s="176"/>
      <c r="F82" s="177"/>
      <c r="G82" s="1168"/>
      <c r="H82" s="1172"/>
      <c r="I82" s="179"/>
      <c r="J82" s="1190"/>
      <c r="K82" s="1183"/>
      <c r="L82" s="1250"/>
      <c r="M82" s="1250"/>
      <c r="N82" s="1250"/>
      <c r="O82" s="1250"/>
      <c r="P82" s="1250"/>
      <c r="Q82" s="1250"/>
      <c r="R82" s="1250"/>
      <c r="S82" s="1250"/>
      <c r="T82" s="1250"/>
    </row>
    <row r="83" spans="1:20">
      <c r="A83" s="192"/>
      <c r="B83" s="176"/>
      <c r="C83" s="176"/>
      <c r="D83" s="175"/>
      <c r="E83" s="176"/>
      <c r="F83" s="177"/>
      <c r="G83" s="1168"/>
      <c r="H83" s="1172"/>
      <c r="I83" s="179"/>
      <c r="J83" s="1190"/>
      <c r="K83" s="1183"/>
      <c r="L83" s="1250"/>
      <c r="M83" s="1250"/>
      <c r="N83" s="1250"/>
      <c r="O83" s="1250"/>
      <c r="P83" s="1250"/>
      <c r="Q83" s="1250"/>
      <c r="R83" s="1250"/>
      <c r="S83" s="1250"/>
      <c r="T83" s="1250"/>
    </row>
    <row r="84" spans="1:20">
      <c r="A84" s="180" t="s">
        <v>212</v>
      </c>
      <c r="B84" s="181" t="s">
        <v>213</v>
      </c>
      <c r="C84" s="181"/>
      <c r="D84" s="182"/>
      <c r="E84" s="183"/>
      <c r="F84" s="184"/>
      <c r="G84" s="1170"/>
      <c r="H84" s="1171">
        <f>SUM(G85:G88)</f>
        <v>116712</v>
      </c>
      <c r="I84" s="186">
        <f>H84/$H$226</f>
        <v>2.5045450565750103E-2</v>
      </c>
      <c r="J84" s="1189">
        <f>H84/$G$4</f>
        <v>1.5926855895196506</v>
      </c>
      <c r="K84" s="1181"/>
      <c r="L84" s="1247"/>
      <c r="M84" s="1247"/>
      <c r="N84" s="1247"/>
      <c r="O84" s="1247"/>
      <c r="P84" s="1247"/>
      <c r="Q84" s="1247"/>
      <c r="R84" s="1247"/>
      <c r="S84" s="1247"/>
      <c r="T84" s="1247"/>
    </row>
    <row r="85" spans="1:20">
      <c r="A85" s="194"/>
      <c r="B85" s="176" t="s">
        <v>214</v>
      </c>
      <c r="C85" s="176"/>
      <c r="D85" s="175" t="s">
        <v>182</v>
      </c>
      <c r="E85" s="195">
        <v>2</v>
      </c>
      <c r="F85" s="1168">
        <v>34156</v>
      </c>
      <c r="G85" s="1168">
        <f>F85*E85</f>
        <v>68312</v>
      </c>
      <c r="H85" s="1172"/>
      <c r="I85" s="179"/>
      <c r="J85" s="1190"/>
      <c r="K85" s="1183">
        <f>F85</f>
        <v>34156</v>
      </c>
      <c r="L85" s="1250"/>
      <c r="M85" s="1250"/>
      <c r="N85" s="1250"/>
      <c r="O85" s="1250"/>
      <c r="P85" s="1250"/>
      <c r="Q85" s="1250"/>
      <c r="R85" s="1250"/>
      <c r="S85" s="1250"/>
      <c r="T85" s="1250"/>
    </row>
    <row r="86" spans="1:20">
      <c r="A86" s="194"/>
      <c r="B86" s="176" t="s">
        <v>215</v>
      </c>
      <c r="C86" s="176"/>
      <c r="D86" s="175"/>
      <c r="E86" s="195"/>
      <c r="F86" s="177"/>
      <c r="G86" s="1168">
        <v>48400</v>
      </c>
      <c r="H86" s="1172"/>
      <c r="I86" s="179"/>
      <c r="J86" s="1190"/>
      <c r="K86" s="1183">
        <f>G86</f>
        <v>48400</v>
      </c>
      <c r="L86" s="1250"/>
      <c r="M86" s="1250"/>
      <c r="N86" s="1250"/>
      <c r="O86" s="1250"/>
      <c r="P86" s="1250"/>
      <c r="Q86" s="1250"/>
      <c r="R86" s="1250"/>
      <c r="S86" s="1250"/>
      <c r="T86" s="1250"/>
    </row>
    <row r="87" spans="1:20">
      <c r="A87" s="194"/>
      <c r="B87" s="176"/>
      <c r="C87" s="176"/>
      <c r="D87" s="175"/>
      <c r="E87" s="195"/>
      <c r="F87" s="177"/>
      <c r="G87" s="1168"/>
      <c r="H87" s="1172"/>
      <c r="I87" s="179"/>
      <c r="J87" s="1190"/>
      <c r="K87" s="1183"/>
      <c r="L87" s="1250"/>
      <c r="M87" s="1250"/>
      <c r="N87" s="1250"/>
      <c r="O87" s="1250"/>
      <c r="P87" s="1250"/>
      <c r="Q87" s="1250"/>
      <c r="R87" s="1250"/>
      <c r="S87" s="1250"/>
      <c r="T87" s="1250"/>
    </row>
    <row r="88" spans="1:20">
      <c r="A88" s="194"/>
      <c r="B88" s="166"/>
      <c r="C88" s="166"/>
      <c r="D88" s="204"/>
      <c r="E88" s="205"/>
      <c r="F88" s="177"/>
      <c r="G88" s="1168"/>
      <c r="H88" s="1172"/>
      <c r="I88" s="179"/>
      <c r="J88" s="1190"/>
      <c r="K88" s="1183"/>
      <c r="L88" s="1250"/>
      <c r="M88" s="1250"/>
      <c r="N88" s="1250"/>
      <c r="O88" s="1250"/>
      <c r="P88" s="1250"/>
      <c r="Q88" s="1250"/>
      <c r="R88" s="1250"/>
      <c r="S88" s="1250"/>
      <c r="T88" s="1250"/>
    </row>
    <row r="89" spans="1:20">
      <c r="A89" s="180" t="s">
        <v>212</v>
      </c>
      <c r="B89" s="181" t="s">
        <v>216</v>
      </c>
      <c r="C89" s="181"/>
      <c r="D89" s="182"/>
      <c r="E89" s="183"/>
      <c r="F89" s="184"/>
      <c r="G89" s="1170"/>
      <c r="H89" s="1171">
        <f>SUM(G90:G93)</f>
        <v>0</v>
      </c>
      <c r="I89" s="186">
        <f>H89/$H$226</f>
        <v>0</v>
      </c>
      <c r="J89" s="1189">
        <f>H89/$G$4</f>
        <v>0</v>
      </c>
      <c r="K89" s="1181"/>
      <c r="L89" s="196"/>
      <c r="M89" s="197"/>
      <c r="N89" s="197"/>
      <c r="O89" s="197"/>
      <c r="P89" s="197"/>
      <c r="Q89" s="197"/>
      <c r="R89" s="197"/>
      <c r="S89" s="197"/>
      <c r="T89" s="198"/>
    </row>
    <row r="90" spans="1:20">
      <c r="A90" s="200"/>
      <c r="B90" s="176"/>
      <c r="C90" s="176"/>
      <c r="D90" s="175"/>
      <c r="E90" s="176"/>
      <c r="F90" s="177"/>
      <c r="G90" s="1168"/>
      <c r="H90" s="1172"/>
      <c r="I90" s="179"/>
      <c r="J90" s="1190"/>
      <c r="K90" s="1183"/>
      <c r="L90" s="1228"/>
      <c r="M90" s="1229"/>
      <c r="N90" s="1229"/>
      <c r="O90" s="1229"/>
      <c r="P90" s="1229"/>
      <c r="Q90" s="1229"/>
      <c r="R90" s="1229"/>
      <c r="S90" s="1229"/>
      <c r="T90" s="1230"/>
    </row>
    <row r="91" spans="1:20">
      <c r="A91" s="200"/>
      <c r="B91" s="176"/>
      <c r="C91" s="176"/>
      <c r="D91" s="175"/>
      <c r="E91" s="176"/>
      <c r="F91" s="177"/>
      <c r="G91" s="1168"/>
      <c r="H91" s="1172"/>
      <c r="I91" s="179"/>
      <c r="J91" s="1190"/>
      <c r="K91" s="1183"/>
      <c r="L91" s="1228"/>
      <c r="M91" s="1229"/>
      <c r="N91" s="1229"/>
      <c r="O91" s="1229"/>
      <c r="P91" s="1229"/>
      <c r="Q91" s="1229"/>
      <c r="R91" s="1229"/>
      <c r="S91" s="1229"/>
      <c r="T91" s="1230"/>
    </row>
    <row r="92" spans="1:20">
      <c r="A92" s="200"/>
      <c r="B92" s="176"/>
      <c r="C92" s="176"/>
      <c r="D92" s="175"/>
      <c r="E92" s="176"/>
      <c r="F92" s="177"/>
      <c r="G92" s="1168"/>
      <c r="H92" s="1172"/>
      <c r="I92" s="179"/>
      <c r="J92" s="1190"/>
      <c r="K92" s="1183"/>
      <c r="L92" s="1228"/>
      <c r="M92" s="1229"/>
      <c r="N92" s="1229"/>
      <c r="O92" s="1229"/>
      <c r="P92" s="1229"/>
      <c r="Q92" s="1229"/>
      <c r="R92" s="1229"/>
      <c r="S92" s="1229"/>
      <c r="T92" s="1230"/>
    </row>
    <row r="93" spans="1:20">
      <c r="A93" s="200"/>
      <c r="B93" s="176"/>
      <c r="C93" s="176"/>
      <c r="D93" s="175"/>
      <c r="E93" s="176"/>
      <c r="F93" s="177"/>
      <c r="G93" s="1168"/>
      <c r="H93" s="1172"/>
      <c r="I93" s="179"/>
      <c r="J93" s="1190"/>
      <c r="K93" s="1183"/>
      <c r="L93" s="1228"/>
      <c r="M93" s="1229"/>
      <c r="N93" s="1229"/>
      <c r="O93" s="1229"/>
      <c r="P93" s="1229"/>
      <c r="Q93" s="1229"/>
      <c r="R93" s="1229"/>
      <c r="S93" s="1229"/>
      <c r="T93" s="1230"/>
    </row>
    <row r="94" spans="1:20">
      <c r="A94" s="180" t="s">
        <v>212</v>
      </c>
      <c r="B94" s="181" t="s">
        <v>217</v>
      </c>
      <c r="C94" s="181"/>
      <c r="D94" s="182"/>
      <c r="E94" s="183"/>
      <c r="F94" s="184"/>
      <c r="G94" s="1170"/>
      <c r="H94" s="1171">
        <f>SUM(G95:G98)</f>
        <v>20000</v>
      </c>
      <c r="I94" s="186">
        <f>H94/$H$226</f>
        <v>4.2918381255997841E-3</v>
      </c>
      <c r="J94" s="1189">
        <f>H94/$G$4</f>
        <v>0.27292576419213976</v>
      </c>
      <c r="K94" s="1181"/>
      <c r="L94" s="196"/>
      <c r="M94" s="197"/>
      <c r="N94" s="197"/>
      <c r="O94" s="197"/>
      <c r="P94" s="197"/>
      <c r="Q94" s="197"/>
      <c r="R94" s="197"/>
      <c r="S94" s="197"/>
      <c r="T94" s="198"/>
    </row>
    <row r="95" spans="1:20">
      <c r="A95" s="200"/>
      <c r="B95" s="176" t="s">
        <v>218</v>
      </c>
      <c r="C95" s="176"/>
      <c r="D95" s="175"/>
      <c r="E95" s="176"/>
      <c r="F95" s="177"/>
      <c r="G95" s="1168">
        <v>20000</v>
      </c>
      <c r="H95" s="1172"/>
      <c r="I95" s="179"/>
      <c r="J95" s="1190"/>
      <c r="K95" s="1183"/>
      <c r="L95" s="1228"/>
      <c r="M95" s="1229"/>
      <c r="N95" s="1229"/>
      <c r="O95" s="1229"/>
      <c r="P95" s="1229"/>
      <c r="Q95" s="1229"/>
      <c r="R95" s="1229"/>
      <c r="S95" s="1229"/>
      <c r="T95" s="1230"/>
    </row>
    <row r="96" spans="1:20">
      <c r="A96" s="200"/>
      <c r="B96" s="176"/>
      <c r="C96" s="176"/>
      <c r="D96" s="175"/>
      <c r="E96" s="176"/>
      <c r="F96" s="177"/>
      <c r="G96" s="1168"/>
      <c r="H96" s="1172"/>
      <c r="I96" s="179"/>
      <c r="J96" s="1190"/>
      <c r="K96" s="1183"/>
      <c r="L96" s="1228"/>
      <c r="M96" s="1229"/>
      <c r="N96" s="1229"/>
      <c r="O96" s="1229"/>
      <c r="P96" s="1229"/>
      <c r="Q96" s="1229"/>
      <c r="R96" s="1229"/>
      <c r="S96" s="1229"/>
      <c r="T96" s="1230"/>
    </row>
    <row r="97" spans="1:20">
      <c r="A97" s="200"/>
      <c r="B97" s="176"/>
      <c r="C97" s="176"/>
      <c r="D97" s="175"/>
      <c r="E97" s="176"/>
      <c r="F97" s="177"/>
      <c r="G97" s="1168"/>
      <c r="H97" s="1172"/>
      <c r="I97" s="179"/>
      <c r="J97" s="1190"/>
      <c r="K97" s="1183"/>
      <c r="L97" s="1228"/>
      <c r="M97" s="1229"/>
      <c r="N97" s="1229"/>
      <c r="O97" s="1229"/>
      <c r="P97" s="1229"/>
      <c r="Q97" s="1229"/>
      <c r="R97" s="1229"/>
      <c r="S97" s="1229"/>
      <c r="T97" s="1230"/>
    </row>
    <row r="98" spans="1:20">
      <c r="A98" s="201"/>
      <c r="B98" s="176"/>
      <c r="C98" s="176"/>
      <c r="D98" s="175"/>
      <c r="E98" s="176"/>
      <c r="F98" s="177"/>
      <c r="G98" s="1168"/>
      <c r="H98" s="1172"/>
      <c r="I98" s="179"/>
      <c r="J98" s="1190"/>
      <c r="K98" s="1183"/>
      <c r="L98" s="1228"/>
      <c r="M98" s="1229"/>
      <c r="N98" s="1229"/>
      <c r="O98" s="1229"/>
      <c r="P98" s="1229"/>
      <c r="Q98" s="1229"/>
      <c r="R98" s="1229"/>
      <c r="S98" s="1229"/>
      <c r="T98" s="1230"/>
    </row>
    <row r="99" spans="1:20">
      <c r="A99" s="180" t="s">
        <v>219</v>
      </c>
      <c r="B99" s="181" t="s">
        <v>220</v>
      </c>
      <c r="C99" s="181"/>
      <c r="D99" s="182"/>
      <c r="E99" s="183"/>
      <c r="F99" s="184"/>
      <c r="G99" s="1170"/>
      <c r="H99" s="1171">
        <f>SUM(G100:G103)</f>
        <v>20000</v>
      </c>
      <c r="I99" s="186">
        <f>H99/$H$226</f>
        <v>4.2918381255997841E-3</v>
      </c>
      <c r="J99" s="1189">
        <f>H99/$G$4</f>
        <v>0.27292576419213976</v>
      </c>
      <c r="K99" s="1181"/>
      <c r="L99" s="1247"/>
      <c r="M99" s="1247"/>
      <c r="N99" s="1247"/>
      <c r="O99" s="1247"/>
      <c r="P99" s="1247"/>
      <c r="Q99" s="1247"/>
      <c r="R99" s="1247"/>
      <c r="S99" s="1247"/>
      <c r="T99" s="1247"/>
    </row>
    <row r="100" spans="1:20">
      <c r="A100" s="202"/>
      <c r="B100" s="176" t="s">
        <v>251</v>
      </c>
      <c r="C100" s="176"/>
      <c r="D100" s="175"/>
      <c r="E100" s="176"/>
      <c r="F100" s="177"/>
      <c r="G100" s="1168">
        <v>20000</v>
      </c>
      <c r="H100" s="1172"/>
      <c r="I100" s="179"/>
      <c r="J100" s="1190"/>
      <c r="K100" s="1183"/>
      <c r="L100" s="1250"/>
      <c r="M100" s="1250"/>
      <c r="N100" s="1250"/>
      <c r="O100" s="1250"/>
      <c r="P100" s="1250"/>
      <c r="Q100" s="1250"/>
      <c r="R100" s="1250"/>
      <c r="S100" s="1250"/>
      <c r="T100" s="1250"/>
    </row>
    <row r="101" spans="1:20">
      <c r="A101" s="203"/>
      <c r="B101" s="176"/>
      <c r="C101" s="176"/>
      <c r="D101" s="175"/>
      <c r="E101" s="176"/>
      <c r="F101" s="177"/>
      <c r="G101" s="1168"/>
      <c r="H101" s="1172"/>
      <c r="I101" s="179"/>
      <c r="J101" s="1190"/>
      <c r="K101" s="1183"/>
      <c r="L101" s="1250"/>
      <c r="M101" s="1250"/>
      <c r="N101" s="1250"/>
      <c r="O101" s="1250"/>
      <c r="P101" s="1250"/>
      <c r="Q101" s="1250"/>
      <c r="R101" s="1250"/>
      <c r="S101" s="1250"/>
      <c r="T101" s="1250"/>
    </row>
    <row r="102" spans="1:20">
      <c r="A102" s="203"/>
      <c r="B102" s="160"/>
      <c r="C102" s="176"/>
      <c r="D102" s="175"/>
      <c r="E102" s="176"/>
      <c r="F102" s="177"/>
      <c r="G102" s="1168"/>
      <c r="H102" s="1172"/>
      <c r="I102" s="179"/>
      <c r="J102" s="1190"/>
      <c r="K102" s="1183"/>
      <c r="L102" s="1250"/>
      <c r="M102" s="1250"/>
      <c r="N102" s="1250"/>
      <c r="O102" s="1250"/>
      <c r="P102" s="1250"/>
      <c r="Q102" s="1250"/>
      <c r="R102" s="1250"/>
      <c r="S102" s="1250"/>
      <c r="T102" s="1250"/>
    </row>
    <row r="103" spans="1:20">
      <c r="A103" s="203"/>
      <c r="B103" s="176"/>
      <c r="C103" s="176"/>
      <c r="D103" s="175"/>
      <c r="E103" s="176"/>
      <c r="F103" s="177"/>
      <c r="G103" s="1168"/>
      <c r="H103" s="1172"/>
      <c r="I103" s="179"/>
      <c r="J103" s="1190"/>
      <c r="K103" s="1183"/>
      <c r="L103" s="1250"/>
      <c r="M103" s="1250"/>
      <c r="N103" s="1250"/>
      <c r="O103" s="1250"/>
      <c r="P103" s="1250"/>
      <c r="Q103" s="1250"/>
      <c r="R103" s="1250"/>
      <c r="S103" s="1250"/>
      <c r="T103" s="1250"/>
    </row>
    <row r="104" spans="1:20">
      <c r="A104" s="180" t="s">
        <v>219</v>
      </c>
      <c r="B104" s="181" t="s">
        <v>222</v>
      </c>
      <c r="C104" s="181"/>
      <c r="D104" s="182"/>
      <c r="E104" s="183"/>
      <c r="F104" s="184"/>
      <c r="G104" s="1170"/>
      <c r="H104" s="1171">
        <f>SUM(G105:G108)</f>
        <v>5000</v>
      </c>
      <c r="I104" s="186">
        <f>H104/$H$226</f>
        <v>1.072959531399946E-3</v>
      </c>
      <c r="J104" s="1189">
        <f>H104/$G$4</f>
        <v>6.8231441048034941E-2</v>
      </c>
      <c r="K104" s="1181"/>
      <c r="L104" s="1247"/>
      <c r="M104" s="1247"/>
      <c r="N104" s="1247"/>
      <c r="O104" s="1247"/>
      <c r="P104" s="1247"/>
      <c r="Q104" s="1247"/>
      <c r="R104" s="1247"/>
      <c r="S104" s="1247"/>
      <c r="T104" s="1247"/>
    </row>
    <row r="105" spans="1:20">
      <c r="A105" s="200"/>
      <c r="B105" s="176" t="s">
        <v>251</v>
      </c>
      <c r="C105" s="176"/>
      <c r="D105" s="175"/>
      <c r="E105" s="176"/>
      <c r="F105" s="177"/>
      <c r="G105" s="1168">
        <v>5000</v>
      </c>
      <c r="H105" s="1172"/>
      <c r="I105" s="179"/>
      <c r="J105" s="1190"/>
      <c r="K105" s="1183"/>
      <c r="L105" s="1250"/>
      <c r="M105" s="1250"/>
      <c r="N105" s="1250"/>
      <c r="O105" s="1250"/>
      <c r="P105" s="1250"/>
      <c r="Q105" s="1250"/>
      <c r="R105" s="1250"/>
      <c r="S105" s="1250"/>
      <c r="T105" s="1250"/>
    </row>
    <row r="106" spans="1:20">
      <c r="A106" s="200"/>
      <c r="B106" s="176"/>
      <c r="C106" s="176"/>
      <c r="D106" s="175"/>
      <c r="E106" s="195"/>
      <c r="F106" s="177"/>
      <c r="G106" s="1173"/>
      <c r="H106" s="1172"/>
      <c r="I106" s="179"/>
      <c r="J106" s="1190"/>
      <c r="K106" s="496"/>
      <c r="L106" s="1250"/>
      <c r="M106" s="1250"/>
      <c r="N106" s="1250"/>
      <c r="O106" s="1250"/>
      <c r="P106" s="1250"/>
      <c r="Q106" s="1250"/>
      <c r="R106" s="1250"/>
      <c r="S106" s="1250"/>
      <c r="T106" s="1250"/>
    </row>
    <row r="107" spans="1:20">
      <c r="A107" s="200"/>
      <c r="B107" s="176"/>
      <c r="C107" s="176"/>
      <c r="D107" s="175"/>
      <c r="E107" s="195"/>
      <c r="F107" s="177"/>
      <c r="G107" s="1168"/>
      <c r="H107" s="1172"/>
      <c r="I107" s="179"/>
      <c r="J107" s="1190"/>
      <c r="K107" s="1183"/>
      <c r="L107" s="1250"/>
      <c r="M107" s="1250"/>
      <c r="N107" s="1250"/>
      <c r="O107" s="1250"/>
      <c r="P107" s="1250"/>
      <c r="Q107" s="1250"/>
      <c r="R107" s="1250"/>
      <c r="S107" s="1250"/>
      <c r="T107" s="1250"/>
    </row>
    <row r="108" spans="1:20">
      <c r="A108" s="200"/>
      <c r="B108" s="176"/>
      <c r="C108" s="176"/>
      <c r="D108" s="175"/>
      <c r="E108" s="195"/>
      <c r="F108" s="177"/>
      <c r="G108" s="1168"/>
      <c r="H108" s="1172"/>
      <c r="I108" s="179"/>
      <c r="J108" s="1190"/>
      <c r="K108" s="1183"/>
      <c r="L108" s="1250"/>
      <c r="M108" s="1250"/>
      <c r="N108" s="1250"/>
      <c r="O108" s="1250"/>
      <c r="P108" s="1250"/>
      <c r="Q108" s="1250"/>
      <c r="R108" s="1250"/>
      <c r="S108" s="1250"/>
      <c r="T108" s="1250"/>
    </row>
    <row r="109" spans="1:20">
      <c r="A109" s="180" t="s">
        <v>219</v>
      </c>
      <c r="B109" s="181" t="s">
        <v>224</v>
      </c>
      <c r="C109" s="181"/>
      <c r="D109" s="182"/>
      <c r="E109" s="183"/>
      <c r="F109" s="184"/>
      <c r="G109" s="1170"/>
      <c r="H109" s="1171">
        <f>SUM(G110:G113)</f>
        <v>150255</v>
      </c>
      <c r="I109" s="186">
        <f>H109/$H$226</f>
        <v>3.2243506878099779E-2</v>
      </c>
      <c r="J109" s="1189">
        <f>H109/$G$4</f>
        <v>2.0504230349344978</v>
      </c>
      <c r="K109" s="1181"/>
      <c r="L109" s="1247"/>
      <c r="M109" s="1247"/>
      <c r="N109" s="1247"/>
      <c r="O109" s="1247"/>
      <c r="P109" s="1247"/>
      <c r="Q109" s="1247"/>
      <c r="R109" s="1247"/>
      <c r="S109" s="1247"/>
      <c r="T109" s="1247"/>
    </row>
    <row r="110" spans="1:20">
      <c r="A110" s="200"/>
      <c r="B110" s="176" t="s">
        <v>17</v>
      </c>
      <c r="C110" s="176"/>
      <c r="D110" s="175"/>
      <c r="E110" s="176"/>
      <c r="F110" s="177"/>
      <c r="G110" s="1168">
        <v>150255</v>
      </c>
      <c r="H110" s="1172"/>
      <c r="I110" s="179"/>
      <c r="J110" s="1191"/>
      <c r="K110" s="1183">
        <f>G110</f>
        <v>150255</v>
      </c>
      <c r="L110" s="1250" t="s">
        <v>325</v>
      </c>
      <c r="M110" s="1250"/>
      <c r="N110" s="1250"/>
      <c r="O110" s="1250"/>
      <c r="P110" s="1250"/>
      <c r="Q110" s="1250"/>
      <c r="R110" s="1250"/>
      <c r="S110" s="1250"/>
      <c r="T110" s="1250"/>
    </row>
    <row r="111" spans="1:20">
      <c r="A111" s="200"/>
      <c r="B111" s="176"/>
      <c r="C111" s="176"/>
      <c r="D111" s="175"/>
      <c r="E111" s="176"/>
      <c r="F111" s="177"/>
      <c r="G111" s="1168"/>
      <c r="H111" s="1172"/>
      <c r="I111" s="179"/>
      <c r="J111" s="1191"/>
      <c r="K111" s="1183"/>
      <c r="L111" s="1250"/>
      <c r="M111" s="1250"/>
      <c r="N111" s="1250"/>
      <c r="O111" s="1250"/>
      <c r="P111" s="1250"/>
      <c r="Q111" s="1250"/>
      <c r="R111" s="1250"/>
      <c r="S111" s="1250"/>
      <c r="T111" s="1250"/>
    </row>
    <row r="112" spans="1:20">
      <c r="A112" s="200"/>
      <c r="B112" s="176"/>
      <c r="C112" s="176"/>
      <c r="D112" s="175"/>
      <c r="E112" s="176"/>
      <c r="F112" s="177"/>
      <c r="G112" s="1168"/>
      <c r="H112" s="1172"/>
      <c r="I112" s="179"/>
      <c r="J112" s="1191"/>
      <c r="K112" s="1183"/>
      <c r="L112" s="1250"/>
      <c r="M112" s="1250"/>
      <c r="N112" s="1250"/>
      <c r="O112" s="1250"/>
      <c r="P112" s="1250"/>
      <c r="Q112" s="1250"/>
      <c r="R112" s="1250"/>
      <c r="S112" s="1250"/>
      <c r="T112" s="1250"/>
    </row>
    <row r="113" spans="1:20">
      <c r="A113" s="200"/>
      <c r="B113" s="176"/>
      <c r="C113" s="176"/>
      <c r="D113" s="175"/>
      <c r="E113" s="176"/>
      <c r="F113" s="177"/>
      <c r="G113" s="1168"/>
      <c r="H113" s="1172"/>
      <c r="I113" s="179"/>
      <c r="J113" s="1191"/>
      <c r="K113" s="1183"/>
      <c r="L113" s="1250"/>
      <c r="M113" s="1250"/>
      <c r="N113" s="1250"/>
      <c r="O113" s="1250"/>
      <c r="P113" s="1250"/>
      <c r="Q113" s="1250"/>
      <c r="R113" s="1250"/>
      <c r="S113" s="1250"/>
      <c r="T113" s="1250"/>
    </row>
    <row r="114" spans="1:20">
      <c r="A114" s="180" t="s">
        <v>219</v>
      </c>
      <c r="B114" s="181" t="s">
        <v>226</v>
      </c>
      <c r="C114" s="181"/>
      <c r="D114" s="182"/>
      <c r="E114" s="183"/>
      <c r="F114" s="184"/>
      <c r="G114" s="1170"/>
      <c r="H114" s="1171">
        <f>SUM(G115:G118)</f>
        <v>93800</v>
      </c>
      <c r="I114" s="186">
        <f>H114/$H$226</f>
        <v>2.0128720809062989E-2</v>
      </c>
      <c r="J114" s="1189">
        <f>H114/$G$4</f>
        <v>1.2800218340611353</v>
      </c>
      <c r="K114" s="1181"/>
      <c r="L114" s="1247"/>
      <c r="M114" s="1247"/>
      <c r="N114" s="1247"/>
      <c r="O114" s="1247"/>
      <c r="P114" s="1247"/>
      <c r="Q114" s="1247"/>
      <c r="R114" s="1247"/>
      <c r="S114" s="1247"/>
      <c r="T114" s="1247"/>
    </row>
    <row r="115" spans="1:20">
      <c r="A115" s="200"/>
      <c r="B115" s="176" t="s">
        <v>326</v>
      </c>
      <c r="C115" s="176"/>
      <c r="D115" s="175"/>
      <c r="E115" s="176"/>
      <c r="F115" s="177"/>
      <c r="G115" s="1168">
        <v>68800</v>
      </c>
      <c r="H115" s="1172"/>
      <c r="I115" s="179"/>
      <c r="J115" s="1191"/>
      <c r="K115" s="1183">
        <f>G115</f>
        <v>68800</v>
      </c>
      <c r="L115" s="1250"/>
      <c r="M115" s="1250"/>
      <c r="N115" s="1250"/>
      <c r="O115" s="1250"/>
      <c r="P115" s="1250"/>
      <c r="Q115" s="1250"/>
      <c r="R115" s="1250"/>
      <c r="S115" s="1250"/>
      <c r="T115" s="1250"/>
    </row>
    <row r="116" spans="1:20">
      <c r="A116" s="200"/>
      <c r="B116" s="176" t="s">
        <v>251</v>
      </c>
      <c r="C116" s="176"/>
      <c r="D116" s="175"/>
      <c r="E116" s="176"/>
      <c r="F116" s="177"/>
      <c r="G116" s="1168">
        <v>25000</v>
      </c>
      <c r="H116" s="1172"/>
      <c r="I116" s="179"/>
      <c r="J116" s="1191"/>
      <c r="K116" s="1183"/>
      <c r="L116" s="1250"/>
      <c r="M116" s="1250"/>
      <c r="N116" s="1250"/>
      <c r="O116" s="1250"/>
      <c r="P116" s="1250"/>
      <c r="Q116" s="1250"/>
      <c r="R116" s="1250"/>
      <c r="S116" s="1250"/>
      <c r="T116" s="1250"/>
    </row>
    <row r="117" spans="1:20">
      <c r="A117" s="200"/>
      <c r="B117" s="176"/>
      <c r="C117" s="176"/>
      <c r="D117" s="175"/>
      <c r="E117" s="176"/>
      <c r="F117" s="177"/>
      <c r="G117" s="1168"/>
      <c r="H117" s="1172"/>
      <c r="I117" s="179"/>
      <c r="J117" s="1191"/>
      <c r="K117" s="1183"/>
      <c r="L117" s="1250"/>
      <c r="M117" s="1250"/>
      <c r="N117" s="1250"/>
      <c r="O117" s="1250"/>
      <c r="P117" s="1250"/>
      <c r="Q117" s="1250"/>
      <c r="R117" s="1250"/>
      <c r="S117" s="1250"/>
      <c r="T117" s="1250"/>
    </row>
    <row r="118" spans="1:20">
      <c r="A118" s="200"/>
      <c r="B118" s="176"/>
      <c r="C118" s="176"/>
      <c r="D118" s="175"/>
      <c r="E118" s="176"/>
      <c r="F118" s="177"/>
      <c r="G118" s="1168"/>
      <c r="H118" s="1172"/>
      <c r="I118" s="179"/>
      <c r="J118" s="1191"/>
      <c r="K118" s="1183"/>
      <c r="L118" s="1250"/>
      <c r="M118" s="1250"/>
      <c r="N118" s="1250"/>
      <c r="O118" s="1250"/>
      <c r="P118" s="1250"/>
      <c r="Q118" s="1250"/>
      <c r="R118" s="1250"/>
      <c r="S118" s="1250"/>
      <c r="T118" s="1250"/>
    </row>
    <row r="119" spans="1:20">
      <c r="A119" s="180" t="s">
        <v>227</v>
      </c>
      <c r="B119" s="181" t="s">
        <v>228</v>
      </c>
      <c r="C119" s="181"/>
      <c r="D119" s="182"/>
      <c r="E119" s="183"/>
      <c r="F119" s="184"/>
      <c r="G119" s="1170"/>
      <c r="H119" s="1171">
        <f>SUM(G120:G123)</f>
        <v>703151</v>
      </c>
      <c r="I119" s="186">
        <f>H119/$H$226</f>
        <v>0.15089051349268071</v>
      </c>
      <c r="J119" s="1189">
        <f>H119/$G$4</f>
        <v>9.5954012008733631</v>
      </c>
      <c r="K119" s="1181"/>
      <c r="L119" s="1225"/>
      <c r="M119" s="1226"/>
      <c r="N119" s="1226"/>
      <c r="O119" s="1226"/>
      <c r="P119" s="1226"/>
      <c r="Q119" s="1226"/>
      <c r="R119" s="1226"/>
      <c r="S119" s="1226"/>
      <c r="T119" s="1227"/>
    </row>
    <row r="120" spans="1:20">
      <c r="A120" s="192"/>
      <c r="B120" s="176"/>
      <c r="C120" s="166"/>
      <c r="D120" s="175"/>
      <c r="E120" s="176"/>
      <c r="F120" s="193"/>
      <c r="G120" s="1174"/>
      <c r="H120" s="1172"/>
      <c r="I120" s="179"/>
      <c r="J120" s="1190"/>
      <c r="K120" s="1184"/>
      <c r="L120" s="1228"/>
      <c r="M120" s="1229"/>
      <c r="N120" s="1229"/>
      <c r="O120" s="1229"/>
      <c r="P120" s="1229"/>
      <c r="Q120" s="1229"/>
      <c r="R120" s="1229"/>
      <c r="S120" s="1229"/>
      <c r="T120" s="1230"/>
    </row>
    <row r="121" spans="1:20">
      <c r="A121" s="192"/>
      <c r="B121" s="176" t="s">
        <v>327</v>
      </c>
      <c r="C121" s="166"/>
      <c r="D121" s="175"/>
      <c r="E121" s="176"/>
      <c r="F121" s="193"/>
      <c r="G121" s="1168">
        <v>678401</v>
      </c>
      <c r="H121" s="1172"/>
      <c r="I121" s="179"/>
      <c r="J121" s="1190"/>
      <c r="K121" s="1183">
        <f>G121</f>
        <v>678401</v>
      </c>
      <c r="L121" s="1251"/>
      <c r="M121" s="1229"/>
      <c r="N121" s="1229"/>
      <c r="O121" s="1229"/>
      <c r="P121" s="1229"/>
      <c r="Q121" s="1229"/>
      <c r="R121" s="1229"/>
      <c r="S121" s="1229"/>
      <c r="T121" s="1230"/>
    </row>
    <row r="122" spans="1:20">
      <c r="A122" s="192"/>
      <c r="B122" s="176" t="s">
        <v>550</v>
      </c>
      <c r="C122" s="166"/>
      <c r="D122" s="175" t="s">
        <v>551</v>
      </c>
      <c r="E122" s="490">
        <v>0.05</v>
      </c>
      <c r="F122" s="193">
        <v>495000</v>
      </c>
      <c r="G122" s="1168">
        <f>F122*E122</f>
        <v>24750</v>
      </c>
      <c r="H122" s="1172"/>
      <c r="I122" s="179"/>
      <c r="J122" s="1190"/>
      <c r="K122" s="1183">
        <f>G122</f>
        <v>24750</v>
      </c>
      <c r="L122" s="1228"/>
      <c r="M122" s="1229"/>
      <c r="N122" s="1229"/>
      <c r="O122" s="1229"/>
      <c r="P122" s="1229"/>
      <c r="Q122" s="1229"/>
      <c r="R122" s="1229"/>
      <c r="S122" s="1229"/>
      <c r="T122" s="1230"/>
    </row>
    <row r="123" spans="1:20">
      <c r="A123" s="194"/>
      <c r="B123" s="176"/>
      <c r="C123" s="176"/>
      <c r="D123" s="175"/>
      <c r="E123" s="195"/>
      <c r="F123" s="161"/>
      <c r="G123" s="1168"/>
      <c r="H123" s="1172"/>
      <c r="I123" s="179"/>
      <c r="J123" s="1190"/>
      <c r="K123" s="1183"/>
      <c r="L123" s="1250"/>
      <c r="M123" s="1250"/>
      <c r="N123" s="1250"/>
      <c r="O123" s="1250"/>
      <c r="P123" s="1250"/>
      <c r="Q123" s="1250"/>
      <c r="R123" s="1250"/>
      <c r="S123" s="1250"/>
      <c r="T123" s="1250"/>
    </row>
    <row r="124" spans="1:20">
      <c r="A124" s="180" t="s">
        <v>229</v>
      </c>
      <c r="B124" s="181" t="s">
        <v>230</v>
      </c>
      <c r="C124" s="181"/>
      <c r="D124" s="182"/>
      <c r="E124" s="183"/>
      <c r="F124" s="184"/>
      <c r="G124" s="1170"/>
      <c r="H124" s="1171">
        <f>SUM(G125:G128)</f>
        <v>5000</v>
      </c>
      <c r="I124" s="186">
        <f>H124/$H$226</f>
        <v>1.072959531399946E-3</v>
      </c>
      <c r="J124" s="1189">
        <f>H124/$G$4</f>
        <v>6.8231441048034941E-2</v>
      </c>
      <c r="K124" s="1181"/>
      <c r="L124" s="1244"/>
      <c r="M124" s="1245"/>
      <c r="N124" s="1245"/>
      <c r="O124" s="1245"/>
      <c r="P124" s="1245"/>
      <c r="Q124" s="1245"/>
      <c r="R124" s="1245"/>
      <c r="S124" s="1245"/>
      <c r="T124" s="1246"/>
    </row>
    <row r="125" spans="1:20">
      <c r="A125" s="192"/>
      <c r="B125" s="176" t="s">
        <v>202</v>
      </c>
      <c r="C125" s="176"/>
      <c r="D125" s="175"/>
      <c r="E125" s="176"/>
      <c r="F125" s="177"/>
      <c r="G125" s="1168">
        <v>5000</v>
      </c>
      <c r="H125" s="1172"/>
      <c r="I125" s="179"/>
      <c r="J125" s="1190"/>
      <c r="K125" s="1183"/>
      <c r="L125" s="1228"/>
      <c r="M125" s="1229"/>
      <c r="N125" s="1229"/>
      <c r="O125" s="1229"/>
      <c r="P125" s="1229"/>
      <c r="Q125" s="1229"/>
      <c r="R125" s="1229"/>
      <c r="S125" s="1229"/>
      <c r="T125" s="1230"/>
    </row>
    <row r="126" spans="1:20">
      <c r="A126" s="192"/>
      <c r="B126" s="176"/>
      <c r="C126" s="176"/>
      <c r="D126" s="175"/>
      <c r="E126" s="176"/>
      <c r="F126" s="177"/>
      <c r="G126" s="1168"/>
      <c r="H126" s="1172"/>
      <c r="I126" s="179"/>
      <c r="J126" s="1190"/>
      <c r="K126" s="1183"/>
      <c r="L126" s="1228"/>
      <c r="M126" s="1229"/>
      <c r="N126" s="1229"/>
      <c r="O126" s="1229"/>
      <c r="P126" s="1229"/>
      <c r="Q126" s="1229"/>
      <c r="R126" s="1229"/>
      <c r="S126" s="1229"/>
      <c r="T126" s="1230"/>
    </row>
    <row r="127" spans="1:20">
      <c r="A127" s="192"/>
      <c r="B127" s="176"/>
      <c r="C127" s="176"/>
      <c r="D127" s="175"/>
      <c r="E127" s="176"/>
      <c r="F127" s="177"/>
      <c r="G127" s="1168"/>
      <c r="H127" s="1172"/>
      <c r="I127" s="179"/>
      <c r="J127" s="1190"/>
      <c r="K127" s="1183"/>
      <c r="L127" s="1228"/>
      <c r="M127" s="1229"/>
      <c r="N127" s="1229"/>
      <c r="O127" s="1229"/>
      <c r="P127" s="1229"/>
      <c r="Q127" s="1229"/>
      <c r="R127" s="1229"/>
      <c r="S127" s="1229"/>
      <c r="T127" s="1230"/>
    </row>
    <row r="128" spans="1:20">
      <c r="A128" s="192"/>
      <c r="B128" s="176"/>
      <c r="C128" s="176"/>
      <c r="D128" s="175"/>
      <c r="E128" s="176"/>
      <c r="F128" s="177"/>
      <c r="G128" s="1168"/>
      <c r="H128" s="1172"/>
      <c r="I128" s="179"/>
      <c r="J128" s="1190"/>
      <c r="K128" s="1183"/>
      <c r="L128" s="1228"/>
      <c r="M128" s="1229"/>
      <c r="N128" s="1229"/>
      <c r="O128" s="1229"/>
      <c r="P128" s="1229"/>
      <c r="Q128" s="1229"/>
      <c r="R128" s="1229"/>
      <c r="S128" s="1229"/>
      <c r="T128" s="1230"/>
    </row>
    <row r="129" spans="1:20">
      <c r="A129" s="180" t="s">
        <v>231</v>
      </c>
      <c r="B129" s="181" t="s">
        <v>232</v>
      </c>
      <c r="C129" s="181"/>
      <c r="D129" s="182"/>
      <c r="E129" s="183"/>
      <c r="F129" s="184"/>
      <c r="G129" s="1170"/>
      <c r="H129" s="1171">
        <f>SUM(G130:G133)</f>
        <v>75000</v>
      </c>
      <c r="I129" s="186">
        <f>H129/$H$226</f>
        <v>1.609439297099919E-2</v>
      </c>
      <c r="J129" s="1189">
        <f>H129/$G$4</f>
        <v>1.0234716157205239</v>
      </c>
      <c r="K129" s="1181"/>
      <c r="L129" s="1247"/>
      <c r="M129" s="1247"/>
      <c r="N129" s="1247"/>
      <c r="O129" s="1247"/>
      <c r="P129" s="1247"/>
      <c r="Q129" s="1247"/>
      <c r="R129" s="1247"/>
      <c r="S129" s="1247"/>
      <c r="T129" s="1247"/>
    </row>
    <row r="130" spans="1:20">
      <c r="A130" s="203"/>
      <c r="B130" s="176" t="s">
        <v>328</v>
      </c>
      <c r="C130" s="176"/>
      <c r="D130" s="175"/>
      <c r="E130" s="176"/>
      <c r="F130" s="177"/>
      <c r="G130" s="1168">
        <v>10000</v>
      </c>
      <c r="H130" s="1172"/>
      <c r="I130" s="179"/>
      <c r="J130" s="1190"/>
      <c r="K130" s="1183"/>
      <c r="L130" s="1250"/>
      <c r="M130" s="1250"/>
      <c r="N130" s="1250"/>
      <c r="O130" s="1250"/>
      <c r="P130" s="1250"/>
      <c r="Q130" s="1250"/>
      <c r="R130" s="1250"/>
      <c r="S130" s="1250"/>
      <c r="T130" s="1250"/>
    </row>
    <row r="131" spans="1:20">
      <c r="A131" s="203"/>
      <c r="B131" s="176" t="s">
        <v>329</v>
      </c>
      <c r="C131" s="176"/>
      <c r="D131" s="175"/>
      <c r="E131" s="176"/>
      <c r="F131" s="177"/>
      <c r="G131" s="1168">
        <v>15000</v>
      </c>
      <c r="H131" s="1172"/>
      <c r="I131" s="179"/>
      <c r="J131" s="1190"/>
      <c r="K131" s="1183"/>
      <c r="L131" s="1250"/>
      <c r="M131" s="1250"/>
      <c r="N131" s="1250"/>
      <c r="O131" s="1250"/>
      <c r="P131" s="1250"/>
      <c r="Q131" s="1250"/>
      <c r="R131" s="1250"/>
      <c r="S131" s="1250"/>
      <c r="T131" s="1250"/>
    </row>
    <row r="132" spans="1:20">
      <c r="A132" s="203"/>
      <c r="B132" s="176" t="s">
        <v>330</v>
      </c>
      <c r="C132" s="176"/>
      <c r="D132" s="175"/>
      <c r="E132" s="176"/>
      <c r="F132" s="177"/>
      <c r="G132" s="1168">
        <v>50000</v>
      </c>
      <c r="H132" s="1172"/>
      <c r="I132" s="179"/>
      <c r="J132" s="1190"/>
      <c r="K132" s="1183"/>
      <c r="L132" s="1250"/>
      <c r="M132" s="1250"/>
      <c r="N132" s="1250"/>
      <c r="O132" s="1250"/>
      <c r="P132" s="1250"/>
      <c r="Q132" s="1250"/>
      <c r="R132" s="1250"/>
      <c r="S132" s="1250"/>
      <c r="T132" s="1250"/>
    </row>
    <row r="133" spans="1:20">
      <c r="A133" s="203"/>
      <c r="B133" s="176"/>
      <c r="C133" s="176"/>
      <c r="D133" s="175"/>
      <c r="E133" s="176"/>
      <c r="F133" s="177"/>
      <c r="G133" s="1168"/>
      <c r="H133" s="1172"/>
      <c r="I133" s="179"/>
      <c r="J133" s="1190"/>
      <c r="K133" s="1183"/>
      <c r="L133" s="1250"/>
      <c r="M133" s="1250"/>
      <c r="N133" s="1250"/>
      <c r="O133" s="1250"/>
      <c r="P133" s="1250"/>
      <c r="Q133" s="1250"/>
      <c r="R133" s="1250"/>
      <c r="S133" s="1250"/>
      <c r="T133" s="1250"/>
    </row>
    <row r="134" spans="1:20">
      <c r="A134" s="180" t="s">
        <v>231</v>
      </c>
      <c r="B134" s="181" t="s">
        <v>233</v>
      </c>
      <c r="C134" s="181"/>
      <c r="D134" s="182"/>
      <c r="E134" s="183"/>
      <c r="F134" s="184"/>
      <c r="G134" s="1170"/>
      <c r="H134" s="1171">
        <f>SUM(G135:G138)</f>
        <v>3000</v>
      </c>
      <c r="I134" s="186">
        <f>H134/$H$226</f>
        <v>6.4377571883996766E-4</v>
      </c>
      <c r="J134" s="1189">
        <f>H134/$G$4</f>
        <v>4.0938864628820959E-2</v>
      </c>
      <c r="K134" s="1181"/>
      <c r="L134" s="1247"/>
      <c r="M134" s="1247"/>
      <c r="N134" s="1247"/>
      <c r="O134" s="1247"/>
      <c r="P134" s="1247"/>
      <c r="Q134" s="1247"/>
      <c r="R134" s="1247"/>
      <c r="S134" s="1247"/>
      <c r="T134" s="1247"/>
    </row>
    <row r="135" spans="1:20">
      <c r="A135" s="192"/>
      <c r="B135" s="176" t="s">
        <v>251</v>
      </c>
      <c r="C135" s="176"/>
      <c r="D135" s="175"/>
      <c r="E135" s="176"/>
      <c r="F135" s="177"/>
      <c r="G135" s="1168">
        <v>3000</v>
      </c>
      <c r="H135" s="1172"/>
      <c r="I135" s="179"/>
      <c r="J135" s="1190"/>
      <c r="K135" s="1183"/>
      <c r="L135" s="1250"/>
      <c r="M135" s="1250"/>
      <c r="N135" s="1250"/>
      <c r="O135" s="1250"/>
      <c r="P135" s="1250"/>
      <c r="Q135" s="1250"/>
      <c r="R135" s="1250"/>
      <c r="S135" s="1250"/>
      <c r="T135" s="1250"/>
    </row>
    <row r="136" spans="1:20">
      <c r="A136" s="192"/>
      <c r="B136" s="176"/>
      <c r="C136" s="176"/>
      <c r="D136" s="175"/>
      <c r="E136" s="176"/>
      <c r="F136" s="177"/>
      <c r="G136" s="1168"/>
      <c r="H136" s="1172"/>
      <c r="I136" s="179"/>
      <c r="J136" s="1190"/>
      <c r="K136" s="1183"/>
      <c r="L136" s="1250"/>
      <c r="M136" s="1250"/>
      <c r="N136" s="1250"/>
      <c r="O136" s="1250"/>
      <c r="P136" s="1250"/>
      <c r="Q136" s="1250"/>
      <c r="R136" s="1250"/>
      <c r="S136" s="1250"/>
      <c r="T136" s="1250"/>
    </row>
    <row r="137" spans="1:20">
      <c r="A137" s="192"/>
      <c r="B137" s="176"/>
      <c r="C137" s="176"/>
      <c r="D137" s="175"/>
      <c r="E137" s="176"/>
      <c r="F137" s="177"/>
      <c r="G137" s="1168"/>
      <c r="H137" s="1172"/>
      <c r="I137" s="179"/>
      <c r="J137" s="1190"/>
      <c r="K137" s="1183"/>
      <c r="L137" s="1250"/>
      <c r="M137" s="1250"/>
      <c r="N137" s="1250"/>
      <c r="O137" s="1250"/>
      <c r="P137" s="1250"/>
      <c r="Q137" s="1250"/>
      <c r="R137" s="1250"/>
      <c r="S137" s="1250"/>
      <c r="T137" s="1250"/>
    </row>
    <row r="138" spans="1:20">
      <c r="A138" s="192"/>
      <c r="B138" s="176"/>
      <c r="C138" s="176"/>
      <c r="D138" s="175"/>
      <c r="E138" s="176"/>
      <c r="F138" s="177"/>
      <c r="G138" s="1168"/>
      <c r="H138" s="1172"/>
      <c r="I138" s="179"/>
      <c r="J138" s="1190"/>
      <c r="K138" s="1183"/>
      <c r="L138" s="1250"/>
      <c r="M138" s="1250"/>
      <c r="N138" s="1250"/>
      <c r="O138" s="1250"/>
      <c r="P138" s="1250"/>
      <c r="Q138" s="1250"/>
      <c r="R138" s="1250"/>
      <c r="S138" s="1250"/>
      <c r="T138" s="1250"/>
    </row>
    <row r="139" spans="1:20">
      <c r="A139" s="180" t="s">
        <v>231</v>
      </c>
      <c r="B139" s="181" t="s">
        <v>234</v>
      </c>
      <c r="C139" s="181"/>
      <c r="D139" s="182"/>
      <c r="E139" s="183"/>
      <c r="F139" s="184"/>
      <c r="G139" s="1170"/>
      <c r="H139" s="1171">
        <f>SUM(G140:G143)</f>
        <v>0</v>
      </c>
      <c r="I139" s="186">
        <f>H139/$H$226</f>
        <v>0</v>
      </c>
      <c r="J139" s="1189">
        <f>H139/$G$4</f>
        <v>0</v>
      </c>
      <c r="K139" s="1181"/>
      <c r="L139" s="1247"/>
      <c r="M139" s="1247"/>
      <c r="N139" s="1247"/>
      <c r="O139" s="1247"/>
      <c r="P139" s="1247"/>
      <c r="Q139" s="1247"/>
      <c r="R139" s="1247"/>
      <c r="S139" s="1247"/>
      <c r="T139" s="1247"/>
    </row>
    <row r="140" spans="1:20">
      <c r="A140" s="192"/>
      <c r="B140" s="176"/>
      <c r="C140" s="176"/>
      <c r="D140" s="175"/>
      <c r="E140" s="176"/>
      <c r="F140" s="177"/>
      <c r="G140" s="1168"/>
      <c r="H140" s="1172"/>
      <c r="I140" s="179"/>
      <c r="J140" s="1190"/>
      <c r="K140" s="1183"/>
      <c r="L140" s="1250"/>
      <c r="M140" s="1250"/>
      <c r="N140" s="1250"/>
      <c r="O140" s="1250"/>
      <c r="P140" s="1250"/>
      <c r="Q140" s="1250"/>
      <c r="R140" s="1250"/>
      <c r="S140" s="1250"/>
      <c r="T140" s="1250"/>
    </row>
    <row r="141" spans="1:20">
      <c r="A141" s="192"/>
      <c r="B141" s="176"/>
      <c r="C141" s="176"/>
      <c r="D141" s="175"/>
      <c r="E141" s="176"/>
      <c r="F141" s="177"/>
      <c r="G141" s="1168"/>
      <c r="H141" s="1172"/>
      <c r="I141" s="179"/>
      <c r="J141" s="1190"/>
      <c r="K141" s="1183"/>
      <c r="L141" s="1250"/>
      <c r="M141" s="1250"/>
      <c r="N141" s="1250"/>
      <c r="O141" s="1250"/>
      <c r="P141" s="1250"/>
      <c r="Q141" s="1250"/>
      <c r="R141" s="1250"/>
      <c r="S141" s="1250"/>
      <c r="T141" s="1250"/>
    </row>
    <row r="142" spans="1:20">
      <c r="A142" s="192"/>
      <c r="B142" s="176"/>
      <c r="C142" s="176"/>
      <c r="D142" s="175"/>
      <c r="E142" s="176"/>
      <c r="F142" s="177"/>
      <c r="G142" s="1168"/>
      <c r="H142" s="1172"/>
      <c r="I142" s="179"/>
      <c r="J142" s="1190"/>
      <c r="K142" s="1183"/>
      <c r="L142" s="1250"/>
      <c r="M142" s="1250"/>
      <c r="N142" s="1250"/>
      <c r="O142" s="1250"/>
      <c r="P142" s="1250"/>
      <c r="Q142" s="1250"/>
      <c r="R142" s="1250"/>
      <c r="S142" s="1250"/>
      <c r="T142" s="1250"/>
    </row>
    <row r="143" spans="1:20">
      <c r="A143" s="192"/>
      <c r="B143" s="176"/>
      <c r="C143" s="176"/>
      <c r="D143" s="175"/>
      <c r="E143" s="176"/>
      <c r="F143" s="177"/>
      <c r="G143" s="1168"/>
      <c r="H143" s="1172"/>
      <c r="I143" s="179"/>
      <c r="J143" s="1190"/>
      <c r="K143" s="1183"/>
      <c r="L143" s="1250"/>
      <c r="M143" s="1250"/>
      <c r="N143" s="1250"/>
      <c r="O143" s="1250"/>
      <c r="P143" s="1250"/>
      <c r="Q143" s="1250"/>
      <c r="R143" s="1250"/>
      <c r="S143" s="1250"/>
      <c r="T143" s="1250"/>
    </row>
    <row r="144" spans="1:20">
      <c r="A144" s="180" t="s">
        <v>235</v>
      </c>
      <c r="B144" s="181" t="s">
        <v>236</v>
      </c>
      <c r="C144" s="181"/>
      <c r="D144" s="182"/>
      <c r="E144" s="183"/>
      <c r="F144" s="184"/>
      <c r="G144" s="1170"/>
      <c r="H144" s="1171">
        <f>SUM(G145:G148)</f>
        <v>321000</v>
      </c>
      <c r="I144" s="186">
        <f>H144/$H$226</f>
        <v>6.8884001915876542E-2</v>
      </c>
      <c r="J144" s="1189">
        <f>H144/$G$4</f>
        <v>4.3804585152838431</v>
      </c>
      <c r="K144" s="1181"/>
      <c r="L144" s="1247"/>
      <c r="M144" s="1247"/>
      <c r="N144" s="1247"/>
      <c r="O144" s="1247"/>
      <c r="P144" s="1247"/>
      <c r="Q144" s="1247"/>
      <c r="R144" s="1247"/>
      <c r="S144" s="1247"/>
      <c r="T144" s="1247"/>
    </row>
    <row r="145" spans="1:20">
      <c r="A145" s="194"/>
      <c r="B145" s="176" t="s">
        <v>331</v>
      </c>
      <c r="C145" s="176"/>
      <c r="D145" s="175"/>
      <c r="E145" s="195"/>
      <c r="F145" s="177"/>
      <c r="G145" s="1168">
        <v>296000</v>
      </c>
      <c r="H145" s="1172"/>
      <c r="I145" s="179"/>
      <c r="J145" s="1190"/>
      <c r="K145" s="1183">
        <f>G145</f>
        <v>296000</v>
      </c>
      <c r="L145" s="1250"/>
      <c r="M145" s="1250"/>
      <c r="N145" s="1250"/>
      <c r="O145" s="1250"/>
      <c r="P145" s="1250"/>
      <c r="Q145" s="1250"/>
      <c r="R145" s="1250"/>
      <c r="S145" s="1250"/>
      <c r="T145" s="1250"/>
    </row>
    <row r="146" spans="1:20">
      <c r="A146" s="194"/>
      <c r="B146" s="176" t="s">
        <v>332</v>
      </c>
      <c r="C146" s="176"/>
      <c r="D146" s="175"/>
      <c r="E146" s="195"/>
      <c r="F146" s="177"/>
      <c r="G146" s="1168">
        <v>25000</v>
      </c>
      <c r="H146" s="1172"/>
      <c r="I146" s="179"/>
      <c r="J146" s="1190"/>
      <c r="K146" s="1183"/>
      <c r="L146" s="1250"/>
      <c r="M146" s="1250"/>
      <c r="N146" s="1250"/>
      <c r="O146" s="1250"/>
      <c r="P146" s="1250"/>
      <c r="Q146" s="1250"/>
      <c r="R146" s="1250"/>
      <c r="S146" s="1250"/>
      <c r="T146" s="1250"/>
    </row>
    <row r="147" spans="1:20">
      <c r="A147" s="194"/>
      <c r="B147" s="176"/>
      <c r="C147" s="176"/>
      <c r="D147" s="175"/>
      <c r="E147" s="195"/>
      <c r="F147" s="177"/>
      <c r="G147" s="1168"/>
      <c r="H147" s="1172"/>
      <c r="I147" s="179"/>
      <c r="J147" s="1190"/>
      <c r="K147" s="1183"/>
      <c r="L147" s="1250"/>
      <c r="M147" s="1250"/>
      <c r="N147" s="1250"/>
      <c r="O147" s="1250"/>
      <c r="P147" s="1250"/>
      <c r="Q147" s="1250"/>
      <c r="R147" s="1250"/>
      <c r="S147" s="1250"/>
      <c r="T147" s="1250"/>
    </row>
    <row r="148" spans="1:20">
      <c r="A148" s="194"/>
      <c r="B148" s="176"/>
      <c r="C148" s="176"/>
      <c r="D148" s="175"/>
      <c r="E148" s="195"/>
      <c r="F148" s="177"/>
      <c r="G148" s="1168"/>
      <c r="H148" s="1172"/>
      <c r="I148" s="179"/>
      <c r="J148" s="1190"/>
      <c r="K148" s="1183"/>
      <c r="L148" s="1250"/>
      <c r="M148" s="1250"/>
      <c r="N148" s="1250"/>
      <c r="O148" s="1250"/>
      <c r="P148" s="1250"/>
      <c r="Q148" s="1250"/>
      <c r="R148" s="1250"/>
      <c r="S148" s="1250"/>
      <c r="T148" s="1250"/>
    </row>
    <row r="149" spans="1:20">
      <c r="A149" s="180" t="s">
        <v>237</v>
      </c>
      <c r="B149" s="181" t="s">
        <v>238</v>
      </c>
      <c r="C149" s="181"/>
      <c r="D149" s="182"/>
      <c r="E149" s="183"/>
      <c r="F149" s="184"/>
      <c r="G149" s="1170"/>
      <c r="H149" s="1171">
        <f>SUM(G150:G153)</f>
        <v>33190</v>
      </c>
      <c r="I149" s="186">
        <f>H149/$H$226</f>
        <v>7.1223053694328426E-3</v>
      </c>
      <c r="J149" s="1189">
        <f>H149/$G$4</f>
        <v>0.45292030567685587</v>
      </c>
      <c r="K149" s="1181"/>
      <c r="L149" s="1247"/>
      <c r="M149" s="1247"/>
      <c r="N149" s="1247"/>
      <c r="O149" s="1247"/>
      <c r="P149" s="1247"/>
      <c r="Q149" s="1247"/>
      <c r="R149" s="1247"/>
      <c r="S149" s="1247"/>
      <c r="T149" s="1247"/>
    </row>
    <row r="150" spans="1:20">
      <c r="A150" s="200"/>
      <c r="B150" s="176" t="s">
        <v>333</v>
      </c>
      <c r="C150" s="176"/>
      <c r="D150" s="175"/>
      <c r="E150" s="176"/>
      <c r="F150" s="177"/>
      <c r="G150" s="1168">
        <v>33190</v>
      </c>
      <c r="H150" s="1172"/>
      <c r="I150" s="179"/>
      <c r="J150" s="1190"/>
      <c r="K150" s="1183">
        <f>G150</f>
        <v>33190</v>
      </c>
      <c r="L150" s="1250"/>
      <c r="M150" s="1250"/>
      <c r="N150" s="1250"/>
      <c r="O150" s="1250"/>
      <c r="P150" s="1250"/>
      <c r="Q150" s="1250"/>
      <c r="R150" s="1250"/>
      <c r="S150" s="1250"/>
      <c r="T150" s="1250"/>
    </row>
    <row r="151" spans="1:20">
      <c r="A151" s="200"/>
      <c r="B151" s="176"/>
      <c r="C151" s="176"/>
      <c r="D151" s="175"/>
      <c r="E151" s="176"/>
      <c r="F151" s="177"/>
      <c r="G151" s="1168"/>
      <c r="H151" s="1172"/>
      <c r="I151" s="179"/>
      <c r="J151" s="1190"/>
      <c r="K151" s="1183"/>
      <c r="L151" s="1250"/>
      <c r="M151" s="1250"/>
      <c r="N151" s="1250"/>
      <c r="O151" s="1250"/>
      <c r="P151" s="1250"/>
      <c r="Q151" s="1250"/>
      <c r="R151" s="1250"/>
      <c r="S151" s="1250"/>
      <c r="T151" s="1250"/>
    </row>
    <row r="152" spans="1:20">
      <c r="A152" s="200"/>
      <c r="B152" s="176"/>
      <c r="C152" s="176"/>
      <c r="D152" s="175"/>
      <c r="E152" s="176"/>
      <c r="F152" s="177"/>
      <c r="G152" s="1168"/>
      <c r="H152" s="1172"/>
      <c r="I152" s="179"/>
      <c r="J152" s="1190"/>
      <c r="K152" s="1183"/>
      <c r="L152" s="1250"/>
      <c r="M152" s="1250"/>
      <c r="N152" s="1250"/>
      <c r="O152" s="1250"/>
      <c r="P152" s="1250"/>
      <c r="Q152" s="1250"/>
      <c r="R152" s="1250"/>
      <c r="S152" s="1250"/>
      <c r="T152" s="1250"/>
    </row>
    <row r="153" spans="1:20">
      <c r="A153" s="201"/>
      <c r="B153" s="176"/>
      <c r="C153" s="176"/>
      <c r="D153" s="175"/>
      <c r="E153" s="176"/>
      <c r="F153" s="177"/>
      <c r="G153" s="1168"/>
      <c r="H153" s="1172"/>
      <c r="I153" s="179"/>
      <c r="J153" s="1190"/>
      <c r="K153" s="1183"/>
      <c r="L153" s="1250"/>
      <c r="M153" s="1250"/>
      <c r="N153" s="1250"/>
      <c r="O153" s="1250"/>
      <c r="P153" s="1250"/>
      <c r="Q153" s="1250"/>
      <c r="R153" s="1250"/>
      <c r="S153" s="1250"/>
      <c r="T153" s="1250"/>
    </row>
    <row r="154" spans="1:20">
      <c r="A154" s="180" t="s">
        <v>240</v>
      </c>
      <c r="B154" s="181" t="s">
        <v>241</v>
      </c>
      <c r="C154" s="181"/>
      <c r="D154" s="182"/>
      <c r="E154" s="183"/>
      <c r="F154" s="184"/>
      <c r="G154" s="1170"/>
      <c r="H154" s="1171">
        <f>SUM(G155:G158)</f>
        <v>10000</v>
      </c>
      <c r="I154" s="186">
        <f>H154/$H$226</f>
        <v>2.1459190627998921E-3</v>
      </c>
      <c r="J154" s="1189">
        <f>H154/$G$4</f>
        <v>0.13646288209606988</v>
      </c>
      <c r="K154" s="1181"/>
      <c r="L154" s="1247"/>
      <c r="M154" s="1247"/>
      <c r="N154" s="1247"/>
      <c r="O154" s="1247"/>
      <c r="P154" s="1247"/>
      <c r="Q154" s="1247"/>
      <c r="R154" s="1247"/>
      <c r="S154" s="1247"/>
      <c r="T154" s="1247"/>
    </row>
    <row r="155" spans="1:20">
      <c r="A155" s="202"/>
      <c r="B155" s="176" t="s">
        <v>334</v>
      </c>
      <c r="C155" s="176"/>
      <c r="D155" s="175"/>
      <c r="E155" s="176"/>
      <c r="F155" s="177"/>
      <c r="G155" s="1168">
        <v>10000</v>
      </c>
      <c r="H155" s="1172"/>
      <c r="I155" s="179"/>
      <c r="J155" s="1190"/>
      <c r="K155" s="1183"/>
      <c r="L155" s="1250"/>
      <c r="M155" s="1250"/>
      <c r="N155" s="1250"/>
      <c r="O155" s="1250"/>
      <c r="P155" s="1250"/>
      <c r="Q155" s="1250"/>
      <c r="R155" s="1250"/>
      <c r="S155" s="1250"/>
      <c r="T155" s="1250"/>
    </row>
    <row r="156" spans="1:20">
      <c r="A156" s="203"/>
      <c r="B156" s="176"/>
      <c r="C156" s="176"/>
      <c r="D156" s="175"/>
      <c r="E156" s="176"/>
      <c r="F156" s="177"/>
      <c r="G156" s="1168"/>
      <c r="H156" s="1172"/>
      <c r="I156" s="179"/>
      <c r="J156" s="1190"/>
      <c r="K156" s="1183"/>
      <c r="L156" s="1250"/>
      <c r="M156" s="1250"/>
      <c r="N156" s="1250"/>
      <c r="O156" s="1250"/>
      <c r="P156" s="1250"/>
      <c r="Q156" s="1250"/>
      <c r="R156" s="1250"/>
      <c r="S156" s="1250"/>
      <c r="T156" s="1250"/>
    </row>
    <row r="157" spans="1:20">
      <c r="A157" s="203"/>
      <c r="B157" s="176"/>
      <c r="C157" s="176"/>
      <c r="D157" s="175"/>
      <c r="E157" s="176"/>
      <c r="F157" s="177"/>
      <c r="G157" s="1168"/>
      <c r="H157" s="1172"/>
      <c r="I157" s="179"/>
      <c r="J157" s="1190"/>
      <c r="K157" s="1183"/>
      <c r="L157" s="1250"/>
      <c r="M157" s="1250"/>
      <c r="N157" s="1250"/>
      <c r="O157" s="1250"/>
      <c r="P157" s="1250"/>
      <c r="Q157" s="1250"/>
      <c r="R157" s="1250"/>
      <c r="S157" s="1250"/>
      <c r="T157" s="1250"/>
    </row>
    <row r="158" spans="1:20">
      <c r="A158" s="203"/>
      <c r="B158" s="176"/>
      <c r="C158" s="176"/>
      <c r="D158" s="175"/>
      <c r="E158" s="176"/>
      <c r="F158" s="177"/>
      <c r="G158" s="1168"/>
      <c r="H158" s="1172"/>
      <c r="I158" s="179"/>
      <c r="J158" s="1190"/>
      <c r="K158" s="1183"/>
      <c r="L158" s="1250"/>
      <c r="M158" s="1250"/>
      <c r="N158" s="1250"/>
      <c r="O158" s="1250"/>
      <c r="P158" s="1250"/>
      <c r="Q158" s="1250"/>
      <c r="R158" s="1250"/>
      <c r="S158" s="1250"/>
      <c r="T158" s="1250"/>
    </row>
    <row r="159" spans="1:20">
      <c r="A159" s="180" t="s">
        <v>242</v>
      </c>
      <c r="B159" s="181" t="s">
        <v>243</v>
      </c>
      <c r="C159" s="181"/>
      <c r="D159" s="182"/>
      <c r="E159" s="183"/>
      <c r="F159" s="184"/>
      <c r="G159" s="1170"/>
      <c r="H159" s="1171">
        <f>SUM(G160:G163)</f>
        <v>380000</v>
      </c>
      <c r="I159" s="186">
        <f>H159/$H$226</f>
        <v>8.1544924386395906E-2</v>
      </c>
      <c r="J159" s="1189">
        <f>H159/$G$4</f>
        <v>5.1855895196506552</v>
      </c>
      <c r="K159" s="1181"/>
      <c r="L159" s="1247"/>
      <c r="M159" s="1247"/>
      <c r="N159" s="1247"/>
      <c r="O159" s="1247"/>
      <c r="P159" s="1247"/>
      <c r="Q159" s="1247"/>
      <c r="R159" s="1247"/>
      <c r="S159" s="1247"/>
      <c r="T159" s="1247"/>
    </row>
    <row r="160" spans="1:20">
      <c r="A160" s="200"/>
      <c r="B160" s="176" t="s">
        <v>244</v>
      </c>
      <c r="C160" s="176"/>
      <c r="D160" s="175" t="s">
        <v>319</v>
      </c>
      <c r="E160" s="176">
        <v>76000</v>
      </c>
      <c r="F160" s="177">
        <v>4</v>
      </c>
      <c r="G160" s="1168">
        <f>E160*F160</f>
        <v>304000</v>
      </c>
      <c r="H160" s="1172"/>
      <c r="I160" s="179"/>
      <c r="J160" s="1190"/>
      <c r="K160" s="1183"/>
      <c r="L160" s="1250"/>
      <c r="M160" s="1250"/>
      <c r="N160" s="1250"/>
      <c r="O160" s="1250"/>
      <c r="P160" s="1250"/>
      <c r="Q160" s="1250"/>
      <c r="R160" s="1250"/>
      <c r="S160" s="1250"/>
      <c r="T160" s="1250"/>
    </row>
    <row r="161" spans="1:20">
      <c r="A161" s="200"/>
      <c r="B161" s="176" t="s">
        <v>202</v>
      </c>
      <c r="C161" s="176"/>
      <c r="D161" s="175" t="s">
        <v>319</v>
      </c>
      <c r="E161" s="195">
        <v>76000</v>
      </c>
      <c r="F161" s="177">
        <v>1</v>
      </c>
      <c r="G161" s="1168">
        <f>E161*F161</f>
        <v>76000</v>
      </c>
      <c r="H161" s="1172"/>
      <c r="I161" s="179"/>
      <c r="J161" s="1190"/>
      <c r="K161" s="1183"/>
      <c r="L161" s="1250">
        <v>-38000</v>
      </c>
      <c r="M161" s="1250"/>
      <c r="N161" s="1250"/>
      <c r="O161" s="1250"/>
      <c r="P161" s="1250"/>
      <c r="Q161" s="1250"/>
      <c r="R161" s="1250"/>
      <c r="S161" s="1250"/>
      <c r="T161" s="1250"/>
    </row>
    <row r="162" spans="1:20">
      <c r="A162" s="200"/>
      <c r="B162" s="176"/>
      <c r="C162" s="176"/>
      <c r="D162" s="175"/>
      <c r="E162" s="195"/>
      <c r="F162" s="177"/>
      <c r="G162" s="1168"/>
      <c r="H162" s="1172"/>
      <c r="I162" s="179"/>
      <c r="J162" s="1190"/>
      <c r="K162" s="1183"/>
      <c r="L162" s="1250"/>
      <c r="M162" s="1250"/>
      <c r="N162" s="1250"/>
      <c r="O162" s="1250"/>
      <c r="P162" s="1250"/>
      <c r="Q162" s="1250"/>
      <c r="R162" s="1250"/>
      <c r="S162" s="1250"/>
      <c r="T162" s="1250"/>
    </row>
    <row r="163" spans="1:20">
      <c r="A163" s="200"/>
      <c r="B163" s="176"/>
      <c r="C163" s="176"/>
      <c r="D163" s="175"/>
      <c r="E163" s="195"/>
      <c r="F163" s="177"/>
      <c r="G163" s="1168"/>
      <c r="H163" s="1172"/>
      <c r="I163" s="179"/>
      <c r="J163" s="1190"/>
      <c r="K163" s="1183"/>
      <c r="L163" s="1250"/>
      <c r="M163" s="1250"/>
      <c r="N163" s="1250"/>
      <c r="O163" s="1250"/>
      <c r="P163" s="1250"/>
      <c r="Q163" s="1250"/>
      <c r="R163" s="1250"/>
      <c r="S163" s="1250"/>
      <c r="T163" s="1250"/>
    </row>
    <row r="164" spans="1:20">
      <c r="A164" s="180" t="s">
        <v>245</v>
      </c>
      <c r="B164" s="181" t="s">
        <v>246</v>
      </c>
      <c r="C164" s="181"/>
      <c r="D164" s="182"/>
      <c r="E164" s="183"/>
      <c r="F164" s="184"/>
      <c r="G164" s="1170"/>
      <c r="H164" s="1171">
        <f>SUM(G165:G169)</f>
        <v>364800</v>
      </c>
      <c r="I164" s="186">
        <f>H164/$H$226</f>
        <v>7.8283127410940068E-2</v>
      </c>
      <c r="J164" s="1189">
        <f>H164/$G$4</f>
        <v>4.9781659388646284</v>
      </c>
      <c r="K164" s="1181"/>
      <c r="L164" s="1247"/>
      <c r="M164" s="1247"/>
      <c r="N164" s="1247"/>
      <c r="O164" s="1247"/>
      <c r="P164" s="1247"/>
      <c r="Q164" s="1247"/>
      <c r="R164" s="1247"/>
      <c r="S164" s="1247"/>
      <c r="T164" s="1247"/>
    </row>
    <row r="165" spans="1:20">
      <c r="A165" s="200"/>
      <c r="B165" s="176" t="s">
        <v>335</v>
      </c>
      <c r="C165" s="176"/>
      <c r="D165" s="175" t="s">
        <v>319</v>
      </c>
      <c r="E165" s="176">
        <v>76000</v>
      </c>
      <c r="F165" s="177">
        <v>1.8</v>
      </c>
      <c r="G165" s="1168">
        <f>E165*F165</f>
        <v>136800</v>
      </c>
      <c r="H165" s="1172"/>
      <c r="I165" s="179"/>
      <c r="J165" s="1191"/>
      <c r="K165" s="1183"/>
      <c r="L165" s="1250"/>
      <c r="M165" s="1250"/>
      <c r="N165" s="1250"/>
      <c r="O165" s="1250"/>
      <c r="P165" s="1250"/>
      <c r="Q165" s="1250"/>
      <c r="R165" s="1250"/>
      <c r="S165" s="1250"/>
      <c r="T165" s="1250"/>
    </row>
    <row r="166" spans="1:20">
      <c r="A166" s="200"/>
      <c r="B166" s="176" t="s">
        <v>336</v>
      </c>
      <c r="C166" s="176"/>
      <c r="D166" s="175"/>
      <c r="E166" s="176">
        <v>76000</v>
      </c>
      <c r="F166" s="177">
        <v>1</v>
      </c>
      <c r="G166" s="1168">
        <f>E166*F166</f>
        <v>76000</v>
      </c>
      <c r="H166" s="1172"/>
      <c r="I166" s="179"/>
      <c r="J166" s="1191"/>
      <c r="K166" s="1183"/>
      <c r="L166" s="1250"/>
      <c r="M166" s="1250"/>
      <c r="N166" s="1250"/>
      <c r="O166" s="1250"/>
      <c r="P166" s="1250"/>
      <c r="Q166" s="1250"/>
      <c r="R166" s="1250"/>
      <c r="S166" s="1250"/>
      <c r="T166" s="1250"/>
    </row>
    <row r="167" spans="1:20">
      <c r="A167" s="200"/>
      <c r="B167" s="176" t="s">
        <v>337</v>
      </c>
      <c r="C167" s="176"/>
      <c r="D167" s="175"/>
      <c r="E167" s="176">
        <v>76000</v>
      </c>
      <c r="F167" s="177">
        <v>0.5</v>
      </c>
      <c r="G167" s="1168">
        <f>E167*F167</f>
        <v>38000</v>
      </c>
      <c r="H167" s="1172"/>
      <c r="I167" s="179"/>
      <c r="J167" s="1191"/>
      <c r="K167" s="1183"/>
      <c r="L167" s="1250"/>
      <c r="M167" s="1250"/>
      <c r="N167" s="1250"/>
      <c r="O167" s="1250"/>
      <c r="P167" s="1250"/>
      <c r="Q167" s="1250"/>
      <c r="R167" s="1250"/>
      <c r="S167" s="1250"/>
      <c r="T167" s="1250"/>
    </row>
    <row r="168" spans="1:20">
      <c r="A168" s="200"/>
      <c r="B168" s="176" t="s">
        <v>338</v>
      </c>
      <c r="C168" s="176"/>
      <c r="D168" s="175"/>
      <c r="E168" s="176">
        <v>76000</v>
      </c>
      <c r="F168" s="177">
        <v>1</v>
      </c>
      <c r="G168" s="1168">
        <f>E168*F168</f>
        <v>76000</v>
      </c>
      <c r="H168" s="1172"/>
      <c r="I168" s="179"/>
      <c r="J168" s="1191"/>
      <c r="K168" s="1183"/>
      <c r="L168" s="1250"/>
      <c r="M168" s="1250"/>
      <c r="N168" s="1250"/>
      <c r="O168" s="1250"/>
      <c r="P168" s="1250"/>
      <c r="Q168" s="1250"/>
      <c r="R168" s="1250"/>
      <c r="S168" s="1250"/>
      <c r="T168" s="1250"/>
    </row>
    <row r="169" spans="1:20">
      <c r="A169" s="206"/>
      <c r="B169" s="176" t="s">
        <v>251</v>
      </c>
      <c r="C169" s="176"/>
      <c r="D169" s="175"/>
      <c r="E169" s="176">
        <v>76000</v>
      </c>
      <c r="F169" s="177">
        <v>0.5</v>
      </c>
      <c r="G169" s="1168">
        <f>E169*F169</f>
        <v>38000</v>
      </c>
      <c r="H169" s="1172"/>
      <c r="I169" s="179"/>
      <c r="J169" s="1191"/>
      <c r="K169" s="1183"/>
      <c r="L169" s="199"/>
      <c r="M169" s="199"/>
      <c r="N169" s="199"/>
      <c r="O169" s="199"/>
      <c r="P169" s="199"/>
      <c r="Q169" s="199"/>
      <c r="R169" s="199"/>
      <c r="S169" s="199"/>
      <c r="T169" s="199"/>
    </row>
    <row r="170" spans="1:20">
      <c r="A170" s="180" t="s">
        <v>248</v>
      </c>
      <c r="B170" s="181" t="s">
        <v>249</v>
      </c>
      <c r="C170" s="181"/>
      <c r="D170" s="182"/>
      <c r="E170" s="183"/>
      <c r="F170" s="184"/>
      <c r="G170" s="1170"/>
      <c r="H170" s="1171">
        <f>SUM(G171:G174)</f>
        <v>50000</v>
      </c>
      <c r="I170" s="186">
        <f>H170/$H$226</f>
        <v>1.0729595313999462E-2</v>
      </c>
      <c r="J170" s="1189">
        <f>H170/$G$4</f>
        <v>0.68231441048034935</v>
      </c>
      <c r="K170" s="1181"/>
      <c r="L170" s="1247"/>
      <c r="M170" s="1247"/>
      <c r="N170" s="1247"/>
      <c r="O170" s="1247"/>
      <c r="P170" s="1247"/>
      <c r="Q170" s="1247"/>
      <c r="R170" s="1247"/>
      <c r="S170" s="1247"/>
      <c r="T170" s="1247"/>
    </row>
    <row r="171" spans="1:20">
      <c r="A171" s="200"/>
      <c r="B171" s="176" t="s">
        <v>250</v>
      </c>
      <c r="C171" s="176"/>
      <c r="D171" s="175"/>
      <c r="E171" s="176"/>
      <c r="F171" s="177"/>
      <c r="G171" s="1168">
        <v>50000</v>
      </c>
      <c r="H171" s="1172"/>
      <c r="I171" s="179"/>
      <c r="J171" s="1191"/>
      <c r="K171" s="1183"/>
      <c r="L171" s="1250">
        <v>-45000</v>
      </c>
      <c r="M171" s="1250"/>
      <c r="N171" s="1250"/>
      <c r="O171" s="1250"/>
      <c r="P171" s="1250"/>
      <c r="Q171" s="1250"/>
      <c r="R171" s="1250"/>
      <c r="S171" s="1250"/>
      <c r="T171" s="1250"/>
    </row>
    <row r="172" spans="1:20">
      <c r="A172" s="200"/>
      <c r="B172" s="176"/>
      <c r="C172" s="176"/>
      <c r="D172" s="175"/>
      <c r="E172" s="176"/>
      <c r="F172" s="177"/>
      <c r="G172" s="1168"/>
      <c r="H172" s="1172"/>
      <c r="I172" s="179"/>
      <c r="J172" s="1191"/>
      <c r="K172" s="1183"/>
      <c r="L172" s="1250"/>
      <c r="M172" s="1250"/>
      <c r="N172" s="1250"/>
      <c r="O172" s="1250"/>
      <c r="P172" s="1250"/>
      <c r="Q172" s="1250"/>
      <c r="R172" s="1250"/>
      <c r="S172" s="1250"/>
      <c r="T172" s="1250"/>
    </row>
    <row r="173" spans="1:20">
      <c r="A173" s="200"/>
      <c r="B173" s="176"/>
      <c r="C173" s="176"/>
      <c r="D173" s="175"/>
      <c r="E173" s="176"/>
      <c r="F173" s="177"/>
      <c r="G173" s="1168"/>
      <c r="H173" s="1172"/>
      <c r="I173" s="179"/>
      <c r="J173" s="1191"/>
      <c r="K173" s="1183"/>
      <c r="L173" s="1250"/>
      <c r="M173" s="1250"/>
      <c r="N173" s="1250"/>
      <c r="O173" s="1250"/>
      <c r="P173" s="1250"/>
      <c r="Q173" s="1250"/>
      <c r="R173" s="1250"/>
      <c r="S173" s="1250"/>
      <c r="T173" s="1250"/>
    </row>
    <row r="174" spans="1:20">
      <c r="A174" s="200"/>
      <c r="B174" s="176"/>
      <c r="C174" s="176"/>
      <c r="D174" s="175"/>
      <c r="E174" s="176"/>
      <c r="F174" s="177"/>
      <c r="G174" s="1168"/>
      <c r="H174" s="1172"/>
      <c r="I174" s="179"/>
      <c r="J174" s="1191"/>
      <c r="K174" s="1183"/>
      <c r="L174" s="1250"/>
      <c r="M174" s="1250"/>
      <c r="N174" s="1250"/>
      <c r="O174" s="1250"/>
      <c r="P174" s="1250"/>
      <c r="Q174" s="1250"/>
      <c r="R174" s="1250"/>
      <c r="S174" s="1250"/>
      <c r="T174" s="1250"/>
    </row>
    <row r="175" spans="1:20">
      <c r="A175" s="180"/>
      <c r="B175" s="181" t="s">
        <v>251</v>
      </c>
      <c r="C175" s="181"/>
      <c r="D175" s="182"/>
      <c r="E175" s="183"/>
      <c r="F175" s="184"/>
      <c r="G175" s="1170"/>
      <c r="H175" s="1171">
        <f>SUM(G176:G179)</f>
        <v>75305</v>
      </c>
      <c r="I175" s="186">
        <f>H175/$H$226</f>
        <v>1.6159843502414589E-2</v>
      </c>
      <c r="J175" s="1189">
        <f>H175/$G$4</f>
        <v>1.0276337336244541</v>
      </c>
      <c r="K175" s="1181"/>
      <c r="L175" s="1225"/>
      <c r="M175" s="1226"/>
      <c r="N175" s="1226"/>
      <c r="O175" s="1226"/>
      <c r="P175" s="1226"/>
      <c r="Q175" s="1226"/>
      <c r="R175" s="1226"/>
      <c r="S175" s="1226"/>
      <c r="T175" s="1227"/>
    </row>
    <row r="176" spans="1:20">
      <c r="A176" s="192"/>
      <c r="B176" s="176"/>
      <c r="C176" s="166"/>
      <c r="D176" s="175"/>
      <c r="E176" s="176"/>
      <c r="F176" s="193"/>
      <c r="G176" s="1168"/>
      <c r="H176" s="1172"/>
      <c r="I176" s="179"/>
      <c r="J176" s="1190"/>
      <c r="K176" s="1183"/>
      <c r="L176" s="1228"/>
      <c r="M176" s="1229"/>
      <c r="N176" s="1229"/>
      <c r="O176" s="1229"/>
      <c r="P176" s="1229"/>
      <c r="Q176" s="1229"/>
      <c r="R176" s="1229"/>
      <c r="S176" s="1229"/>
      <c r="T176" s="1230"/>
    </row>
    <row r="177" spans="1:20">
      <c r="A177" s="192"/>
      <c r="B177" s="176" t="s">
        <v>339</v>
      </c>
      <c r="C177" s="166"/>
      <c r="D177" s="175"/>
      <c r="E177" s="176"/>
      <c r="F177" s="193"/>
      <c r="G177" s="1168">
        <v>50305</v>
      </c>
      <c r="H177" s="1172"/>
      <c r="I177" s="179"/>
      <c r="J177" s="1190"/>
      <c r="K177" s="1183">
        <f>G177</f>
        <v>50305</v>
      </c>
      <c r="L177" s="1228"/>
      <c r="M177" s="1229"/>
      <c r="N177" s="1229"/>
      <c r="O177" s="1229"/>
      <c r="P177" s="1229"/>
      <c r="Q177" s="1229"/>
      <c r="R177" s="1229"/>
      <c r="S177" s="1229"/>
      <c r="T177" s="1230"/>
    </row>
    <row r="178" spans="1:20">
      <c r="A178" s="192"/>
      <c r="B178" s="176" t="s">
        <v>1017</v>
      </c>
      <c r="C178" s="166"/>
      <c r="D178" s="175"/>
      <c r="E178" s="176"/>
      <c r="F178" s="193"/>
      <c r="G178" s="1173">
        <v>25000</v>
      </c>
      <c r="H178" s="1172"/>
      <c r="I178" s="179"/>
      <c r="J178" s="1190"/>
      <c r="K178" s="496"/>
      <c r="L178" s="1228"/>
      <c r="M178" s="1229"/>
      <c r="N178" s="1229"/>
      <c r="O178" s="1229"/>
      <c r="P178" s="1229"/>
      <c r="Q178" s="1229"/>
      <c r="R178" s="1229"/>
      <c r="S178" s="1229"/>
      <c r="T178" s="1230"/>
    </row>
    <row r="179" spans="1:20">
      <c r="A179" s="194"/>
      <c r="B179" s="176"/>
      <c r="C179" s="176"/>
      <c r="D179" s="175"/>
      <c r="E179" s="195"/>
      <c r="F179" s="161"/>
      <c r="G179" s="1168"/>
      <c r="H179" s="1172"/>
      <c r="I179" s="179"/>
      <c r="J179" s="1190"/>
      <c r="K179" s="1183"/>
      <c r="L179" s="1250"/>
      <c r="M179" s="1250"/>
      <c r="N179" s="1250"/>
      <c r="O179" s="1250"/>
      <c r="P179" s="1250"/>
      <c r="Q179" s="1250"/>
      <c r="R179" s="1250"/>
      <c r="S179" s="1250"/>
      <c r="T179" s="1250"/>
    </row>
    <row r="180" spans="1:20">
      <c r="A180" s="1160" t="s">
        <v>252</v>
      </c>
      <c r="B180" s="1161"/>
      <c r="C180" s="1161"/>
      <c r="D180" s="1161"/>
      <c r="E180" s="1161"/>
      <c r="F180" s="1161"/>
      <c r="G180" s="1175"/>
      <c r="H180" s="1176">
        <f>SUM(H9:H179)</f>
        <v>4078708</v>
      </c>
      <c r="I180" s="208">
        <f>H180/$H$226</f>
        <v>0.87525772487944231</v>
      </c>
      <c r="J180" s="1192">
        <f>H226/$G$4</f>
        <v>63.591812227074236</v>
      </c>
      <c r="K180" s="1185">
        <f>SUM(K9:K178)</f>
        <v>1933252</v>
      </c>
      <c r="L180" s="209">
        <f>K180/H180</f>
        <v>0.4739863701936986</v>
      </c>
      <c r="M180" s="209"/>
      <c r="N180" s="209"/>
      <c r="O180" s="209"/>
      <c r="P180" s="209"/>
      <c r="Q180" s="209"/>
      <c r="R180" s="209"/>
      <c r="S180" s="209"/>
      <c r="T180" s="210"/>
    </row>
    <row r="181" spans="1:20">
      <c r="A181" s="192"/>
      <c r="B181" s="176"/>
      <c r="C181" s="176"/>
      <c r="D181" s="175"/>
      <c r="E181" s="176"/>
      <c r="F181" s="177"/>
      <c r="G181" s="1168"/>
      <c r="H181" s="1172"/>
      <c r="I181" s="179"/>
      <c r="J181" s="1190"/>
      <c r="K181" s="1183"/>
      <c r="L181" s="1228"/>
      <c r="M181" s="1229"/>
      <c r="N181" s="1229"/>
      <c r="O181" s="1229"/>
      <c r="P181" s="1229"/>
      <c r="Q181" s="1229"/>
      <c r="R181" s="1229"/>
      <c r="S181" s="1229"/>
      <c r="T181" s="1230"/>
    </row>
    <row r="182" spans="1:20">
      <c r="A182" s="180"/>
      <c r="B182" s="181" t="s">
        <v>253</v>
      </c>
      <c r="C182" s="181"/>
      <c r="D182" s="182"/>
      <c r="E182" s="183"/>
      <c r="F182" s="184"/>
      <c r="G182" s="1170"/>
      <c r="H182" s="1171">
        <f>SUM(G183:G205)</f>
        <v>97000</v>
      </c>
      <c r="I182" s="186">
        <f>H182/$H$226</f>
        <v>2.0815414909158954E-2</v>
      </c>
      <c r="J182" s="1189">
        <f>H182/$G$4</f>
        <v>1.3236899563318778</v>
      </c>
      <c r="K182" s="1181"/>
      <c r="L182" s="1247"/>
      <c r="M182" s="1247"/>
      <c r="N182" s="1247"/>
      <c r="O182" s="1247"/>
      <c r="P182" s="1247"/>
      <c r="Q182" s="1247"/>
      <c r="R182" s="1247"/>
      <c r="S182" s="1247"/>
      <c r="T182" s="1247"/>
    </row>
    <row r="183" spans="1:20">
      <c r="A183" s="192"/>
      <c r="B183" s="176"/>
      <c r="C183" s="176"/>
      <c r="D183" s="211"/>
      <c r="E183" s="212"/>
      <c r="F183" s="213"/>
      <c r="G183" s="1168"/>
      <c r="H183" s="1172"/>
      <c r="I183" s="179"/>
      <c r="J183" s="1190"/>
      <c r="K183" s="1183"/>
      <c r="L183" s="1228"/>
      <c r="M183" s="1229"/>
      <c r="N183" s="1229"/>
      <c r="O183" s="1229"/>
      <c r="P183" s="1229"/>
      <c r="Q183" s="1229"/>
      <c r="R183" s="1229"/>
      <c r="S183" s="1229"/>
      <c r="T183" s="1230"/>
    </row>
    <row r="184" spans="1:20">
      <c r="A184" s="192"/>
      <c r="B184" s="176" t="s">
        <v>254</v>
      </c>
      <c r="C184" s="176"/>
      <c r="D184" s="211" t="s">
        <v>255</v>
      </c>
      <c r="E184" s="176"/>
      <c r="F184" s="213"/>
      <c r="G184" s="1168">
        <v>1500</v>
      </c>
      <c r="H184" s="1172"/>
      <c r="I184" s="179"/>
      <c r="J184" s="1190"/>
      <c r="K184" s="1183"/>
      <c r="L184" s="1228"/>
      <c r="M184" s="1229"/>
      <c r="N184" s="1229"/>
      <c r="O184" s="1229"/>
      <c r="P184" s="1229"/>
      <c r="Q184" s="1229"/>
      <c r="R184" s="1229"/>
      <c r="S184" s="1229"/>
      <c r="T184" s="1230"/>
    </row>
    <row r="185" spans="1:20">
      <c r="A185" s="192"/>
      <c r="B185" s="176" t="s">
        <v>256</v>
      </c>
      <c r="C185" s="176"/>
      <c r="D185" s="211" t="s">
        <v>255</v>
      </c>
      <c r="E185" s="176"/>
      <c r="F185" s="213"/>
      <c r="G185" s="1168">
        <v>1500</v>
      </c>
      <c r="H185" s="1172"/>
      <c r="I185" s="179"/>
      <c r="J185" s="1190"/>
      <c r="K185" s="1183"/>
      <c r="L185" s="1228"/>
      <c r="M185" s="1229"/>
      <c r="N185" s="1229"/>
      <c r="O185" s="1229"/>
      <c r="P185" s="1229"/>
      <c r="Q185" s="1229"/>
      <c r="R185" s="1229"/>
      <c r="S185" s="1229"/>
      <c r="T185" s="1230"/>
    </row>
    <row r="186" spans="1:20">
      <c r="A186" s="192"/>
      <c r="B186" s="176" t="s">
        <v>257</v>
      </c>
      <c r="C186" s="176"/>
      <c r="D186" s="211" t="s">
        <v>258</v>
      </c>
      <c r="E186" s="176">
        <v>0</v>
      </c>
      <c r="F186" s="213">
        <v>150</v>
      </c>
      <c r="G186" s="1168">
        <f>E186*F186</f>
        <v>0</v>
      </c>
      <c r="H186" s="1172"/>
      <c r="I186" s="179"/>
      <c r="J186" s="1190"/>
      <c r="K186" s="1183"/>
      <c r="L186" s="1228"/>
      <c r="M186" s="1229"/>
      <c r="N186" s="1229"/>
      <c r="O186" s="1229"/>
      <c r="P186" s="1229"/>
      <c r="Q186" s="1229"/>
      <c r="R186" s="1229"/>
      <c r="S186" s="1229"/>
      <c r="T186" s="1230"/>
    </row>
    <row r="187" spans="1:20">
      <c r="A187" s="192"/>
      <c r="B187" s="176" t="s">
        <v>259</v>
      </c>
      <c r="C187" s="176"/>
      <c r="D187" s="211" t="s">
        <v>260</v>
      </c>
      <c r="E187" s="176">
        <v>9</v>
      </c>
      <c r="F187" s="213">
        <v>140</v>
      </c>
      <c r="G187" s="1168">
        <f>E187*F187</f>
        <v>1260</v>
      </c>
      <c r="H187" s="1172"/>
      <c r="I187" s="179"/>
      <c r="J187" s="1190"/>
      <c r="K187" s="1183"/>
      <c r="L187" s="1228"/>
      <c r="M187" s="1229"/>
      <c r="N187" s="1229"/>
      <c r="O187" s="1229"/>
      <c r="P187" s="1229"/>
      <c r="Q187" s="1229"/>
      <c r="R187" s="1229"/>
      <c r="S187" s="1229"/>
      <c r="T187" s="1230"/>
    </row>
    <row r="188" spans="1:20">
      <c r="A188" s="192"/>
      <c r="B188" s="176" t="s">
        <v>262</v>
      </c>
      <c r="C188" s="176"/>
      <c r="D188" s="211" t="s">
        <v>255</v>
      </c>
      <c r="E188" s="176"/>
      <c r="F188" s="213"/>
      <c r="G188" s="1168"/>
      <c r="H188" s="1172"/>
      <c r="I188" s="179"/>
      <c r="J188" s="1190"/>
      <c r="K188" s="1183"/>
      <c r="L188" s="1228"/>
      <c r="M188" s="1229"/>
      <c r="N188" s="1229"/>
      <c r="O188" s="1229"/>
      <c r="P188" s="1229"/>
      <c r="Q188" s="1229"/>
      <c r="R188" s="1229"/>
      <c r="S188" s="1229"/>
      <c r="T188" s="1230"/>
    </row>
    <row r="189" spans="1:20">
      <c r="A189" s="192"/>
      <c r="B189" s="176" t="s">
        <v>263</v>
      </c>
      <c r="C189" s="176"/>
      <c r="D189" s="211" t="s">
        <v>255</v>
      </c>
      <c r="E189" s="176"/>
      <c r="F189" s="213"/>
      <c r="G189" s="1168">
        <v>10000</v>
      </c>
      <c r="H189" s="1172"/>
      <c r="I189" s="179"/>
      <c r="J189" s="1190"/>
      <c r="K189" s="1183"/>
      <c r="L189" s="1228" t="s">
        <v>264</v>
      </c>
      <c r="M189" s="1229"/>
      <c r="N189" s="1229"/>
      <c r="O189" s="1229"/>
      <c r="P189" s="1229"/>
      <c r="Q189" s="1229"/>
      <c r="R189" s="1229"/>
      <c r="S189" s="1229"/>
      <c r="T189" s="1230"/>
    </row>
    <row r="190" spans="1:20">
      <c r="A190" s="192"/>
      <c r="B190" s="176" t="s">
        <v>265</v>
      </c>
      <c r="C190" s="176"/>
      <c r="D190" s="211" t="s">
        <v>266</v>
      </c>
      <c r="E190" s="176">
        <v>400</v>
      </c>
      <c r="F190" s="213">
        <v>55</v>
      </c>
      <c r="G190" s="1168">
        <f>E190*F190</f>
        <v>22000</v>
      </c>
      <c r="H190" s="1172"/>
      <c r="I190" s="179"/>
      <c r="J190" s="1190"/>
      <c r="K190" s="1183"/>
      <c r="L190" s="1228"/>
      <c r="M190" s="1229"/>
      <c r="N190" s="1229"/>
      <c r="O190" s="1229"/>
      <c r="P190" s="1229"/>
      <c r="Q190" s="1229"/>
      <c r="R190" s="1229"/>
      <c r="S190" s="1229"/>
      <c r="T190" s="1230"/>
    </row>
    <row r="191" spans="1:20">
      <c r="A191" s="192"/>
      <c r="B191" s="176" t="s">
        <v>267</v>
      </c>
      <c r="C191" s="176"/>
      <c r="D191" s="211" t="s">
        <v>255</v>
      </c>
      <c r="E191" s="176"/>
      <c r="F191" s="213"/>
      <c r="G191" s="1168">
        <v>15000</v>
      </c>
      <c r="H191" s="1172"/>
      <c r="I191" s="179"/>
      <c r="J191" s="1190"/>
      <c r="K191" s="1183"/>
      <c r="L191" s="1228"/>
      <c r="M191" s="1229"/>
      <c r="N191" s="1229"/>
      <c r="O191" s="1229"/>
      <c r="P191" s="1229"/>
      <c r="Q191" s="1229"/>
      <c r="R191" s="1229"/>
      <c r="S191" s="1229"/>
      <c r="T191" s="1230"/>
    </row>
    <row r="192" spans="1:20">
      <c r="A192" s="192"/>
      <c r="B192" s="176" t="s">
        <v>268</v>
      </c>
      <c r="C192" s="176"/>
      <c r="D192" s="211" t="s">
        <v>258</v>
      </c>
      <c r="E192" s="176">
        <v>3</v>
      </c>
      <c r="F192" s="213">
        <v>1200</v>
      </c>
      <c r="G192" s="1168">
        <f>F192*E192</f>
        <v>3600</v>
      </c>
      <c r="H192" s="1172"/>
      <c r="I192" s="179"/>
      <c r="J192" s="1190"/>
      <c r="K192" s="1183"/>
      <c r="L192" s="1228"/>
      <c r="M192" s="1229"/>
      <c r="N192" s="1229"/>
      <c r="O192" s="1229"/>
      <c r="P192" s="1229"/>
      <c r="Q192" s="1229"/>
      <c r="R192" s="1229"/>
      <c r="S192" s="1229"/>
      <c r="T192" s="1230"/>
    </row>
    <row r="193" spans="1:20">
      <c r="A193" s="192"/>
      <c r="B193" s="176" t="s">
        <v>269</v>
      </c>
      <c r="C193" s="176"/>
      <c r="D193" s="211" t="s">
        <v>258</v>
      </c>
      <c r="E193" s="176"/>
      <c r="F193" s="213">
        <v>600</v>
      </c>
      <c r="G193" s="1168">
        <f>E193*F193</f>
        <v>0</v>
      </c>
      <c r="H193" s="1172"/>
      <c r="I193" s="179"/>
      <c r="J193" s="1190"/>
      <c r="K193" s="1183"/>
      <c r="L193" s="1228"/>
      <c r="M193" s="1229"/>
      <c r="N193" s="1229"/>
      <c r="O193" s="1229"/>
      <c r="P193" s="1229"/>
      <c r="Q193" s="1229"/>
      <c r="R193" s="1229"/>
      <c r="S193" s="1229"/>
      <c r="T193" s="1230"/>
    </row>
    <row r="194" spans="1:20">
      <c r="A194" s="192"/>
      <c r="B194" s="176" t="s">
        <v>270</v>
      </c>
      <c r="C194" s="176"/>
      <c r="D194" s="211" t="s">
        <v>255</v>
      </c>
      <c r="E194" s="176"/>
      <c r="F194" s="213"/>
      <c r="G194" s="1168">
        <v>750</v>
      </c>
      <c r="H194" s="1172"/>
      <c r="I194" s="179"/>
      <c r="J194" s="1190"/>
      <c r="K194" s="1183"/>
      <c r="L194" s="1228" t="s">
        <v>340</v>
      </c>
      <c r="M194" s="1229"/>
      <c r="N194" s="1229"/>
      <c r="O194" s="1229"/>
      <c r="P194" s="1229"/>
      <c r="Q194" s="1229"/>
      <c r="R194" s="1229"/>
      <c r="S194" s="1229"/>
      <c r="T194" s="1230"/>
    </row>
    <row r="195" spans="1:20">
      <c r="A195" s="192"/>
      <c r="B195" s="176" t="s">
        <v>271</v>
      </c>
      <c r="C195" s="176"/>
      <c r="D195" s="211" t="s">
        <v>255</v>
      </c>
      <c r="E195" s="176"/>
      <c r="F195" s="213"/>
      <c r="G195" s="1168"/>
      <c r="H195" s="1172"/>
      <c r="I195" s="179"/>
      <c r="J195" s="1190"/>
      <c r="K195" s="1183"/>
      <c r="L195" s="1228"/>
      <c r="M195" s="1229"/>
      <c r="N195" s="1229"/>
      <c r="O195" s="1229"/>
      <c r="P195" s="1229"/>
      <c r="Q195" s="1229"/>
      <c r="R195" s="1229"/>
      <c r="S195" s="1229"/>
      <c r="T195" s="1230"/>
    </row>
    <row r="196" spans="1:20">
      <c r="A196" s="192"/>
      <c r="B196" s="176" t="s">
        <v>272</v>
      </c>
      <c r="C196" s="176"/>
      <c r="D196" s="211" t="s">
        <v>255</v>
      </c>
      <c r="E196" s="176"/>
      <c r="F196" s="213"/>
      <c r="G196" s="1168"/>
      <c r="H196" s="1172"/>
      <c r="I196" s="179"/>
      <c r="J196" s="1190"/>
      <c r="K196" s="1183"/>
      <c r="L196" s="1228" t="s">
        <v>273</v>
      </c>
      <c r="M196" s="1229"/>
      <c r="N196" s="1229"/>
      <c r="O196" s="1229"/>
      <c r="P196" s="1229"/>
      <c r="Q196" s="1229"/>
      <c r="R196" s="1229"/>
      <c r="S196" s="1229"/>
      <c r="T196" s="1230"/>
    </row>
    <row r="197" spans="1:20">
      <c r="A197" s="192"/>
      <c r="B197" s="176" t="s">
        <v>274</v>
      </c>
      <c r="C197" s="176"/>
      <c r="D197" s="211"/>
      <c r="E197" s="176"/>
      <c r="F197" s="213"/>
      <c r="G197" s="1168"/>
      <c r="H197" s="1172"/>
      <c r="I197" s="179"/>
      <c r="J197" s="1190"/>
      <c r="K197" s="1183"/>
      <c r="L197" s="1228"/>
      <c r="M197" s="1229"/>
      <c r="N197" s="1229"/>
      <c r="O197" s="1229"/>
      <c r="P197" s="1229"/>
      <c r="Q197" s="1229"/>
      <c r="R197" s="1229"/>
      <c r="S197" s="1229"/>
      <c r="T197" s="1230"/>
    </row>
    <row r="198" spans="1:20">
      <c r="A198" s="192"/>
      <c r="B198" s="176" t="s">
        <v>275</v>
      </c>
      <c r="C198" s="176"/>
      <c r="D198" s="211" t="s">
        <v>276</v>
      </c>
      <c r="E198" s="176">
        <v>5</v>
      </c>
      <c r="F198" s="213">
        <v>850</v>
      </c>
      <c r="G198" s="1168">
        <f>F198*E198</f>
        <v>4250</v>
      </c>
      <c r="H198" s="1172"/>
      <c r="I198" s="179"/>
      <c r="J198" s="1190"/>
      <c r="K198" s="1183"/>
      <c r="L198" s="1228" t="s">
        <v>341</v>
      </c>
      <c r="M198" s="1229"/>
      <c r="N198" s="1229"/>
      <c r="O198" s="1229"/>
      <c r="P198" s="1229"/>
      <c r="Q198" s="1229"/>
      <c r="R198" s="1229"/>
      <c r="S198" s="1229"/>
      <c r="T198" s="1230"/>
    </row>
    <row r="199" spans="1:20">
      <c r="A199" s="192"/>
      <c r="B199" s="176" t="s">
        <v>277</v>
      </c>
      <c r="C199" s="176"/>
      <c r="D199" s="211" t="s">
        <v>255</v>
      </c>
      <c r="E199" s="176"/>
      <c r="F199" s="214">
        <v>400</v>
      </c>
      <c r="G199" s="1168">
        <f>F199*E199</f>
        <v>0</v>
      </c>
      <c r="H199" s="1172"/>
      <c r="I199" s="179"/>
      <c r="J199" s="1190"/>
      <c r="K199" s="1183"/>
      <c r="L199" s="1228"/>
      <c r="M199" s="1229"/>
      <c r="N199" s="1229"/>
      <c r="O199" s="1229"/>
      <c r="P199" s="1229"/>
      <c r="Q199" s="1229"/>
      <c r="R199" s="1229"/>
      <c r="S199" s="1229"/>
      <c r="T199" s="1230"/>
    </row>
    <row r="200" spans="1:20">
      <c r="A200" s="192"/>
      <c r="B200" s="176" t="s">
        <v>278</v>
      </c>
      <c r="C200" s="176"/>
      <c r="D200" s="211"/>
      <c r="E200" s="176"/>
      <c r="F200" s="214"/>
      <c r="G200" s="1168"/>
      <c r="H200" s="1172"/>
      <c r="I200" s="179"/>
      <c r="J200" s="1190"/>
      <c r="K200" s="1183"/>
      <c r="L200" s="1228"/>
      <c r="M200" s="1229"/>
      <c r="N200" s="1229"/>
      <c r="O200" s="1229"/>
      <c r="P200" s="1229"/>
      <c r="Q200" s="1229"/>
      <c r="R200" s="1229"/>
      <c r="S200" s="1229"/>
      <c r="T200" s="1230"/>
    </row>
    <row r="201" spans="1:20">
      <c r="A201" s="192"/>
      <c r="B201" s="176" t="s">
        <v>279</v>
      </c>
      <c r="C201" s="176"/>
      <c r="D201" s="211"/>
      <c r="E201" s="176"/>
      <c r="F201" s="214"/>
      <c r="G201" s="1168"/>
      <c r="H201" s="1172"/>
      <c r="I201" s="179"/>
      <c r="J201" s="1190"/>
      <c r="K201" s="1183"/>
      <c r="L201" s="1228"/>
      <c r="M201" s="1229"/>
      <c r="N201" s="1229"/>
      <c r="O201" s="1229"/>
      <c r="P201" s="1229"/>
      <c r="Q201" s="1229"/>
      <c r="R201" s="1229"/>
      <c r="S201" s="1229"/>
      <c r="T201" s="1230"/>
    </row>
    <row r="202" spans="1:20">
      <c r="A202" s="192"/>
      <c r="B202" s="176" t="s">
        <v>280</v>
      </c>
      <c r="C202" s="176"/>
      <c r="D202" s="211"/>
      <c r="E202" s="176"/>
      <c r="F202" s="214"/>
      <c r="G202" s="1168"/>
      <c r="H202" s="1172"/>
      <c r="I202" s="179"/>
      <c r="J202" s="1190"/>
      <c r="K202" s="1183"/>
      <c r="L202" s="1228"/>
      <c r="M202" s="1229"/>
      <c r="N202" s="1229"/>
      <c r="O202" s="1229"/>
      <c r="P202" s="1229"/>
      <c r="Q202" s="1229"/>
      <c r="R202" s="1229"/>
      <c r="S202" s="1229"/>
      <c r="T202" s="1230"/>
    </row>
    <row r="203" spans="1:20">
      <c r="A203" s="192"/>
      <c r="B203" s="176" t="s">
        <v>281</v>
      </c>
      <c r="C203" s="176"/>
      <c r="D203" s="211"/>
      <c r="E203" s="176"/>
      <c r="F203" s="214"/>
      <c r="G203" s="1168"/>
      <c r="H203" s="1172"/>
      <c r="I203" s="179"/>
      <c r="J203" s="1190"/>
      <c r="K203" s="1183"/>
      <c r="L203" s="1228"/>
      <c r="M203" s="1229"/>
      <c r="N203" s="1229"/>
      <c r="O203" s="1229"/>
      <c r="P203" s="1229"/>
      <c r="Q203" s="1229"/>
      <c r="R203" s="1229"/>
      <c r="S203" s="1229"/>
      <c r="T203" s="1230"/>
    </row>
    <row r="204" spans="1:20">
      <c r="A204" s="203"/>
      <c r="B204" s="176" t="s">
        <v>282</v>
      </c>
      <c r="C204" s="176"/>
      <c r="D204" s="211"/>
      <c r="E204" s="176"/>
      <c r="F204" s="177"/>
      <c r="G204" s="1168">
        <v>37140</v>
      </c>
      <c r="H204" s="1172"/>
      <c r="I204" s="179"/>
      <c r="J204" s="1190"/>
      <c r="K204" s="1183"/>
      <c r="L204" s="1250"/>
      <c r="M204" s="1250"/>
      <c r="N204" s="1250"/>
      <c r="O204" s="1250"/>
      <c r="P204" s="1250"/>
      <c r="Q204" s="1250"/>
      <c r="R204" s="1250"/>
      <c r="S204" s="1250"/>
      <c r="T204" s="1250"/>
    </row>
    <row r="205" spans="1:20">
      <c r="A205" s="192"/>
      <c r="B205" s="176"/>
      <c r="C205" s="176"/>
      <c r="D205" s="211"/>
      <c r="E205" s="176"/>
      <c r="F205" s="214"/>
      <c r="G205" s="1168"/>
      <c r="H205" s="1172"/>
      <c r="I205" s="179"/>
      <c r="J205" s="1190"/>
      <c r="K205" s="1183"/>
      <c r="L205" s="1228"/>
      <c r="M205" s="1229"/>
      <c r="N205" s="1229"/>
      <c r="O205" s="1229"/>
      <c r="P205" s="1229"/>
      <c r="Q205" s="1229"/>
      <c r="R205" s="1229"/>
      <c r="S205" s="1229"/>
      <c r="T205" s="1230"/>
    </row>
    <row r="206" spans="1:20">
      <c r="A206" s="180"/>
      <c r="B206" s="181" t="s">
        <v>283</v>
      </c>
      <c r="C206" s="181"/>
      <c r="D206" s="182"/>
      <c r="E206" s="182"/>
      <c r="F206" s="182"/>
      <c r="G206" s="1177"/>
      <c r="H206" s="1171">
        <f>SUM(G207:G225)</f>
        <v>484300</v>
      </c>
      <c r="I206" s="186">
        <f>H206/$H$226</f>
        <v>0.10392686021139878</v>
      </c>
      <c r="J206" s="1189">
        <f>H206/$G$4</f>
        <v>6.6088973799126638</v>
      </c>
      <c r="K206" s="1186"/>
      <c r="L206" s="1247"/>
      <c r="M206" s="1247"/>
      <c r="N206" s="1247"/>
      <c r="O206" s="1247"/>
      <c r="P206" s="1247"/>
      <c r="Q206" s="1247"/>
      <c r="R206" s="1247"/>
      <c r="S206" s="1247"/>
      <c r="T206" s="1247"/>
    </row>
    <row r="207" spans="1:20">
      <c r="A207" s="203"/>
      <c r="B207" s="176" t="s">
        <v>284</v>
      </c>
      <c r="C207" s="176"/>
      <c r="D207" s="211" t="s">
        <v>255</v>
      </c>
      <c r="E207" s="176"/>
      <c r="F207" s="177"/>
      <c r="G207" s="1168">
        <v>20000</v>
      </c>
      <c r="H207" s="1172"/>
      <c r="I207" s="179"/>
      <c r="J207" s="1190"/>
      <c r="K207" s="1183"/>
      <c r="L207" s="1250"/>
      <c r="M207" s="1250"/>
      <c r="N207" s="1250"/>
      <c r="O207" s="1250"/>
      <c r="P207" s="1250"/>
      <c r="Q207" s="1250"/>
      <c r="R207" s="1250"/>
      <c r="S207" s="1250"/>
      <c r="T207" s="1250"/>
    </row>
    <row r="208" spans="1:20">
      <c r="A208" s="203"/>
      <c r="B208" s="176" t="s">
        <v>285</v>
      </c>
      <c r="C208" s="176"/>
      <c r="D208" s="211" t="s">
        <v>255</v>
      </c>
      <c r="E208" s="176"/>
      <c r="F208" s="177"/>
      <c r="G208" s="1168"/>
      <c r="H208" s="1172"/>
      <c r="I208" s="179"/>
      <c r="J208" s="1190"/>
      <c r="K208" s="1183"/>
      <c r="L208" s="1250"/>
      <c r="M208" s="1250"/>
      <c r="N208" s="1250"/>
      <c r="O208" s="1250"/>
      <c r="P208" s="1250"/>
      <c r="Q208" s="1250"/>
      <c r="R208" s="1250"/>
      <c r="S208" s="1250"/>
      <c r="T208" s="1250"/>
    </row>
    <row r="209" spans="1:20">
      <c r="A209" s="203"/>
      <c r="B209" s="176" t="s">
        <v>286</v>
      </c>
      <c r="C209" s="176"/>
      <c r="D209" s="211" t="s">
        <v>255</v>
      </c>
      <c r="E209" s="176"/>
      <c r="F209" s="177"/>
      <c r="G209" s="1168">
        <v>250000</v>
      </c>
      <c r="H209" s="1172"/>
      <c r="I209" s="179"/>
      <c r="J209" s="1190"/>
      <c r="K209" s="1183">
        <f>G209</f>
        <v>250000</v>
      </c>
      <c r="L209" s="1250"/>
      <c r="M209" s="1250"/>
      <c r="N209" s="1250"/>
      <c r="O209" s="1250"/>
      <c r="P209" s="1250"/>
      <c r="Q209" s="1250"/>
      <c r="R209" s="1250"/>
      <c r="S209" s="1250"/>
      <c r="T209" s="1250"/>
    </row>
    <row r="210" spans="1:20">
      <c r="A210" s="203"/>
      <c r="B210" s="176" t="s">
        <v>287</v>
      </c>
      <c r="C210" s="176"/>
      <c r="D210" s="211" t="s">
        <v>255</v>
      </c>
      <c r="E210" s="176"/>
      <c r="F210" s="177"/>
      <c r="G210" s="1168"/>
      <c r="H210" s="1172"/>
      <c r="I210" s="179"/>
      <c r="J210" s="1190"/>
      <c r="K210" s="1183"/>
      <c r="L210" s="1250"/>
      <c r="M210" s="1250"/>
      <c r="N210" s="1250"/>
      <c r="O210" s="1250"/>
      <c r="P210" s="1250"/>
      <c r="Q210" s="1250"/>
      <c r="R210" s="1250"/>
      <c r="S210" s="1250"/>
      <c r="T210" s="1250"/>
    </row>
    <row r="211" spans="1:20">
      <c r="A211" s="203"/>
      <c r="B211" s="176" t="s">
        <v>288</v>
      </c>
      <c r="C211" s="176"/>
      <c r="D211" s="211" t="s">
        <v>255</v>
      </c>
      <c r="E211" s="176"/>
      <c r="F211" s="177"/>
      <c r="G211" s="1168"/>
      <c r="H211" s="1172"/>
      <c r="I211" s="179"/>
      <c r="J211" s="1190"/>
      <c r="K211" s="1183"/>
      <c r="L211" s="1250"/>
      <c r="M211" s="1250"/>
      <c r="N211" s="1250"/>
      <c r="O211" s="1250"/>
      <c r="P211" s="1250"/>
      <c r="Q211" s="1250"/>
      <c r="R211" s="1250"/>
      <c r="S211" s="1250"/>
      <c r="T211" s="1250"/>
    </row>
    <row r="212" spans="1:20">
      <c r="A212" s="203"/>
      <c r="B212" s="176" t="s">
        <v>289</v>
      </c>
      <c r="C212" s="176"/>
      <c r="D212" s="211" t="s">
        <v>255</v>
      </c>
      <c r="E212" s="176"/>
      <c r="F212" s="177"/>
      <c r="G212" s="1168"/>
      <c r="H212" s="1172"/>
      <c r="I212" s="179"/>
      <c r="J212" s="1190"/>
      <c r="K212" s="1183"/>
      <c r="L212" s="1250"/>
      <c r="M212" s="1250"/>
      <c r="N212" s="1250"/>
      <c r="O212" s="1250"/>
      <c r="P212" s="1250"/>
      <c r="Q212" s="1250"/>
      <c r="R212" s="1250"/>
      <c r="S212" s="1250"/>
      <c r="T212" s="1250"/>
    </row>
    <row r="213" spans="1:20">
      <c r="A213" s="203"/>
      <c r="B213" s="176" t="s">
        <v>290</v>
      </c>
      <c r="C213" s="176"/>
      <c r="D213" s="211" t="s">
        <v>291</v>
      </c>
      <c r="E213" s="176"/>
      <c r="F213" s="177"/>
      <c r="G213" s="1168">
        <f t="shared" ref="G213:G222" si="0">E213*F213</f>
        <v>0</v>
      </c>
      <c r="H213" s="1172"/>
      <c r="I213" s="179"/>
      <c r="J213" s="1190"/>
      <c r="K213" s="1183"/>
      <c r="L213" s="1250" t="s">
        <v>292</v>
      </c>
      <c r="M213" s="1250"/>
      <c r="N213" s="1250"/>
      <c r="O213" s="1250"/>
      <c r="P213" s="1250"/>
      <c r="Q213" s="1250"/>
      <c r="R213" s="1250"/>
      <c r="S213" s="1250"/>
      <c r="T213" s="1250"/>
    </row>
    <row r="214" spans="1:20">
      <c r="A214" s="203"/>
      <c r="B214" s="176" t="s">
        <v>293</v>
      </c>
      <c r="C214" s="176"/>
      <c r="D214" s="211" t="s">
        <v>291</v>
      </c>
      <c r="E214" s="176"/>
      <c r="F214" s="177"/>
      <c r="G214" s="1168">
        <f t="shared" si="0"/>
        <v>0</v>
      </c>
      <c r="H214" s="1172"/>
      <c r="I214" s="179"/>
      <c r="J214" s="1190"/>
      <c r="K214" s="1183"/>
      <c r="L214" s="1250" t="s">
        <v>292</v>
      </c>
      <c r="M214" s="1250"/>
      <c r="N214" s="1250"/>
      <c r="O214" s="1250"/>
      <c r="P214" s="1250"/>
      <c r="Q214" s="1250"/>
      <c r="R214" s="1250"/>
      <c r="S214" s="1250"/>
      <c r="T214" s="1250"/>
    </row>
    <row r="215" spans="1:20">
      <c r="A215" s="203"/>
      <c r="B215" s="176" t="s">
        <v>294</v>
      </c>
      <c r="C215" s="176"/>
      <c r="D215" s="211" t="s">
        <v>291</v>
      </c>
      <c r="E215" s="176"/>
      <c r="F215" s="177"/>
      <c r="G215" s="1168">
        <f t="shared" si="0"/>
        <v>0</v>
      </c>
      <c r="H215" s="1172"/>
      <c r="I215" s="179"/>
      <c r="J215" s="1190"/>
      <c r="K215" s="1183"/>
      <c r="L215" s="1250" t="s">
        <v>292</v>
      </c>
      <c r="M215" s="1250"/>
      <c r="N215" s="1250"/>
      <c r="O215" s="1250"/>
      <c r="P215" s="1250"/>
      <c r="Q215" s="1250"/>
      <c r="R215" s="1250"/>
      <c r="S215" s="1250"/>
      <c r="T215" s="1250"/>
    </row>
    <row r="216" spans="1:20">
      <c r="A216" s="203"/>
      <c r="B216" s="176" t="s">
        <v>295</v>
      </c>
      <c r="C216" s="176"/>
      <c r="D216" s="211" t="s">
        <v>291</v>
      </c>
      <c r="E216" s="176"/>
      <c r="F216" s="177"/>
      <c r="G216" s="1168">
        <v>114300</v>
      </c>
      <c r="H216" s="1172"/>
      <c r="I216" s="179"/>
      <c r="J216" s="1190"/>
      <c r="K216" s="1183">
        <f>G216</f>
        <v>114300</v>
      </c>
      <c r="L216" s="1250"/>
      <c r="M216" s="1250"/>
      <c r="N216" s="1250"/>
      <c r="O216" s="1250"/>
      <c r="P216" s="1250"/>
      <c r="Q216" s="1250"/>
      <c r="R216" s="1250"/>
      <c r="S216" s="1250"/>
      <c r="T216" s="1250"/>
    </row>
    <row r="217" spans="1:20">
      <c r="A217" s="203"/>
      <c r="B217" s="176" t="s">
        <v>297</v>
      </c>
      <c r="C217" s="176"/>
      <c r="D217" s="211" t="s">
        <v>291</v>
      </c>
      <c r="E217" s="176"/>
      <c r="F217" s="177"/>
      <c r="G217" s="1168">
        <f t="shared" si="0"/>
        <v>0</v>
      </c>
      <c r="H217" s="1172"/>
      <c r="I217" s="179"/>
      <c r="J217" s="1190"/>
      <c r="K217" s="1183"/>
      <c r="L217" s="1250" t="s">
        <v>292</v>
      </c>
      <c r="M217" s="1250"/>
      <c r="N217" s="1250"/>
      <c r="O217" s="1250"/>
      <c r="P217" s="1250"/>
      <c r="Q217" s="1250"/>
      <c r="R217" s="1250"/>
      <c r="S217" s="1250"/>
      <c r="T217" s="1250"/>
    </row>
    <row r="218" spans="1:20">
      <c r="A218" s="203"/>
      <c r="B218" s="176" t="s">
        <v>298</v>
      </c>
      <c r="C218" s="176"/>
      <c r="D218" s="211" t="s">
        <v>291</v>
      </c>
      <c r="E218" s="176"/>
      <c r="F218" s="177"/>
      <c r="G218" s="1168">
        <f t="shared" si="0"/>
        <v>0</v>
      </c>
      <c r="H218" s="1172"/>
      <c r="I218" s="179"/>
      <c r="J218" s="1190"/>
      <c r="K218" s="1183"/>
      <c r="L218" s="1250" t="s">
        <v>292</v>
      </c>
      <c r="M218" s="1250"/>
      <c r="N218" s="1250"/>
      <c r="O218" s="1250"/>
      <c r="P218" s="1250"/>
      <c r="Q218" s="1250"/>
      <c r="R218" s="1250"/>
      <c r="S218" s="1250"/>
      <c r="T218" s="1250"/>
    </row>
    <row r="219" spans="1:20">
      <c r="A219" s="203"/>
      <c r="B219" s="176" t="s">
        <v>299</v>
      </c>
      <c r="C219" s="176"/>
      <c r="D219" s="211" t="s">
        <v>291</v>
      </c>
      <c r="E219" s="176"/>
      <c r="F219" s="177"/>
      <c r="G219" s="1168">
        <f t="shared" si="0"/>
        <v>0</v>
      </c>
      <c r="H219" s="1172"/>
      <c r="I219" s="179"/>
      <c r="J219" s="1190"/>
      <c r="K219" s="1183"/>
      <c r="L219" s="1250" t="s">
        <v>292</v>
      </c>
      <c r="M219" s="1250"/>
      <c r="N219" s="1250"/>
      <c r="O219" s="1250"/>
      <c r="P219" s="1250"/>
      <c r="Q219" s="1250"/>
      <c r="R219" s="1250"/>
      <c r="S219" s="1250"/>
      <c r="T219" s="1250"/>
    </row>
    <row r="220" spans="1:20">
      <c r="A220" s="203"/>
      <c r="B220" s="176" t="s">
        <v>300</v>
      </c>
      <c r="C220" s="176"/>
      <c r="D220" s="211" t="s">
        <v>291</v>
      </c>
      <c r="E220" s="176"/>
      <c r="F220" s="177"/>
      <c r="G220" s="1168">
        <f t="shared" si="0"/>
        <v>0</v>
      </c>
      <c r="H220" s="1172"/>
      <c r="I220" s="179"/>
      <c r="J220" s="1190"/>
      <c r="K220" s="1183"/>
      <c r="L220" s="1250" t="s">
        <v>292</v>
      </c>
      <c r="M220" s="1250"/>
      <c r="N220" s="1250"/>
      <c r="O220" s="1250"/>
      <c r="P220" s="1250"/>
      <c r="Q220" s="1250"/>
      <c r="R220" s="1250"/>
      <c r="S220" s="1250"/>
      <c r="T220" s="1250"/>
    </row>
    <row r="221" spans="1:20">
      <c r="A221" s="203"/>
      <c r="B221" s="176" t="s">
        <v>301</v>
      </c>
      <c r="C221" s="176"/>
      <c r="D221" s="211" t="s">
        <v>291</v>
      </c>
      <c r="E221" s="176"/>
      <c r="F221" s="177"/>
      <c r="G221" s="1168">
        <f t="shared" si="0"/>
        <v>0</v>
      </c>
      <c r="H221" s="1172"/>
      <c r="I221" s="179"/>
      <c r="J221" s="1190"/>
      <c r="K221" s="1183"/>
      <c r="L221" s="1250" t="s">
        <v>292</v>
      </c>
      <c r="M221" s="1250"/>
      <c r="N221" s="1250"/>
      <c r="O221" s="1250"/>
      <c r="P221" s="1250"/>
      <c r="Q221" s="1250"/>
      <c r="R221" s="1250"/>
      <c r="S221" s="1250"/>
      <c r="T221" s="1250"/>
    </row>
    <row r="222" spans="1:20">
      <c r="A222" s="203"/>
      <c r="B222" s="176" t="s">
        <v>302</v>
      </c>
      <c r="C222" s="176"/>
      <c r="D222" s="211" t="s">
        <v>291</v>
      </c>
      <c r="E222" s="176"/>
      <c r="F222" s="177"/>
      <c r="G222" s="1168">
        <f t="shared" si="0"/>
        <v>0</v>
      </c>
      <c r="H222" s="1172"/>
      <c r="I222" s="179"/>
      <c r="J222" s="1190"/>
      <c r="K222" s="1183"/>
      <c r="L222" s="1250" t="s">
        <v>292</v>
      </c>
      <c r="M222" s="1250"/>
      <c r="N222" s="1250"/>
      <c r="O222" s="1250"/>
      <c r="P222" s="1250"/>
      <c r="Q222" s="1250"/>
      <c r="R222" s="1250"/>
      <c r="S222" s="1250"/>
      <c r="T222" s="1250"/>
    </row>
    <row r="223" spans="1:20">
      <c r="A223" s="203"/>
      <c r="B223" s="176" t="s">
        <v>303</v>
      </c>
      <c r="C223" s="176"/>
      <c r="D223" s="211" t="s">
        <v>255</v>
      </c>
      <c r="E223" s="176"/>
      <c r="F223" s="177"/>
      <c r="G223" s="1168">
        <v>65000</v>
      </c>
      <c r="H223" s="1172"/>
      <c r="I223" s="179"/>
      <c r="J223" s="1190"/>
      <c r="K223" s="1183"/>
      <c r="L223" s="1250"/>
      <c r="M223" s="1250"/>
      <c r="N223" s="1250"/>
      <c r="O223" s="1250"/>
      <c r="P223" s="1250"/>
      <c r="Q223" s="1250"/>
      <c r="R223" s="1250"/>
      <c r="S223" s="1250"/>
      <c r="T223" s="1250"/>
    </row>
    <row r="224" spans="1:20">
      <c r="A224" s="203"/>
      <c r="B224" s="176" t="s">
        <v>1018</v>
      </c>
      <c r="C224" s="176"/>
      <c r="D224" s="211" t="s">
        <v>255</v>
      </c>
      <c r="E224" s="176"/>
      <c r="F224" s="177"/>
      <c r="G224" s="1168">
        <v>35000</v>
      </c>
      <c r="H224" s="1172"/>
      <c r="I224" s="179"/>
      <c r="J224" s="1190"/>
      <c r="K224" s="1183"/>
      <c r="L224" s="1250"/>
      <c r="M224" s="1250"/>
      <c r="N224" s="1250"/>
      <c r="O224" s="1250"/>
      <c r="P224" s="1250"/>
      <c r="Q224" s="1250"/>
      <c r="R224" s="1250"/>
      <c r="S224" s="1250"/>
      <c r="T224" s="1250"/>
    </row>
    <row r="225" spans="1:20">
      <c r="A225" s="203"/>
      <c r="B225" s="176"/>
      <c r="C225" s="176"/>
      <c r="D225" s="211"/>
      <c r="E225" s="176"/>
      <c r="F225" s="177"/>
      <c r="G225" s="1168"/>
      <c r="H225" s="1172"/>
      <c r="I225" s="179"/>
      <c r="J225" s="1190"/>
      <c r="K225" s="1183"/>
      <c r="L225" s="1250"/>
      <c r="M225" s="1250"/>
      <c r="N225" s="1250"/>
      <c r="O225" s="1250"/>
      <c r="P225" s="1250"/>
      <c r="Q225" s="1250"/>
      <c r="R225" s="1250"/>
      <c r="S225" s="1250"/>
      <c r="T225" s="1250"/>
    </row>
    <row r="226" spans="1:20">
      <c r="A226" s="215"/>
      <c r="B226" s="1166" t="s">
        <v>304</v>
      </c>
      <c r="C226" s="1161"/>
      <c r="D226" s="1161"/>
      <c r="E226" s="1161"/>
      <c r="F226" s="1161"/>
      <c r="G226" s="1175"/>
      <c r="H226" s="1176">
        <f>SUM(H180+H182+H206)</f>
        <v>4660008</v>
      </c>
      <c r="I226" s="208"/>
      <c r="J226" s="1192"/>
      <c r="K226" s="1187"/>
      <c r="L226" s="1253"/>
      <c r="M226" s="1253"/>
      <c r="N226" s="1253"/>
      <c r="O226" s="1253"/>
      <c r="P226" s="1253"/>
      <c r="Q226" s="1253"/>
      <c r="R226" s="1253"/>
      <c r="S226" s="1253"/>
      <c r="T226" s="1253"/>
    </row>
    <row r="227" spans="1:20">
      <c r="A227" s="203"/>
      <c r="B227" s="176" t="s">
        <v>305</v>
      </c>
      <c r="C227" s="176"/>
      <c r="D227" s="211" t="s">
        <v>124</v>
      </c>
      <c r="E227" s="176"/>
      <c r="F227" s="212">
        <v>0</v>
      </c>
      <c r="G227" s="1168">
        <f>H226/100*F227</f>
        <v>0</v>
      </c>
      <c r="H227" s="1172">
        <f>G227</f>
        <v>0</v>
      </c>
      <c r="I227" s="179"/>
      <c r="J227" s="1190"/>
      <c r="K227" s="1183"/>
      <c r="L227" s="1250"/>
      <c r="M227" s="1250"/>
      <c r="N227" s="1250"/>
      <c r="O227" s="1250"/>
      <c r="P227" s="1250"/>
      <c r="Q227" s="1250"/>
      <c r="R227" s="1250"/>
      <c r="S227" s="1250"/>
      <c r="T227" s="1250"/>
    </row>
    <row r="228" spans="1:20">
      <c r="A228" s="203"/>
      <c r="B228" s="176" t="s">
        <v>306</v>
      </c>
      <c r="C228" s="176"/>
      <c r="D228" s="211" t="s">
        <v>307</v>
      </c>
      <c r="E228" s="176"/>
      <c r="F228" s="212">
        <v>1.4</v>
      </c>
      <c r="G228" s="1168">
        <f>H226/1000*F228</f>
        <v>6524.011199999999</v>
      </c>
      <c r="H228" s="1172">
        <f>G228</f>
        <v>6524.011199999999</v>
      </c>
      <c r="I228" s="179"/>
      <c r="J228" s="1182"/>
      <c r="K228" s="1183"/>
      <c r="L228" s="1250"/>
      <c r="M228" s="1250"/>
      <c r="N228" s="1250"/>
      <c r="O228" s="1250"/>
      <c r="P228" s="1250"/>
      <c r="Q228" s="1250"/>
      <c r="R228" s="1250"/>
      <c r="S228" s="1250"/>
      <c r="T228" s="1250"/>
    </row>
    <row r="229" spans="1:20">
      <c r="A229" s="203"/>
      <c r="B229" s="176" t="s">
        <v>308</v>
      </c>
      <c r="C229" s="176"/>
      <c r="D229" s="211" t="s">
        <v>124</v>
      </c>
      <c r="E229" s="176"/>
      <c r="F229" s="212">
        <v>0.8</v>
      </c>
      <c r="G229" s="1168">
        <f>H226/100*F229</f>
        <v>37280.064000000006</v>
      </c>
      <c r="H229" s="1172">
        <f>G229</f>
        <v>37280.064000000006</v>
      </c>
      <c r="I229" s="179"/>
      <c r="J229" s="1182"/>
      <c r="K229" s="1183"/>
      <c r="L229" s="1250"/>
      <c r="M229" s="1250"/>
      <c r="N229" s="1250"/>
      <c r="O229" s="1250"/>
      <c r="P229" s="1250"/>
      <c r="Q229" s="1250"/>
      <c r="R229" s="1250"/>
      <c r="S229" s="1250"/>
      <c r="T229" s="1250"/>
    </row>
    <row r="230" spans="1:20">
      <c r="A230" s="160"/>
      <c r="B230" s="160"/>
      <c r="C230" s="160"/>
      <c r="D230" s="160"/>
      <c r="E230" s="160"/>
      <c r="F230" s="161"/>
      <c r="G230" s="161"/>
      <c r="H230" s="160"/>
      <c r="I230" s="163"/>
      <c r="J230" s="1188"/>
      <c r="K230" s="496"/>
      <c r="L230" s="160"/>
      <c r="M230" s="160"/>
      <c r="N230" s="160"/>
      <c r="O230" s="160"/>
      <c r="P230" s="160"/>
      <c r="Q230" s="160"/>
      <c r="R230" s="160"/>
      <c r="S230" s="160"/>
      <c r="T230" s="160"/>
    </row>
    <row r="231" spans="1:20">
      <c r="A231" s="160"/>
      <c r="B231" s="160"/>
      <c r="C231" s="160"/>
      <c r="D231" s="160"/>
      <c r="E231" s="160"/>
      <c r="F231" s="161"/>
      <c r="G231" s="496"/>
      <c r="H231" s="496"/>
      <c r="I231" s="163"/>
      <c r="J231" s="1188"/>
      <c r="K231" s="496"/>
      <c r="L231" s="160"/>
      <c r="M231" s="160"/>
      <c r="N231" s="160"/>
      <c r="O231" s="160"/>
      <c r="P231" s="160"/>
      <c r="Q231" s="160"/>
      <c r="R231" s="160"/>
      <c r="S231" s="160"/>
      <c r="T231" s="160"/>
    </row>
    <row r="232" spans="1:20">
      <c r="A232" s="160"/>
      <c r="B232" s="1163" t="s">
        <v>309</v>
      </c>
      <c r="C232" s="1163"/>
      <c r="D232" s="1163"/>
      <c r="E232" s="1163"/>
      <c r="F232" s="1163"/>
      <c r="G232" s="1178"/>
      <c r="H232" s="1179">
        <f>SUM(H226:H231)</f>
        <v>4703812.0751999998</v>
      </c>
      <c r="I232" s="163"/>
      <c r="J232" s="1188"/>
      <c r="K232" s="496"/>
      <c r="L232" s="160"/>
      <c r="M232" s="160"/>
      <c r="N232" s="160"/>
      <c r="O232" s="160"/>
      <c r="P232" s="160"/>
      <c r="Q232" s="160"/>
      <c r="R232" s="160"/>
      <c r="S232" s="160"/>
      <c r="T232" s="160"/>
    </row>
    <row r="233" spans="1:20">
      <c r="A233" s="160"/>
      <c r="B233" s="160" t="s">
        <v>310</v>
      </c>
      <c r="C233" s="160"/>
      <c r="D233" s="160"/>
      <c r="E233" s="1252" t="s">
        <v>124</v>
      </c>
      <c r="G233" s="1165">
        <v>0.08</v>
      </c>
      <c r="H233" s="1180">
        <f>G233*(H232-G223-H229-H228-G176-H9)</f>
        <v>367600.64000000001</v>
      </c>
      <c r="I233" s="163"/>
      <c r="J233" s="1188"/>
      <c r="K233" s="496"/>
      <c r="L233" s="160"/>
      <c r="M233" s="160"/>
      <c r="N233" s="160"/>
      <c r="O233" s="160"/>
      <c r="P233" s="160"/>
      <c r="Q233" s="160"/>
      <c r="R233" s="160"/>
      <c r="S233" s="160"/>
      <c r="T233" s="160"/>
    </row>
    <row r="234" spans="1:20">
      <c r="A234" s="160"/>
      <c r="B234" s="160"/>
      <c r="C234" s="160"/>
      <c r="D234" s="160"/>
      <c r="E234" s="1252"/>
      <c r="F234" s="1165"/>
      <c r="G234" s="496"/>
      <c r="H234" s="1180"/>
      <c r="I234" s="163"/>
      <c r="J234" s="506"/>
      <c r="K234" s="161"/>
      <c r="L234" s="160"/>
      <c r="M234" s="160"/>
      <c r="N234" s="160"/>
      <c r="O234" s="160"/>
      <c r="P234" s="160"/>
      <c r="Q234" s="160"/>
      <c r="R234" s="160"/>
      <c r="S234" s="160"/>
      <c r="T234" s="160"/>
    </row>
    <row r="235" spans="1:20">
      <c r="A235" s="160"/>
      <c r="B235" s="1163" t="s">
        <v>311</v>
      </c>
      <c r="C235" s="1163"/>
      <c r="D235" s="1163"/>
      <c r="E235" s="1163"/>
      <c r="F235" s="1163"/>
      <c r="G235" s="1178"/>
      <c r="H235" s="1179">
        <f>H232+H233</f>
        <v>5071412.7151999995</v>
      </c>
      <c r="I235" s="163"/>
      <c r="J235" s="506"/>
      <c r="K235" s="161"/>
      <c r="L235" s="160"/>
      <c r="M235" s="160"/>
      <c r="N235" s="160"/>
      <c r="O235" s="160"/>
      <c r="P235" s="160"/>
      <c r="Q235" s="160"/>
      <c r="R235" s="160"/>
      <c r="S235" s="160"/>
      <c r="T235" s="160"/>
    </row>
    <row r="236" spans="1:20">
      <c r="A236" s="160"/>
      <c r="B236" s="160"/>
      <c r="C236" s="160"/>
      <c r="D236" s="160"/>
      <c r="E236" s="160"/>
      <c r="F236" s="161"/>
      <c r="G236" s="496"/>
      <c r="H236" s="496"/>
      <c r="I236" s="163"/>
      <c r="J236" s="506"/>
      <c r="K236" s="161"/>
      <c r="L236" s="160"/>
      <c r="M236" s="160"/>
      <c r="N236" s="160"/>
      <c r="O236" s="160"/>
      <c r="P236" s="160"/>
      <c r="Q236" s="160"/>
      <c r="R236" s="160"/>
      <c r="S236" s="160"/>
    </row>
    <row r="237" spans="1:20">
      <c r="A237" s="160"/>
      <c r="B237" s="1033" t="s">
        <v>44</v>
      </c>
      <c r="E237" s="1033"/>
      <c r="F237" s="1035"/>
      <c r="G237" s="1036">
        <f>H235*H237</f>
        <v>760711.90727999993</v>
      </c>
      <c r="H237" s="1034">
        <v>0.15</v>
      </c>
      <c r="I237" s="163"/>
      <c r="J237" s="506"/>
      <c r="K237" s="161"/>
      <c r="L237" s="160"/>
      <c r="M237" s="160"/>
      <c r="N237" s="160"/>
      <c r="O237" s="160"/>
      <c r="P237" s="160"/>
      <c r="Q237" s="160"/>
      <c r="R237" s="160"/>
      <c r="S237" s="160"/>
    </row>
    <row r="238" spans="1:20">
      <c r="A238" s="160"/>
      <c r="B238" s="1033" t="s">
        <v>312</v>
      </c>
      <c r="D238" s="1033"/>
      <c r="E238" s="1033"/>
      <c r="F238" s="1035"/>
      <c r="G238" s="1036"/>
      <c r="H238" s="1036">
        <f>G237+H235</f>
        <v>5832124.6224799994</v>
      </c>
      <c r="I238" s="163"/>
      <c r="J238" s="506"/>
      <c r="K238" s="161"/>
      <c r="L238" s="160"/>
      <c r="M238" s="160"/>
      <c r="N238" s="160"/>
      <c r="O238" s="160"/>
      <c r="P238" s="160"/>
      <c r="Q238" s="160"/>
      <c r="R238" s="160"/>
      <c r="S238" s="160"/>
    </row>
    <row r="239" spans="1:20">
      <c r="A239" s="160"/>
      <c r="B239" s="160"/>
      <c r="C239" s="160"/>
      <c r="D239" s="160"/>
      <c r="E239" s="160"/>
      <c r="F239" s="161"/>
      <c r="G239" s="496"/>
      <c r="H239" s="496"/>
      <c r="I239" s="163"/>
      <c r="J239" s="506"/>
      <c r="K239" s="161"/>
      <c r="L239" s="160"/>
      <c r="M239" s="160"/>
      <c r="N239" s="160"/>
      <c r="O239" s="160"/>
      <c r="P239" s="160"/>
      <c r="Q239" s="160"/>
      <c r="R239" s="160"/>
      <c r="S239" s="160"/>
    </row>
    <row r="240" spans="1:20">
      <c r="I240" s="163"/>
      <c r="J240" s="506"/>
      <c r="K240" s="161"/>
    </row>
  </sheetData>
  <mergeCells count="225">
    <mergeCell ref="E233:E234"/>
    <mergeCell ref="L227:T227"/>
    <mergeCell ref="L228:T228"/>
    <mergeCell ref="L229:T229"/>
    <mergeCell ref="L216:T216"/>
    <mergeCell ref="L217:T217"/>
    <mergeCell ref="L218:T218"/>
    <mergeCell ref="L219:T219"/>
    <mergeCell ref="L220:T220"/>
    <mergeCell ref="L221:T221"/>
    <mergeCell ref="L222:T222"/>
    <mergeCell ref="L223:T223"/>
    <mergeCell ref="L224:T224"/>
    <mergeCell ref="L225:T225"/>
    <mergeCell ref="L226:T226"/>
    <mergeCell ref="L207:T207"/>
    <mergeCell ref="L208:T208"/>
    <mergeCell ref="L209:T209"/>
    <mergeCell ref="L210:T210"/>
    <mergeCell ref="L211:T211"/>
    <mergeCell ref="L212:T212"/>
    <mergeCell ref="L213:T213"/>
    <mergeCell ref="L214:T214"/>
    <mergeCell ref="L215:T215"/>
    <mergeCell ref="L198:T198"/>
    <mergeCell ref="L199:T199"/>
    <mergeCell ref="L200:T200"/>
    <mergeCell ref="L201:T201"/>
    <mergeCell ref="L202:T202"/>
    <mergeCell ref="L203:T203"/>
    <mergeCell ref="L204:T204"/>
    <mergeCell ref="L205:T205"/>
    <mergeCell ref="L206:T206"/>
    <mergeCell ref="L189:T189"/>
    <mergeCell ref="L190:T190"/>
    <mergeCell ref="L191:T191"/>
    <mergeCell ref="L192:T192"/>
    <mergeCell ref="L193:T193"/>
    <mergeCell ref="L194:T194"/>
    <mergeCell ref="L195:T195"/>
    <mergeCell ref="L196:T196"/>
    <mergeCell ref="L197:T197"/>
    <mergeCell ref="L181:T181"/>
    <mergeCell ref="L182:T182"/>
    <mergeCell ref="L183:T183"/>
    <mergeCell ref="L184:T184"/>
    <mergeCell ref="L185:T185"/>
    <mergeCell ref="L186:T186"/>
    <mergeCell ref="L187:T187"/>
    <mergeCell ref="L188:T188"/>
    <mergeCell ref="L171:T171"/>
    <mergeCell ref="L172:T172"/>
    <mergeCell ref="L173:T173"/>
    <mergeCell ref="L174:T174"/>
    <mergeCell ref="L175:T175"/>
    <mergeCell ref="L176:T176"/>
    <mergeCell ref="L177:T177"/>
    <mergeCell ref="L178:T178"/>
    <mergeCell ref="L179:T179"/>
    <mergeCell ref="L161:T161"/>
    <mergeCell ref="L162:T162"/>
    <mergeCell ref="L163:T163"/>
    <mergeCell ref="L164:T164"/>
    <mergeCell ref="L165:T165"/>
    <mergeCell ref="L166:T166"/>
    <mergeCell ref="L167:T167"/>
    <mergeCell ref="L168:T168"/>
    <mergeCell ref="L170:T170"/>
    <mergeCell ref="L152:T152"/>
    <mergeCell ref="L153:T153"/>
    <mergeCell ref="L154:T154"/>
    <mergeCell ref="L155:T155"/>
    <mergeCell ref="L156:T156"/>
    <mergeCell ref="L157:T157"/>
    <mergeCell ref="L158:T158"/>
    <mergeCell ref="L159:T159"/>
    <mergeCell ref="L160:T160"/>
    <mergeCell ref="L143:T143"/>
    <mergeCell ref="L144:T144"/>
    <mergeCell ref="L145:T145"/>
    <mergeCell ref="L146:T146"/>
    <mergeCell ref="L147:T147"/>
    <mergeCell ref="L148:T148"/>
    <mergeCell ref="L149:T149"/>
    <mergeCell ref="L150:T150"/>
    <mergeCell ref="L151:T151"/>
    <mergeCell ref="L134:T134"/>
    <mergeCell ref="L135:T135"/>
    <mergeCell ref="L136:T136"/>
    <mergeCell ref="L137:T137"/>
    <mergeCell ref="L138:T138"/>
    <mergeCell ref="L139:T139"/>
    <mergeCell ref="L140:T140"/>
    <mergeCell ref="L141:T141"/>
    <mergeCell ref="L142:T142"/>
    <mergeCell ref="L125:T125"/>
    <mergeCell ref="L126:T126"/>
    <mergeCell ref="L127:T127"/>
    <mergeCell ref="L128:T128"/>
    <mergeCell ref="L129:T129"/>
    <mergeCell ref="L130:T130"/>
    <mergeCell ref="L131:T131"/>
    <mergeCell ref="L132:T132"/>
    <mergeCell ref="L133:T133"/>
    <mergeCell ref="L116:T116"/>
    <mergeCell ref="L117:T117"/>
    <mergeCell ref="L118:T118"/>
    <mergeCell ref="L119:T119"/>
    <mergeCell ref="L120:T120"/>
    <mergeCell ref="L121:T121"/>
    <mergeCell ref="L122:T122"/>
    <mergeCell ref="L123:T123"/>
    <mergeCell ref="L124:T124"/>
    <mergeCell ref="L107:T107"/>
    <mergeCell ref="L108:T108"/>
    <mergeCell ref="L109:T109"/>
    <mergeCell ref="L110:T110"/>
    <mergeCell ref="L111:T111"/>
    <mergeCell ref="L112:T112"/>
    <mergeCell ref="L113:T113"/>
    <mergeCell ref="L114:T114"/>
    <mergeCell ref="L115:T115"/>
    <mergeCell ref="L98:T98"/>
    <mergeCell ref="L99:T99"/>
    <mergeCell ref="L100:T100"/>
    <mergeCell ref="L101:T101"/>
    <mergeCell ref="L102:T102"/>
    <mergeCell ref="L103:T103"/>
    <mergeCell ref="L104:T104"/>
    <mergeCell ref="L105:T105"/>
    <mergeCell ref="L106:T106"/>
    <mergeCell ref="L87:T87"/>
    <mergeCell ref="L88:T88"/>
    <mergeCell ref="L90:T90"/>
    <mergeCell ref="L91:T91"/>
    <mergeCell ref="L92:T92"/>
    <mergeCell ref="L93:T93"/>
    <mergeCell ref="L95:T95"/>
    <mergeCell ref="L96:T96"/>
    <mergeCell ref="L97:T97"/>
    <mergeCell ref="L78:T78"/>
    <mergeCell ref="L79:T79"/>
    <mergeCell ref="L80:T80"/>
    <mergeCell ref="L81:T81"/>
    <mergeCell ref="L82:T82"/>
    <mergeCell ref="L83:T83"/>
    <mergeCell ref="L84:T84"/>
    <mergeCell ref="L85:T85"/>
    <mergeCell ref="L86:T86"/>
    <mergeCell ref="L69:T69"/>
    <mergeCell ref="L70:T70"/>
    <mergeCell ref="L71:T71"/>
    <mergeCell ref="L72:T72"/>
    <mergeCell ref="L73:T73"/>
    <mergeCell ref="L74:T74"/>
    <mergeCell ref="L75:T75"/>
    <mergeCell ref="L76:T76"/>
    <mergeCell ref="L77:T77"/>
    <mergeCell ref="L60:T60"/>
    <mergeCell ref="L61:T61"/>
    <mergeCell ref="L62:T62"/>
    <mergeCell ref="L63:T63"/>
    <mergeCell ref="L64:T64"/>
    <mergeCell ref="L65:T65"/>
    <mergeCell ref="L66:T66"/>
    <mergeCell ref="L67:T67"/>
    <mergeCell ref="L68:T68"/>
    <mergeCell ref="L51:T51"/>
    <mergeCell ref="L52:T52"/>
    <mergeCell ref="L53:T53"/>
    <mergeCell ref="L54:T54"/>
    <mergeCell ref="L55:T55"/>
    <mergeCell ref="L56:T56"/>
    <mergeCell ref="L57:T57"/>
    <mergeCell ref="L58:T58"/>
    <mergeCell ref="L59:T59"/>
    <mergeCell ref="L42:T42"/>
    <mergeCell ref="L43:T43"/>
    <mergeCell ref="L44:T44"/>
    <mergeCell ref="L45:T45"/>
    <mergeCell ref="L46:T46"/>
    <mergeCell ref="L47:T47"/>
    <mergeCell ref="L48:T48"/>
    <mergeCell ref="L49:T49"/>
    <mergeCell ref="L50:T50"/>
    <mergeCell ref="L33:T33"/>
    <mergeCell ref="L34:T34"/>
    <mergeCell ref="L35:T35"/>
    <mergeCell ref="L36:T36"/>
    <mergeCell ref="L37:T37"/>
    <mergeCell ref="L38:T38"/>
    <mergeCell ref="L39:T39"/>
    <mergeCell ref="L40:T40"/>
    <mergeCell ref="L41:T41"/>
    <mergeCell ref="L24:T24"/>
    <mergeCell ref="L25:T25"/>
    <mergeCell ref="L26:T26"/>
    <mergeCell ref="L27:T27"/>
    <mergeCell ref="L28:T28"/>
    <mergeCell ref="L29:T29"/>
    <mergeCell ref="L30:T30"/>
    <mergeCell ref="L31:T31"/>
    <mergeCell ref="L32:T32"/>
    <mergeCell ref="L13:T13"/>
    <mergeCell ref="L14:T14"/>
    <mergeCell ref="L15:T15"/>
    <mergeCell ref="L18:T18"/>
    <mergeCell ref="L19:T19"/>
    <mergeCell ref="L20:T20"/>
    <mergeCell ref="L21:T21"/>
    <mergeCell ref="L22:T22"/>
    <mergeCell ref="L23:T23"/>
    <mergeCell ref="L9:T9"/>
    <mergeCell ref="L10:T10"/>
    <mergeCell ref="L11:T11"/>
    <mergeCell ref="L12:T12"/>
    <mergeCell ref="A7:B7"/>
    <mergeCell ref="G3:H3"/>
    <mergeCell ref="I3:J3"/>
    <mergeCell ref="G4:H4"/>
    <mergeCell ref="I4:J4"/>
    <mergeCell ref="O4:Q4"/>
    <mergeCell ref="O5:Q5"/>
    <mergeCell ref="L7:T7"/>
    <mergeCell ref="L8:T8"/>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19CBA-BBCD-4D19-8A32-7C76D54E5E93}">
  <sheetPr>
    <tabColor theme="4" tint="0.79998168889431442"/>
  </sheetPr>
  <dimension ref="A1:W254"/>
  <sheetViews>
    <sheetView showGridLines="0" topLeftCell="A237" zoomScale="80" zoomScaleNormal="80" workbookViewId="0">
      <selection activeCell="I251" sqref="I251"/>
    </sheetView>
  </sheetViews>
  <sheetFormatPr defaultRowHeight="14.5"/>
  <cols>
    <col min="1" max="1" width="13.08984375" customWidth="1"/>
    <col min="2" max="2" width="28.36328125" bestFit="1" customWidth="1"/>
    <col min="3" max="3" width="26.08984375" hidden="1" customWidth="1"/>
    <col min="4" max="4" width="7.7265625" hidden="1" customWidth="1"/>
    <col min="5" max="6" width="13.7265625" hidden="1" customWidth="1"/>
    <col min="7" max="8" width="14.81640625" style="7" bestFit="1" customWidth="1"/>
    <col min="9" max="9" width="13.7265625" customWidth="1"/>
    <col min="10" max="10" width="13.7265625" style="433" customWidth="1"/>
    <col min="11" max="12" width="12.81640625" bestFit="1" customWidth="1"/>
  </cols>
  <sheetData>
    <row r="1" spans="1:23" ht="16">
      <c r="A1" s="1193" t="s">
        <v>1002</v>
      </c>
      <c r="B1" s="159"/>
      <c r="C1" s="159"/>
      <c r="D1" s="159"/>
      <c r="E1" s="160"/>
      <c r="F1" s="161"/>
      <c r="G1" s="161"/>
      <c r="H1" s="162"/>
      <c r="I1" s="163"/>
      <c r="J1" s="506"/>
      <c r="K1" s="512"/>
      <c r="L1" s="160"/>
      <c r="M1" s="160"/>
      <c r="N1" s="160"/>
      <c r="O1" s="160"/>
      <c r="P1" s="160"/>
      <c r="Q1" s="160"/>
      <c r="R1" s="160"/>
      <c r="S1" s="160"/>
      <c r="T1" s="160"/>
    </row>
    <row r="2" spans="1:23">
      <c r="A2" s="159"/>
      <c r="B2" s="159"/>
      <c r="C2" s="159"/>
      <c r="D2" s="159"/>
      <c r="E2" s="160"/>
      <c r="F2" s="161"/>
      <c r="G2" s="161"/>
      <c r="H2" s="162"/>
      <c r="I2" s="163"/>
      <c r="J2" s="506"/>
      <c r="K2" s="512"/>
      <c r="L2" s="160"/>
      <c r="M2" s="160"/>
      <c r="N2" s="160"/>
      <c r="O2" s="160"/>
      <c r="P2" s="160"/>
      <c r="Q2" s="160"/>
      <c r="R2" s="160"/>
      <c r="S2" s="160"/>
      <c r="T2" s="160"/>
    </row>
    <row r="3" spans="1:23">
      <c r="A3" s="159"/>
      <c r="B3" s="159"/>
      <c r="G3" s="1232" t="s">
        <v>158</v>
      </c>
      <c r="H3" s="1233"/>
      <c r="I3" s="1254" t="s">
        <v>159</v>
      </c>
      <c r="J3" s="1254"/>
      <c r="K3" s="512"/>
      <c r="L3" s="160"/>
      <c r="M3" s="160"/>
      <c r="N3" s="160"/>
      <c r="O3" s="160"/>
      <c r="P3" s="160"/>
      <c r="Q3" s="160"/>
      <c r="R3" s="160"/>
      <c r="S3" s="160"/>
      <c r="T3" s="160"/>
    </row>
    <row r="4" spans="1:23">
      <c r="A4" s="159" t="s">
        <v>160</v>
      </c>
      <c r="B4" s="164"/>
      <c r="G4" s="1234">
        <v>32327</v>
      </c>
      <c r="H4" s="1235"/>
      <c r="I4" s="1255">
        <f>H242/G4</f>
        <v>168.74782915828871</v>
      </c>
      <c r="J4" s="1256"/>
      <c r="K4" s="512"/>
      <c r="L4" s="160"/>
      <c r="M4" s="160" t="s">
        <v>161</v>
      </c>
      <c r="N4" s="160"/>
      <c r="O4" s="1238" t="s">
        <v>552</v>
      </c>
      <c r="P4" s="1238"/>
      <c r="Q4" s="1238"/>
      <c r="R4" s="160"/>
      <c r="S4" s="160"/>
      <c r="T4" s="160"/>
    </row>
    <row r="5" spans="1:23">
      <c r="A5" s="165" t="s">
        <v>163</v>
      </c>
      <c r="B5" s="166"/>
      <c r="C5" s="167"/>
      <c r="D5" s="167"/>
      <c r="E5" s="160"/>
      <c r="F5" s="161"/>
      <c r="G5" s="161"/>
      <c r="H5" s="161"/>
      <c r="I5" s="163"/>
      <c r="J5" s="506"/>
      <c r="K5" s="512"/>
      <c r="L5" s="160"/>
      <c r="M5" s="160" t="s">
        <v>164</v>
      </c>
      <c r="N5" s="160"/>
      <c r="O5" s="1238" t="s">
        <v>165</v>
      </c>
      <c r="P5" s="1238"/>
      <c r="Q5" s="1238"/>
      <c r="R5" s="160"/>
      <c r="S5" s="160"/>
      <c r="T5" s="160"/>
    </row>
    <row r="6" spans="1:23">
      <c r="A6" s="165" t="s">
        <v>166</v>
      </c>
      <c r="B6" s="168">
        <v>45720</v>
      </c>
      <c r="C6" s="167"/>
      <c r="D6" s="167"/>
      <c r="E6" s="160"/>
      <c r="F6" s="161"/>
      <c r="G6" s="161"/>
      <c r="H6" s="161"/>
      <c r="I6" s="163"/>
      <c r="J6" s="506"/>
      <c r="K6" s="512"/>
      <c r="L6" s="160"/>
      <c r="M6" s="160"/>
      <c r="N6" s="160"/>
      <c r="O6" s="160"/>
      <c r="P6" s="160"/>
      <c r="Q6" s="160"/>
      <c r="R6" s="160"/>
      <c r="S6" s="160"/>
      <c r="T6" s="160"/>
    </row>
    <row r="7" spans="1:23" ht="26">
      <c r="A7" s="1231" t="s">
        <v>167</v>
      </c>
      <c r="B7" s="1231"/>
      <c r="C7" s="169" t="s">
        <v>168</v>
      </c>
      <c r="D7" s="170" t="s">
        <v>169</v>
      </c>
      <c r="E7" s="169" t="s">
        <v>170</v>
      </c>
      <c r="F7" s="171" t="s">
        <v>171</v>
      </c>
      <c r="G7" s="171" t="s">
        <v>172</v>
      </c>
      <c r="H7" s="171" t="s">
        <v>173</v>
      </c>
      <c r="I7" s="172" t="s">
        <v>124</v>
      </c>
      <c r="J7" s="507" t="s">
        <v>174</v>
      </c>
      <c r="K7" s="513"/>
      <c r="L7" s="1239" t="s">
        <v>175</v>
      </c>
      <c r="M7" s="1240"/>
      <c r="N7" s="1240"/>
      <c r="O7" s="1240"/>
      <c r="P7" s="1240"/>
      <c r="Q7" s="1240"/>
      <c r="R7" s="1240"/>
      <c r="S7" s="1240"/>
      <c r="T7" s="1240"/>
    </row>
    <row r="8" spans="1:23">
      <c r="A8" s="173"/>
      <c r="B8" s="174"/>
      <c r="C8" s="174"/>
      <c r="D8" s="175"/>
      <c r="E8" s="176"/>
      <c r="F8" s="177"/>
      <c r="G8" s="177"/>
      <c r="H8" s="178"/>
      <c r="I8" s="179"/>
      <c r="J8" s="508"/>
      <c r="K8" s="514"/>
      <c r="L8" s="1241"/>
      <c r="M8" s="1242"/>
      <c r="N8" s="1242"/>
      <c r="O8" s="1242"/>
      <c r="P8" s="1242"/>
      <c r="Q8" s="1242"/>
      <c r="R8" s="1242"/>
      <c r="S8" s="1242"/>
      <c r="T8" s="1243"/>
    </row>
    <row r="9" spans="1:23">
      <c r="A9" s="180" t="s">
        <v>176</v>
      </c>
      <c r="B9" s="181"/>
      <c r="C9" s="181"/>
      <c r="D9" s="182"/>
      <c r="E9" s="183"/>
      <c r="F9" s="184"/>
      <c r="G9" s="184"/>
      <c r="H9" s="185">
        <f>SUM(G10:G17)</f>
        <v>0</v>
      </c>
      <c r="I9" s="186">
        <f>H9/$H$233</f>
        <v>0</v>
      </c>
      <c r="J9" s="509">
        <f>H9/$G$4</f>
        <v>0</v>
      </c>
      <c r="K9" s="515"/>
      <c r="L9" s="1225"/>
      <c r="M9" s="1226"/>
      <c r="N9" s="1226"/>
      <c r="O9" s="1226"/>
      <c r="P9" s="1226"/>
      <c r="Q9" s="1226"/>
      <c r="R9" s="1226"/>
      <c r="S9" s="1226"/>
      <c r="T9" s="1227"/>
    </row>
    <row r="10" spans="1:23">
      <c r="A10" s="187"/>
      <c r="B10" s="174"/>
      <c r="C10" s="174"/>
      <c r="D10" s="175"/>
      <c r="E10" s="176"/>
      <c r="F10" s="177"/>
      <c r="G10" s="177"/>
      <c r="H10" s="188"/>
      <c r="I10" s="179"/>
      <c r="J10" s="508"/>
      <c r="K10" s="514"/>
      <c r="L10" s="1228"/>
      <c r="M10" s="1229"/>
      <c r="N10" s="1229"/>
      <c r="O10" s="1229"/>
      <c r="P10" s="1229"/>
      <c r="Q10" s="1229"/>
      <c r="R10" s="1229"/>
      <c r="S10" s="1229"/>
      <c r="T10" s="1230"/>
    </row>
    <row r="11" spans="1:23">
      <c r="A11" s="187"/>
      <c r="B11" s="174"/>
      <c r="C11" s="174"/>
      <c r="D11" s="175"/>
      <c r="E11" s="176"/>
      <c r="F11" s="177"/>
      <c r="G11" s="177"/>
      <c r="H11" s="188"/>
      <c r="I11" s="179"/>
      <c r="J11" s="508"/>
      <c r="K11" s="514"/>
      <c r="L11" s="1228"/>
      <c r="M11" s="1229"/>
      <c r="N11" s="1229"/>
      <c r="O11" s="1229"/>
      <c r="P11" s="1229"/>
      <c r="Q11" s="1229"/>
      <c r="R11" s="1229"/>
      <c r="S11" s="1229"/>
      <c r="T11" s="1230"/>
    </row>
    <row r="12" spans="1:23">
      <c r="A12" s="187"/>
      <c r="B12" s="174"/>
      <c r="C12" s="174"/>
      <c r="D12" s="175"/>
      <c r="E12" s="176"/>
      <c r="F12" s="177"/>
      <c r="G12" s="177"/>
      <c r="H12" s="188"/>
      <c r="I12" s="179"/>
      <c r="J12" s="508"/>
      <c r="K12" s="514"/>
      <c r="L12" s="1228"/>
      <c r="M12" s="1229"/>
      <c r="N12" s="1229"/>
      <c r="O12" s="1229"/>
      <c r="P12" s="1229"/>
      <c r="Q12" s="1229"/>
      <c r="R12" s="1229"/>
      <c r="S12" s="1229"/>
      <c r="T12" s="1230"/>
    </row>
    <row r="13" spans="1:23">
      <c r="A13" s="187"/>
      <c r="B13" s="174"/>
      <c r="C13" s="174"/>
      <c r="D13" s="175"/>
      <c r="E13" s="176"/>
      <c r="F13" s="177"/>
      <c r="G13" s="177"/>
      <c r="H13" s="188"/>
      <c r="I13" s="179"/>
      <c r="J13" s="508"/>
      <c r="K13" s="514"/>
      <c r="L13" s="1228"/>
      <c r="M13" s="1229"/>
      <c r="N13" s="1229"/>
      <c r="O13" s="1229"/>
      <c r="P13" s="1229"/>
      <c r="Q13" s="1229"/>
      <c r="R13" s="1229"/>
      <c r="S13" s="1229"/>
      <c r="T13" s="1230"/>
      <c r="W13">
        <v>1.05</v>
      </c>
    </row>
    <row r="14" spans="1:23">
      <c r="A14" s="187"/>
      <c r="B14" s="174"/>
      <c r="C14" s="174"/>
      <c r="D14" s="175"/>
      <c r="E14" s="176"/>
      <c r="F14" s="177"/>
      <c r="G14" s="177"/>
      <c r="H14" s="188"/>
      <c r="I14" s="179"/>
      <c r="J14" s="508"/>
      <c r="K14" s="514"/>
      <c r="L14" s="1228"/>
      <c r="M14" s="1229"/>
      <c r="N14" s="1229"/>
      <c r="O14" s="1229"/>
      <c r="P14" s="1229"/>
      <c r="Q14" s="1229"/>
      <c r="R14" s="1229"/>
      <c r="S14" s="1229"/>
      <c r="T14" s="1230"/>
    </row>
    <row r="15" spans="1:23">
      <c r="A15" s="187"/>
      <c r="B15" s="174"/>
      <c r="C15" s="174"/>
      <c r="D15" s="175"/>
      <c r="E15" s="176"/>
      <c r="F15" s="177"/>
      <c r="G15" s="177"/>
      <c r="H15" s="188"/>
      <c r="I15" s="179"/>
      <c r="J15" s="508"/>
      <c r="K15" s="514"/>
      <c r="L15" s="1228"/>
      <c r="M15" s="1229"/>
      <c r="N15" s="1229"/>
      <c r="O15" s="1229"/>
      <c r="P15" s="1229"/>
      <c r="Q15" s="1229"/>
      <c r="R15" s="1229"/>
      <c r="S15" s="1229"/>
      <c r="T15" s="1230"/>
    </row>
    <row r="16" spans="1:23">
      <c r="A16" s="187"/>
      <c r="B16" s="174"/>
      <c r="C16" s="174"/>
      <c r="D16" s="175"/>
      <c r="E16" s="176"/>
      <c r="F16" s="177"/>
      <c r="G16" s="177"/>
      <c r="H16" s="188"/>
      <c r="I16" s="179"/>
      <c r="J16" s="508"/>
      <c r="K16" s="514"/>
      <c r="L16" s="189"/>
      <c r="M16" s="190"/>
      <c r="N16" s="190"/>
      <c r="O16" s="190"/>
      <c r="P16" s="190"/>
      <c r="Q16" s="190"/>
      <c r="R16" s="190"/>
      <c r="S16" s="190"/>
      <c r="T16" s="191"/>
    </row>
    <row r="17" spans="1:20">
      <c r="A17" s="187"/>
      <c r="B17" s="174"/>
      <c r="C17" s="174"/>
      <c r="D17" s="175"/>
      <c r="E17" s="176"/>
      <c r="F17" s="177"/>
      <c r="G17" s="177"/>
      <c r="H17" s="188"/>
      <c r="I17" s="179"/>
      <c r="J17" s="508"/>
      <c r="K17" s="514"/>
      <c r="L17" s="1228"/>
      <c r="M17" s="1229"/>
      <c r="N17" s="1229"/>
      <c r="O17" s="1229"/>
      <c r="P17" s="1229"/>
      <c r="Q17" s="1229"/>
      <c r="R17" s="1229"/>
      <c r="S17" s="1229"/>
      <c r="T17" s="1230"/>
    </row>
    <row r="18" spans="1:20">
      <c r="A18" s="180" t="s">
        <v>177</v>
      </c>
      <c r="B18" s="181" t="s">
        <v>178</v>
      </c>
      <c r="C18" s="181"/>
      <c r="D18" s="182"/>
      <c r="E18" s="183"/>
      <c r="F18" s="184"/>
      <c r="G18" s="184"/>
      <c r="H18" s="185">
        <f>SUM(G19:G25)</f>
        <v>565500</v>
      </c>
      <c r="I18" s="186">
        <f>H18/$H$233</f>
        <v>0.11052524803194698</v>
      </c>
      <c r="J18" s="509">
        <f>H18/$G$4</f>
        <v>17.49311720852538</v>
      </c>
      <c r="K18" s="515"/>
      <c r="L18" s="1225"/>
      <c r="M18" s="1226"/>
      <c r="N18" s="1226"/>
      <c r="O18" s="1226"/>
      <c r="P18" s="1226"/>
      <c r="Q18" s="1226"/>
      <c r="R18" s="1226"/>
      <c r="S18" s="1226"/>
      <c r="T18" s="1227"/>
    </row>
    <row r="19" spans="1:20">
      <c r="A19" s="192"/>
      <c r="B19" s="176" t="s">
        <v>179</v>
      </c>
      <c r="C19" s="166">
        <f>17700+18300</f>
        <v>36000</v>
      </c>
      <c r="D19" s="175"/>
      <c r="E19" s="176"/>
      <c r="F19" s="193"/>
      <c r="G19" s="177">
        <v>140000</v>
      </c>
      <c r="H19" s="188"/>
      <c r="I19" s="179"/>
      <c r="J19" s="508"/>
      <c r="K19" s="514"/>
      <c r="L19" s="1228"/>
      <c r="M19" s="1229"/>
      <c r="N19" s="1229"/>
      <c r="O19" s="1229"/>
      <c r="P19" s="1229"/>
      <c r="Q19" s="1229"/>
      <c r="R19" s="1229"/>
      <c r="S19" s="1229"/>
      <c r="T19" s="1230"/>
    </row>
    <row r="20" spans="1:20">
      <c r="A20" s="192"/>
      <c r="B20" s="176" t="s">
        <v>180</v>
      </c>
      <c r="C20" s="166">
        <v>-4500</v>
      </c>
      <c r="D20" s="175"/>
      <c r="E20" s="176"/>
      <c r="F20" s="193"/>
      <c r="G20" s="177">
        <v>0</v>
      </c>
      <c r="H20" s="188"/>
      <c r="I20" s="179"/>
      <c r="J20" s="508"/>
      <c r="K20" s="514"/>
      <c r="L20" s="1228"/>
      <c r="M20" s="1229"/>
      <c r="N20" s="1229"/>
      <c r="O20" s="1229"/>
      <c r="P20" s="1229"/>
      <c r="Q20" s="1229"/>
      <c r="R20" s="1229"/>
      <c r="S20" s="1229"/>
      <c r="T20" s="1230"/>
    </row>
    <row r="21" spans="1:20">
      <c r="A21" s="192"/>
      <c r="B21" s="176" t="s">
        <v>553</v>
      </c>
      <c r="C21" s="166"/>
      <c r="D21" s="175"/>
      <c r="E21" s="176"/>
      <c r="F21" s="193"/>
      <c r="G21" s="177">
        <v>14000</v>
      </c>
      <c r="H21" s="188"/>
      <c r="I21" s="179"/>
      <c r="J21" s="508"/>
      <c r="K21" s="514"/>
      <c r="L21" s="1228"/>
      <c r="M21" s="1229"/>
      <c r="N21" s="1229"/>
      <c r="O21" s="1229"/>
      <c r="P21" s="1229"/>
      <c r="Q21" s="1229"/>
      <c r="R21" s="1229"/>
      <c r="S21" s="1229"/>
      <c r="T21" s="1230"/>
    </row>
    <row r="22" spans="1:20">
      <c r="A22" s="192"/>
      <c r="B22" s="176" t="s">
        <v>181</v>
      </c>
      <c r="C22" s="166">
        <v>-3200</v>
      </c>
      <c r="D22" s="175" t="s">
        <v>182</v>
      </c>
      <c r="E22" s="176">
        <v>0</v>
      </c>
      <c r="F22" s="193">
        <v>400</v>
      </c>
      <c r="G22" s="177">
        <f>F22*E22</f>
        <v>0</v>
      </c>
      <c r="H22" s="188"/>
      <c r="I22" s="179"/>
      <c r="J22" s="508"/>
      <c r="K22" s="514"/>
      <c r="L22" s="189"/>
      <c r="M22" s="190"/>
      <c r="N22" s="190"/>
      <c r="O22" s="190"/>
      <c r="P22" s="190"/>
      <c r="Q22" s="190"/>
      <c r="R22" s="190"/>
      <c r="S22" s="190"/>
      <c r="T22" s="191"/>
    </row>
    <row r="23" spans="1:20">
      <c r="A23" s="192"/>
      <c r="B23" s="176" t="s">
        <v>183</v>
      </c>
      <c r="C23" s="166">
        <v>50000</v>
      </c>
      <c r="D23" s="175"/>
      <c r="E23" s="176"/>
      <c r="F23" s="193"/>
      <c r="G23" s="177">
        <v>400000</v>
      </c>
      <c r="H23" s="188"/>
      <c r="I23" s="179"/>
      <c r="J23" s="508"/>
      <c r="K23" s="514"/>
      <c r="L23" s="189"/>
      <c r="M23" s="190"/>
      <c r="N23" s="190"/>
      <c r="O23" s="190"/>
      <c r="P23" s="190"/>
      <c r="Q23" s="190"/>
      <c r="R23" s="190"/>
      <c r="S23" s="190"/>
      <c r="T23" s="191"/>
    </row>
    <row r="24" spans="1:20">
      <c r="A24" s="192"/>
      <c r="B24" s="176" t="s">
        <v>184</v>
      </c>
      <c r="C24" s="166"/>
      <c r="D24" s="175"/>
      <c r="E24" s="176"/>
      <c r="F24" s="193"/>
      <c r="G24" s="177">
        <v>6500</v>
      </c>
      <c r="H24" s="188"/>
      <c r="I24" s="179"/>
      <c r="J24" s="508"/>
      <c r="K24" s="514"/>
      <c r="L24" s="189"/>
      <c r="M24" s="190"/>
      <c r="N24" s="190"/>
      <c r="O24" s="190"/>
      <c r="P24" s="190"/>
      <c r="Q24" s="190"/>
      <c r="R24" s="190"/>
      <c r="S24" s="190"/>
      <c r="T24" s="191"/>
    </row>
    <row r="25" spans="1:20">
      <c r="A25" s="194"/>
      <c r="B25" s="176" t="s">
        <v>251</v>
      </c>
      <c r="C25" s="176">
        <v>-10000</v>
      </c>
      <c r="D25" s="175"/>
      <c r="E25" s="195"/>
      <c r="F25" s="193"/>
      <c r="G25" s="177">
        <v>5000</v>
      </c>
      <c r="H25" s="188"/>
      <c r="I25" s="179"/>
      <c r="J25" s="508"/>
      <c r="K25" s="514"/>
      <c r="L25" s="1228"/>
      <c r="M25" s="1229"/>
      <c r="N25" s="1229"/>
      <c r="O25" s="1229"/>
      <c r="P25" s="1229"/>
      <c r="Q25" s="1229"/>
      <c r="R25" s="1229"/>
      <c r="S25" s="1229"/>
      <c r="T25" s="1230"/>
    </row>
    <row r="26" spans="1:20">
      <c r="A26" s="180" t="s">
        <v>177</v>
      </c>
      <c r="B26" s="181" t="s">
        <v>185</v>
      </c>
      <c r="C26" s="181"/>
      <c r="D26" s="182"/>
      <c r="E26" s="183"/>
      <c r="F26" s="184"/>
      <c r="G26" s="184"/>
      <c r="H26" s="185">
        <f>SUM(G27:G30)</f>
        <v>10000</v>
      </c>
      <c r="I26" s="186">
        <f>H26/$H$233</f>
        <v>1.9544694612192216E-3</v>
      </c>
      <c r="J26" s="509">
        <f>H26/$G$4</f>
        <v>0.30933894267949391</v>
      </c>
      <c r="K26" s="515"/>
      <c r="L26" s="1244"/>
      <c r="M26" s="1245"/>
      <c r="N26" s="1245"/>
      <c r="O26" s="1245"/>
      <c r="P26" s="1245"/>
      <c r="Q26" s="1245"/>
      <c r="R26" s="1245"/>
      <c r="S26" s="1245"/>
      <c r="T26" s="1246"/>
    </row>
    <row r="27" spans="1:20">
      <c r="A27" s="192"/>
      <c r="B27" s="176" t="s">
        <v>554</v>
      </c>
      <c r="C27" s="176"/>
      <c r="D27" s="175"/>
      <c r="E27" s="176"/>
      <c r="F27" s="177"/>
      <c r="G27" s="177">
        <v>10000</v>
      </c>
      <c r="H27" s="188"/>
      <c r="I27" s="179"/>
      <c r="J27" s="508"/>
      <c r="K27" s="514"/>
      <c r="L27" s="1228" t="s">
        <v>186</v>
      </c>
      <c r="M27" s="1229"/>
      <c r="N27" s="1229"/>
      <c r="O27" s="1229"/>
      <c r="P27" s="1229"/>
      <c r="Q27" s="1229"/>
      <c r="R27" s="1229"/>
      <c r="S27" s="1229"/>
      <c r="T27" s="1230"/>
    </row>
    <row r="28" spans="1:20">
      <c r="A28" s="192"/>
      <c r="B28" s="176"/>
      <c r="C28" s="176"/>
      <c r="D28" s="175"/>
      <c r="E28" s="176"/>
      <c r="F28" s="177"/>
      <c r="G28" s="177"/>
      <c r="H28" s="188"/>
      <c r="I28" s="179"/>
      <c r="J28" s="508"/>
      <c r="K28" s="514"/>
      <c r="L28" s="1228"/>
      <c r="M28" s="1229"/>
      <c r="N28" s="1229"/>
      <c r="O28" s="1229"/>
      <c r="P28" s="1229"/>
      <c r="Q28" s="1229"/>
      <c r="R28" s="1229"/>
      <c r="S28" s="1229"/>
      <c r="T28" s="1230"/>
    </row>
    <row r="29" spans="1:20">
      <c r="A29" s="192"/>
      <c r="B29" s="176"/>
      <c r="C29" s="176"/>
      <c r="D29" s="175"/>
      <c r="E29" s="176"/>
      <c r="F29" s="177"/>
      <c r="G29" s="177"/>
      <c r="H29" s="188"/>
      <c r="I29" s="179"/>
      <c r="J29" s="508"/>
      <c r="K29" s="514"/>
      <c r="L29" s="1228"/>
      <c r="M29" s="1229"/>
      <c r="N29" s="1229"/>
      <c r="O29" s="1229"/>
      <c r="P29" s="1229"/>
      <c r="Q29" s="1229"/>
      <c r="R29" s="1229"/>
      <c r="S29" s="1229"/>
      <c r="T29" s="1230"/>
    </row>
    <row r="30" spans="1:20">
      <c r="A30" s="192"/>
      <c r="B30" s="176"/>
      <c r="C30" s="176"/>
      <c r="D30" s="175"/>
      <c r="E30" s="176"/>
      <c r="F30" s="177"/>
      <c r="G30" s="177"/>
      <c r="H30" s="188"/>
      <c r="I30" s="179"/>
      <c r="J30" s="508"/>
      <c r="K30" s="514"/>
      <c r="L30" s="1228"/>
      <c r="M30" s="1229"/>
      <c r="N30" s="1229"/>
      <c r="O30" s="1229"/>
      <c r="P30" s="1229"/>
      <c r="Q30" s="1229"/>
      <c r="R30" s="1229"/>
      <c r="S30" s="1229"/>
      <c r="T30" s="1230"/>
    </row>
    <row r="31" spans="1:20">
      <c r="A31" s="180" t="s">
        <v>187</v>
      </c>
      <c r="B31" s="181" t="s">
        <v>188</v>
      </c>
      <c r="C31" s="181"/>
      <c r="D31" s="182"/>
      <c r="E31" s="183"/>
      <c r="F31" s="184"/>
      <c r="G31" s="184"/>
      <c r="H31" s="185">
        <f>SUM(G32:G35)</f>
        <v>382000</v>
      </c>
      <c r="I31" s="186">
        <f>H31/$H$233</f>
        <v>7.4660733418574265E-2</v>
      </c>
      <c r="J31" s="509">
        <f>H31/$G$4</f>
        <v>11.816747610356668</v>
      </c>
      <c r="K31" s="516"/>
      <c r="L31" s="1247"/>
      <c r="M31" s="1247"/>
      <c r="N31" s="1247"/>
      <c r="O31" s="1247"/>
      <c r="P31" s="1247"/>
      <c r="Q31" s="1247"/>
      <c r="R31" s="1247"/>
      <c r="S31" s="1247"/>
      <c r="T31" s="1247"/>
    </row>
    <row r="32" spans="1:20">
      <c r="A32" s="192"/>
      <c r="B32" s="176" t="s">
        <v>189</v>
      </c>
      <c r="C32" s="176"/>
      <c r="D32" s="175"/>
      <c r="E32" s="176"/>
      <c r="F32" s="177"/>
      <c r="G32" s="177">
        <v>12000</v>
      </c>
      <c r="H32" s="188"/>
      <c r="I32" s="179"/>
      <c r="J32" s="508"/>
      <c r="K32" s="517"/>
      <c r="L32" s="1250"/>
      <c r="M32" s="1250"/>
      <c r="N32" s="1250"/>
      <c r="O32" s="1250"/>
      <c r="P32" s="1250"/>
      <c r="Q32" s="1250"/>
      <c r="R32" s="1250"/>
      <c r="S32" s="1250"/>
      <c r="T32" s="1250"/>
    </row>
    <row r="33" spans="1:20">
      <c r="A33" s="192"/>
      <c r="B33" s="176" t="s">
        <v>190</v>
      </c>
      <c r="C33" s="176"/>
      <c r="D33" s="175"/>
      <c r="E33" s="176"/>
      <c r="F33" s="177"/>
      <c r="G33" s="177">
        <v>45000</v>
      </c>
      <c r="H33" s="188"/>
      <c r="I33" s="179"/>
      <c r="J33" s="508"/>
      <c r="K33" s="517"/>
      <c r="L33" s="1250"/>
      <c r="M33" s="1250"/>
      <c r="N33" s="1250"/>
      <c r="O33" s="1250"/>
      <c r="P33" s="1250"/>
      <c r="Q33" s="1250"/>
      <c r="R33" s="1250"/>
      <c r="S33" s="1250"/>
      <c r="T33" s="1250"/>
    </row>
    <row r="34" spans="1:20">
      <c r="A34" s="192"/>
      <c r="B34" s="176" t="s">
        <v>555</v>
      </c>
      <c r="C34" s="176">
        <v>25000</v>
      </c>
      <c r="D34" s="175"/>
      <c r="E34" s="176"/>
      <c r="F34" s="177"/>
      <c r="G34" s="177">
        <v>325000</v>
      </c>
      <c r="H34" s="188"/>
      <c r="I34" s="179"/>
      <c r="J34" s="508"/>
      <c r="K34" s="517"/>
      <c r="L34" s="1250"/>
      <c r="M34" s="1250"/>
      <c r="N34" s="1250"/>
      <c r="O34" s="1250"/>
      <c r="P34" s="1250"/>
      <c r="Q34" s="1250"/>
      <c r="R34" s="1250"/>
      <c r="S34" s="1250"/>
      <c r="T34" s="1250"/>
    </row>
    <row r="35" spans="1:20">
      <c r="A35" s="192"/>
      <c r="B35" s="176"/>
      <c r="C35" s="176"/>
      <c r="D35" s="175"/>
      <c r="E35" s="176"/>
      <c r="F35" s="177"/>
      <c r="G35" s="177"/>
      <c r="H35" s="188"/>
      <c r="I35" s="179"/>
      <c r="J35" s="508"/>
      <c r="K35" s="517"/>
      <c r="L35" s="1250"/>
      <c r="M35" s="1250"/>
      <c r="N35" s="1250"/>
      <c r="O35" s="1250"/>
      <c r="P35" s="1250"/>
      <c r="Q35" s="1250"/>
      <c r="R35" s="1250"/>
      <c r="S35" s="1250"/>
      <c r="T35" s="1250"/>
    </row>
    <row r="36" spans="1:20">
      <c r="A36" s="180" t="s">
        <v>191</v>
      </c>
      <c r="B36" s="181" t="s">
        <v>192</v>
      </c>
      <c r="C36" s="181"/>
      <c r="D36" s="182"/>
      <c r="E36" s="183"/>
      <c r="F36" s="184"/>
      <c r="G36" s="184"/>
      <c r="H36" s="185">
        <f>SUM(G37:G40)</f>
        <v>109000</v>
      </c>
      <c r="I36" s="186">
        <f>H36/$H$233</f>
        <v>2.1303717127289516E-2</v>
      </c>
      <c r="J36" s="509">
        <f>H36/$G$4</f>
        <v>3.3717944752064839</v>
      </c>
      <c r="K36" s="516"/>
      <c r="L36" s="1247"/>
      <c r="M36" s="1247"/>
      <c r="N36" s="1247"/>
      <c r="O36" s="1247"/>
      <c r="P36" s="1247"/>
      <c r="Q36" s="1247"/>
      <c r="R36" s="1247"/>
      <c r="S36" s="1247"/>
      <c r="T36" s="1247"/>
    </row>
    <row r="37" spans="1:20">
      <c r="A37" s="194"/>
      <c r="B37" s="176"/>
      <c r="C37" s="176"/>
      <c r="D37" s="175"/>
      <c r="E37" s="195"/>
      <c r="F37" s="177"/>
      <c r="G37" s="177"/>
      <c r="H37" s="188"/>
      <c r="I37" s="179"/>
      <c r="J37" s="508"/>
      <c r="K37" s="517"/>
      <c r="L37" s="1250"/>
      <c r="M37" s="1250"/>
      <c r="N37" s="1250"/>
      <c r="O37" s="1250"/>
      <c r="P37" s="1250"/>
      <c r="Q37" s="1250"/>
      <c r="R37" s="1250"/>
      <c r="S37" s="1250"/>
      <c r="T37" s="1250"/>
    </row>
    <row r="38" spans="1:20">
      <c r="A38" s="194"/>
      <c r="B38" s="160" t="s">
        <v>193</v>
      </c>
      <c r="C38" s="160"/>
      <c r="D38" s="160"/>
      <c r="E38" s="160"/>
      <c r="F38" s="161"/>
      <c r="G38" s="161">
        <v>109000</v>
      </c>
      <c r="H38" s="188"/>
      <c r="I38" s="179"/>
      <c r="J38" s="508"/>
      <c r="K38" s="517"/>
      <c r="L38" s="1250"/>
      <c r="M38" s="1250"/>
      <c r="N38" s="1250"/>
      <c r="O38" s="1250"/>
      <c r="P38" s="1250"/>
      <c r="Q38" s="1250"/>
      <c r="R38" s="1250"/>
      <c r="S38" s="1250"/>
      <c r="T38" s="1250"/>
    </row>
    <row r="39" spans="1:20">
      <c r="A39" s="194"/>
      <c r="B39" s="176"/>
      <c r="C39" s="176"/>
      <c r="D39" s="175"/>
      <c r="E39" s="195"/>
      <c r="F39" s="177"/>
      <c r="G39" s="177"/>
      <c r="H39" s="188"/>
      <c r="I39" s="179"/>
      <c r="J39" s="508"/>
      <c r="K39" s="517"/>
      <c r="L39" s="1250"/>
      <c r="M39" s="1250"/>
      <c r="N39" s="1250"/>
      <c r="O39" s="1250"/>
      <c r="P39" s="1250"/>
      <c r="Q39" s="1250"/>
      <c r="R39" s="1250"/>
      <c r="S39" s="1250"/>
      <c r="T39" s="1250"/>
    </row>
    <row r="40" spans="1:20">
      <c r="A40" s="194"/>
      <c r="B40" s="176"/>
      <c r="C40" s="176"/>
      <c r="D40" s="175"/>
      <c r="E40" s="195"/>
      <c r="F40" s="177"/>
      <c r="G40" s="177"/>
      <c r="H40" s="188"/>
      <c r="I40" s="179"/>
      <c r="J40" s="508"/>
      <c r="K40" s="517"/>
      <c r="L40" s="1250"/>
      <c r="M40" s="1250"/>
      <c r="N40" s="1250"/>
      <c r="O40" s="1250"/>
      <c r="P40" s="1250"/>
      <c r="Q40" s="1250"/>
      <c r="R40" s="1250"/>
      <c r="S40" s="1250"/>
      <c r="T40" s="1250"/>
    </row>
    <row r="41" spans="1:20">
      <c r="A41" s="180" t="s">
        <v>194</v>
      </c>
      <c r="B41" s="181" t="s">
        <v>195</v>
      </c>
      <c r="C41" s="181"/>
      <c r="D41" s="182"/>
      <c r="E41" s="183"/>
      <c r="F41" s="184"/>
      <c r="G41" s="184"/>
      <c r="H41" s="185">
        <f>SUM(G42:G45)</f>
        <v>460000</v>
      </c>
      <c r="I41" s="186">
        <f>H41/$H$233</f>
        <v>8.9905595216084183E-2</v>
      </c>
      <c r="J41" s="509">
        <f>H41/$G$4</f>
        <v>14.22959136325672</v>
      </c>
      <c r="K41" s="516"/>
      <c r="L41" s="1247"/>
      <c r="M41" s="1247"/>
      <c r="N41" s="1247"/>
      <c r="O41" s="1247"/>
      <c r="P41" s="1247"/>
      <c r="Q41" s="1247"/>
      <c r="R41" s="1247"/>
      <c r="S41" s="1247"/>
      <c r="T41" s="1247"/>
    </row>
    <row r="42" spans="1:20">
      <c r="A42" s="200"/>
      <c r="B42" s="176"/>
      <c r="C42" s="176"/>
      <c r="D42" s="175"/>
      <c r="E42" s="176"/>
      <c r="F42" s="177"/>
      <c r="G42" s="177"/>
      <c r="H42" s="188"/>
      <c r="I42" s="179"/>
      <c r="J42" s="508"/>
      <c r="K42" s="517"/>
      <c r="L42" s="1250"/>
      <c r="M42" s="1250"/>
      <c r="N42" s="1250"/>
      <c r="O42" s="1250"/>
      <c r="P42" s="1250"/>
      <c r="Q42" s="1250"/>
      <c r="R42" s="1250"/>
      <c r="S42" s="1250"/>
      <c r="T42" s="1250"/>
    </row>
    <row r="43" spans="1:20">
      <c r="A43" s="200"/>
      <c r="B43" s="176" t="s">
        <v>196</v>
      </c>
      <c r="C43" s="176">
        <v>30000</v>
      </c>
      <c r="D43" s="175"/>
      <c r="E43" s="195"/>
      <c r="F43" s="177"/>
      <c r="G43" s="177">
        <v>460000</v>
      </c>
      <c r="H43" s="188"/>
      <c r="I43" s="179"/>
      <c r="J43" s="508"/>
      <c r="K43" s="517">
        <f>G43</f>
        <v>460000</v>
      </c>
      <c r="L43" s="1250" t="s">
        <v>956</v>
      </c>
      <c r="M43" s="1250"/>
      <c r="N43" s="1250"/>
      <c r="O43" s="1250"/>
      <c r="P43" s="1250"/>
      <c r="Q43" s="1250"/>
      <c r="R43" s="1250"/>
      <c r="S43" s="1250"/>
      <c r="T43" s="1250"/>
    </row>
    <row r="44" spans="1:20">
      <c r="A44" s="200"/>
      <c r="B44" s="176"/>
      <c r="C44" s="176"/>
      <c r="D44" s="175"/>
      <c r="E44" s="176"/>
      <c r="F44" s="177"/>
      <c r="G44" s="177"/>
      <c r="H44" s="188"/>
      <c r="I44" s="179"/>
      <c r="J44" s="508"/>
      <c r="K44" s="517"/>
      <c r="L44" s="1250"/>
      <c r="M44" s="1250"/>
      <c r="N44" s="1250"/>
      <c r="O44" s="1250"/>
      <c r="P44" s="1250"/>
      <c r="Q44" s="1250"/>
      <c r="R44" s="1250"/>
      <c r="S44" s="1250"/>
      <c r="T44" s="1250"/>
    </row>
    <row r="45" spans="1:20">
      <c r="A45" s="201"/>
      <c r="B45" s="176"/>
      <c r="C45" s="176"/>
      <c r="D45" s="175"/>
      <c r="E45" s="176"/>
      <c r="F45" s="177"/>
      <c r="G45" s="177"/>
      <c r="H45" s="188"/>
      <c r="I45" s="179"/>
      <c r="J45" s="508"/>
      <c r="K45" s="517"/>
      <c r="L45" s="1250"/>
      <c r="M45" s="1250"/>
      <c r="N45" s="1250"/>
      <c r="O45" s="1250"/>
      <c r="P45" s="1250"/>
      <c r="Q45" s="1250"/>
      <c r="R45" s="1250"/>
      <c r="S45" s="1250"/>
      <c r="T45" s="1250"/>
    </row>
    <row r="46" spans="1:20">
      <c r="A46" s="180" t="s">
        <v>194</v>
      </c>
      <c r="B46" s="181" t="s">
        <v>197</v>
      </c>
      <c r="C46" s="181"/>
      <c r="D46" s="182"/>
      <c r="E46" s="183"/>
      <c r="F46" s="184"/>
      <c r="G46" s="184"/>
      <c r="H46" s="185">
        <f>SUM(G47:G50)</f>
        <v>1150000</v>
      </c>
      <c r="I46" s="186">
        <f>H46/$H$233</f>
        <v>0.22476398804021047</v>
      </c>
      <c r="J46" s="509">
        <f>H46/$G$4</f>
        <v>35.573978408141798</v>
      </c>
      <c r="K46" s="516"/>
      <c r="L46" s="1247"/>
      <c r="M46" s="1247"/>
      <c r="N46" s="1247"/>
      <c r="O46" s="1247"/>
      <c r="P46" s="1247"/>
      <c r="Q46" s="1247"/>
      <c r="R46" s="1247"/>
      <c r="S46" s="1247"/>
      <c r="T46" s="1247"/>
    </row>
    <row r="47" spans="1:20">
      <c r="A47" s="202"/>
      <c r="B47" s="176" t="s">
        <v>198</v>
      </c>
      <c r="C47" s="176">
        <f>200000+150000</f>
        <v>350000</v>
      </c>
      <c r="D47" s="175"/>
      <c r="E47" s="176"/>
      <c r="F47" s="177"/>
      <c r="G47" s="177">
        <v>1150000</v>
      </c>
      <c r="H47" s="188"/>
      <c r="I47" s="179"/>
      <c r="J47" s="508"/>
      <c r="K47" s="517"/>
      <c r="L47" s="1250" t="s">
        <v>957</v>
      </c>
      <c r="M47" s="1250"/>
      <c r="N47" s="1250"/>
      <c r="O47" s="1250"/>
      <c r="P47" s="1250"/>
      <c r="Q47" s="1250"/>
      <c r="R47" s="1250"/>
      <c r="S47" s="1250"/>
      <c r="T47" s="1250"/>
    </row>
    <row r="48" spans="1:20">
      <c r="A48" s="203"/>
      <c r="B48" s="176"/>
      <c r="C48" s="176"/>
      <c r="D48" s="175"/>
      <c r="E48" s="176"/>
      <c r="F48" s="177"/>
      <c r="G48" s="177"/>
      <c r="H48" s="188"/>
      <c r="I48" s="179"/>
      <c r="J48" s="508"/>
      <c r="K48" s="517"/>
      <c r="L48" s="1250"/>
      <c r="M48" s="1250"/>
      <c r="N48" s="1250"/>
      <c r="O48" s="1250"/>
      <c r="P48" s="1250"/>
      <c r="Q48" s="1250"/>
      <c r="R48" s="1250"/>
      <c r="S48" s="1250"/>
      <c r="T48" s="1250"/>
    </row>
    <row r="49" spans="1:20">
      <c r="A49" s="203"/>
      <c r="B49" s="176"/>
      <c r="C49" s="176"/>
      <c r="D49" s="175"/>
      <c r="E49" s="176"/>
      <c r="F49" s="177"/>
      <c r="G49" s="177"/>
      <c r="H49" s="188"/>
      <c r="I49" s="179"/>
      <c r="J49" s="508"/>
      <c r="K49" s="517"/>
      <c r="L49" s="1250"/>
      <c r="M49" s="1250"/>
      <c r="N49" s="1250"/>
      <c r="O49" s="1250"/>
      <c r="P49" s="1250"/>
      <c r="Q49" s="1250"/>
      <c r="R49" s="1250"/>
      <c r="S49" s="1250"/>
      <c r="T49" s="1250"/>
    </row>
    <row r="50" spans="1:20">
      <c r="A50" s="203"/>
      <c r="B50" s="176"/>
      <c r="C50" s="176"/>
      <c r="D50" s="175"/>
      <c r="E50" s="176"/>
      <c r="F50" s="177"/>
      <c r="G50" s="177"/>
      <c r="H50" s="188"/>
      <c r="I50" s="179"/>
      <c r="J50" s="508"/>
      <c r="K50" s="517"/>
      <c r="L50" s="1250"/>
      <c r="M50" s="1250"/>
      <c r="N50" s="1250"/>
      <c r="O50" s="1250"/>
      <c r="P50" s="1250"/>
      <c r="Q50" s="1250"/>
      <c r="R50" s="1250"/>
      <c r="S50" s="1250"/>
      <c r="T50" s="1250"/>
    </row>
    <row r="51" spans="1:20">
      <c r="A51" s="180" t="s">
        <v>199</v>
      </c>
      <c r="B51" s="181" t="s">
        <v>200</v>
      </c>
      <c r="C51" s="181"/>
      <c r="D51" s="182"/>
      <c r="E51" s="183"/>
      <c r="F51" s="184"/>
      <c r="G51" s="184"/>
      <c r="H51" s="185">
        <f>SUM(G52:G55)</f>
        <v>0</v>
      </c>
      <c r="I51" s="186">
        <f>H51/$H$233</f>
        <v>0</v>
      </c>
      <c r="J51" s="509">
        <f>H51/$G$4</f>
        <v>0</v>
      </c>
      <c r="K51" s="516"/>
      <c r="L51" s="1247"/>
      <c r="M51" s="1247"/>
      <c r="N51" s="1247"/>
      <c r="O51" s="1247"/>
      <c r="P51" s="1247"/>
      <c r="Q51" s="1247"/>
      <c r="R51" s="1247"/>
      <c r="S51" s="1247"/>
      <c r="T51" s="1247"/>
    </row>
    <row r="52" spans="1:20">
      <c r="A52" s="200"/>
      <c r="B52" s="176"/>
      <c r="C52" s="176"/>
      <c r="D52" s="175"/>
      <c r="E52" s="195"/>
      <c r="F52" s="177"/>
      <c r="G52" s="177"/>
      <c r="H52" s="188"/>
      <c r="I52" s="179"/>
      <c r="J52" s="508"/>
      <c r="K52" s="517"/>
      <c r="L52" s="1250"/>
      <c r="M52" s="1250"/>
      <c r="N52" s="1250"/>
      <c r="O52" s="1250"/>
      <c r="P52" s="1250"/>
      <c r="Q52" s="1250"/>
      <c r="R52" s="1250"/>
      <c r="S52" s="1250"/>
      <c r="T52" s="1250"/>
    </row>
    <row r="53" spans="1:20">
      <c r="A53" s="200"/>
      <c r="B53" s="176"/>
      <c r="C53" s="176"/>
      <c r="D53" s="175"/>
      <c r="E53" s="195"/>
      <c r="F53" s="177"/>
      <c r="G53" s="177"/>
      <c r="H53" s="188"/>
      <c r="I53" s="179"/>
      <c r="J53" s="508"/>
      <c r="K53" s="517"/>
      <c r="L53" s="1250"/>
      <c r="M53" s="1250"/>
      <c r="N53" s="1250"/>
      <c r="O53" s="1250"/>
      <c r="P53" s="1250"/>
      <c r="Q53" s="1250"/>
      <c r="R53" s="1250"/>
      <c r="S53" s="1250"/>
      <c r="T53" s="1250"/>
    </row>
    <row r="54" spans="1:20">
      <c r="A54" s="200"/>
      <c r="B54" s="176"/>
      <c r="C54" s="176"/>
      <c r="D54" s="175"/>
      <c r="E54" s="195"/>
      <c r="F54" s="177"/>
      <c r="G54" s="177"/>
      <c r="H54" s="188"/>
      <c r="I54" s="179"/>
      <c r="J54" s="508"/>
      <c r="K54" s="517"/>
      <c r="L54" s="1250"/>
      <c r="M54" s="1250"/>
      <c r="N54" s="1250"/>
      <c r="O54" s="1250"/>
      <c r="P54" s="1250"/>
      <c r="Q54" s="1250"/>
      <c r="R54" s="1250"/>
      <c r="S54" s="1250"/>
      <c r="T54" s="1250"/>
    </row>
    <row r="55" spans="1:20">
      <c r="A55" s="200"/>
      <c r="B55" s="176"/>
      <c r="C55" s="176"/>
      <c r="D55" s="175"/>
      <c r="E55" s="195"/>
      <c r="F55" s="177"/>
      <c r="G55" s="177"/>
      <c r="H55" s="188"/>
      <c r="I55" s="179"/>
      <c r="J55" s="508"/>
      <c r="K55" s="517"/>
      <c r="L55" s="1250"/>
      <c r="M55" s="1250"/>
      <c r="N55" s="1250"/>
      <c r="O55" s="1250"/>
      <c r="P55" s="1250"/>
      <c r="Q55" s="1250"/>
      <c r="R55" s="1250"/>
      <c r="S55" s="1250"/>
      <c r="T55" s="1250"/>
    </row>
    <row r="56" spans="1:20">
      <c r="A56" s="180" t="s">
        <v>199</v>
      </c>
      <c r="B56" s="181" t="s">
        <v>201</v>
      </c>
      <c r="C56" s="181"/>
      <c r="D56" s="182"/>
      <c r="E56" s="183"/>
      <c r="F56" s="184"/>
      <c r="G56" s="184"/>
      <c r="H56" s="185">
        <f>SUM(G57:G60)</f>
        <v>16500</v>
      </c>
      <c r="I56" s="186">
        <f>H56/$H$233</f>
        <v>3.2248746110117156E-3</v>
      </c>
      <c r="J56" s="509">
        <f>H56/$G$4</f>
        <v>0.510409255421165</v>
      </c>
      <c r="K56" s="516"/>
      <c r="L56" s="1247"/>
      <c r="M56" s="1247"/>
      <c r="N56" s="1247"/>
      <c r="O56" s="1247"/>
      <c r="P56" s="1247"/>
      <c r="Q56" s="1247"/>
      <c r="R56" s="1247"/>
      <c r="S56" s="1247"/>
      <c r="T56" s="1247"/>
    </row>
    <row r="57" spans="1:20">
      <c r="A57" s="200"/>
      <c r="B57" s="176"/>
      <c r="C57" s="176"/>
      <c r="D57" s="175"/>
      <c r="E57" s="176"/>
      <c r="F57" s="177"/>
      <c r="G57" s="177"/>
      <c r="H57" s="188"/>
      <c r="I57" s="179"/>
      <c r="J57" s="510"/>
      <c r="K57" s="518"/>
      <c r="L57" s="1250"/>
      <c r="M57" s="1250"/>
      <c r="N57" s="1250"/>
      <c r="O57" s="1250"/>
      <c r="P57" s="1250"/>
      <c r="Q57" s="1250"/>
      <c r="R57" s="1250"/>
      <c r="S57" s="1250"/>
      <c r="T57" s="1250"/>
    </row>
    <row r="58" spans="1:20">
      <c r="A58" s="200"/>
      <c r="B58" s="176" t="s">
        <v>556</v>
      </c>
      <c r="C58" s="176">
        <v>10000</v>
      </c>
      <c r="D58" s="175"/>
      <c r="E58" s="176"/>
      <c r="F58" s="177"/>
      <c r="G58" s="177">
        <v>16500</v>
      </c>
      <c r="H58" s="188"/>
      <c r="I58" s="179"/>
      <c r="J58" s="510"/>
      <c r="K58" s="518"/>
      <c r="L58" s="1250"/>
      <c r="M58" s="1250"/>
      <c r="N58" s="1250"/>
      <c r="O58" s="1250"/>
      <c r="P58" s="1250"/>
      <c r="Q58" s="1250"/>
      <c r="R58" s="1250"/>
      <c r="S58" s="1250"/>
      <c r="T58" s="1250"/>
    </row>
    <row r="59" spans="1:20">
      <c r="A59" s="200"/>
      <c r="B59" s="176"/>
      <c r="C59" s="176"/>
      <c r="D59" s="175"/>
      <c r="E59" s="176"/>
      <c r="F59" s="177"/>
      <c r="G59" s="177"/>
      <c r="H59" s="188"/>
      <c r="I59" s="179"/>
      <c r="J59" s="510"/>
      <c r="K59" s="518"/>
      <c r="L59" s="1250"/>
      <c r="M59" s="1250"/>
      <c r="N59" s="1250"/>
      <c r="O59" s="1250"/>
      <c r="P59" s="1250"/>
      <c r="Q59" s="1250"/>
      <c r="R59" s="1250"/>
      <c r="S59" s="1250"/>
      <c r="T59" s="1250"/>
    </row>
    <row r="60" spans="1:20">
      <c r="A60" s="200"/>
      <c r="B60" s="176"/>
      <c r="C60" s="176"/>
      <c r="D60" s="175"/>
      <c r="E60" s="176"/>
      <c r="F60" s="177"/>
      <c r="G60" s="177"/>
      <c r="H60" s="188"/>
      <c r="I60" s="179"/>
      <c r="J60" s="510"/>
      <c r="K60" s="518"/>
      <c r="L60" s="1250"/>
      <c r="M60" s="1250"/>
      <c r="N60" s="1250"/>
      <c r="O60" s="1250"/>
      <c r="P60" s="1250"/>
      <c r="Q60" s="1250"/>
      <c r="R60" s="1250"/>
      <c r="S60" s="1250"/>
      <c r="T60" s="1250"/>
    </row>
    <row r="61" spans="1:20">
      <c r="A61" s="180" t="s">
        <v>203</v>
      </c>
      <c r="B61" s="181" t="s">
        <v>204</v>
      </c>
      <c r="C61" s="181"/>
      <c r="D61" s="182"/>
      <c r="E61" s="183"/>
      <c r="F61" s="184"/>
      <c r="G61" s="184"/>
      <c r="H61" s="185">
        <f>SUM(G62:G65)</f>
        <v>10000</v>
      </c>
      <c r="I61" s="186">
        <f>H61/$H$233</f>
        <v>1.9544694612192216E-3</v>
      </c>
      <c r="J61" s="509">
        <f>H61/$G$4</f>
        <v>0.30933894267949391</v>
      </c>
      <c r="K61" s="516"/>
      <c r="L61" s="1247"/>
      <c r="M61" s="1247"/>
      <c r="N61" s="1247"/>
      <c r="O61" s="1247"/>
      <c r="P61" s="1247"/>
      <c r="Q61" s="1247"/>
      <c r="R61" s="1247"/>
      <c r="S61" s="1247"/>
      <c r="T61" s="1247"/>
    </row>
    <row r="62" spans="1:20">
      <c r="A62" s="200"/>
      <c r="B62" s="176" t="s">
        <v>202</v>
      </c>
      <c r="C62" s="176">
        <v>-15000</v>
      </c>
      <c r="D62" s="175"/>
      <c r="E62" s="176"/>
      <c r="F62" s="177"/>
      <c r="G62" s="177">
        <v>10000</v>
      </c>
      <c r="H62" s="188"/>
      <c r="I62" s="179"/>
      <c r="J62" s="510"/>
      <c r="K62" s="518"/>
      <c r="L62" s="1250"/>
      <c r="M62" s="1250"/>
      <c r="N62" s="1250"/>
      <c r="O62" s="1250"/>
      <c r="P62" s="1250"/>
      <c r="Q62" s="1250"/>
      <c r="R62" s="1250"/>
      <c r="S62" s="1250"/>
      <c r="T62" s="1250"/>
    </row>
    <row r="63" spans="1:20">
      <c r="A63" s="200"/>
      <c r="B63" s="176"/>
      <c r="C63" s="176"/>
      <c r="D63" s="175"/>
      <c r="E63" s="176"/>
      <c r="F63" s="177"/>
      <c r="G63" s="177"/>
      <c r="H63" s="188"/>
      <c r="I63" s="179"/>
      <c r="J63" s="510"/>
      <c r="K63" s="518"/>
      <c r="L63" s="1250"/>
      <c r="M63" s="1250"/>
      <c r="N63" s="1250"/>
      <c r="O63" s="1250"/>
      <c r="P63" s="1250"/>
      <c r="Q63" s="1250"/>
      <c r="R63" s="1250"/>
      <c r="S63" s="1250"/>
      <c r="T63" s="1250"/>
    </row>
    <row r="64" spans="1:20">
      <c r="A64" s="200"/>
      <c r="B64" s="176"/>
      <c r="C64" s="176"/>
      <c r="D64" s="175"/>
      <c r="E64" s="176"/>
      <c r="F64" s="177"/>
      <c r="G64" s="177"/>
      <c r="H64" s="188"/>
      <c r="I64" s="179"/>
      <c r="J64" s="510"/>
      <c r="K64" s="518"/>
      <c r="L64" s="1250"/>
      <c r="M64" s="1250"/>
      <c r="N64" s="1250"/>
      <c r="O64" s="1250"/>
      <c r="P64" s="1250"/>
      <c r="Q64" s="1250"/>
      <c r="R64" s="1250"/>
      <c r="S64" s="1250"/>
      <c r="T64" s="1250"/>
    </row>
    <row r="65" spans="1:20">
      <c r="A65" s="200"/>
      <c r="B65" s="176"/>
      <c r="C65" s="176"/>
      <c r="D65" s="175"/>
      <c r="E65" s="176"/>
      <c r="F65" s="177"/>
      <c r="G65" s="177"/>
      <c r="H65" s="188"/>
      <c r="I65" s="179"/>
      <c r="J65" s="510"/>
      <c r="K65" s="518"/>
      <c r="L65" s="1250"/>
      <c r="M65" s="1250"/>
      <c r="N65" s="1250"/>
      <c r="O65" s="1250"/>
      <c r="P65" s="1250"/>
      <c r="Q65" s="1250"/>
      <c r="R65" s="1250"/>
      <c r="S65" s="1250"/>
      <c r="T65" s="1250"/>
    </row>
    <row r="66" spans="1:20">
      <c r="A66" s="180" t="s">
        <v>203</v>
      </c>
      <c r="B66" s="181" t="s">
        <v>205</v>
      </c>
      <c r="C66" s="181"/>
      <c r="D66" s="182"/>
      <c r="E66" s="183"/>
      <c r="F66" s="184"/>
      <c r="G66" s="184"/>
      <c r="H66" s="185">
        <f>SUM(G67:G70)</f>
        <v>50000</v>
      </c>
      <c r="I66" s="186">
        <f>H66/$H$233</f>
        <v>9.7723473060961075E-3</v>
      </c>
      <c r="J66" s="509">
        <f>H66/$G$4</f>
        <v>1.5466947133974696</v>
      </c>
      <c r="K66" s="515"/>
      <c r="L66" s="1225"/>
      <c r="M66" s="1226"/>
      <c r="N66" s="1226"/>
      <c r="O66" s="1226"/>
      <c r="P66" s="1226"/>
      <c r="Q66" s="1226"/>
      <c r="R66" s="1226"/>
      <c r="S66" s="1226"/>
      <c r="T66" s="1227"/>
    </row>
    <row r="67" spans="1:20">
      <c r="A67" s="192"/>
      <c r="B67" s="176" t="s">
        <v>206</v>
      </c>
      <c r="C67" s="166">
        <v>-35000</v>
      </c>
      <c r="D67" s="175"/>
      <c r="E67" s="176"/>
      <c r="F67" s="193"/>
      <c r="G67" s="177">
        <v>50000</v>
      </c>
      <c r="H67" s="188"/>
      <c r="I67" s="179"/>
      <c r="J67" s="508"/>
      <c r="K67" s="514"/>
      <c r="L67" s="1250" t="s">
        <v>1024</v>
      </c>
      <c r="M67" s="1250"/>
      <c r="N67" s="1250"/>
      <c r="O67" s="1250"/>
      <c r="P67" s="1250"/>
      <c r="Q67" s="1250"/>
      <c r="R67" s="1250"/>
      <c r="S67" s="1250"/>
      <c r="T67" s="1250"/>
    </row>
    <row r="68" spans="1:20">
      <c r="A68" s="192"/>
      <c r="B68" s="176"/>
      <c r="C68" s="166"/>
      <c r="D68" s="175"/>
      <c r="E68" s="176"/>
      <c r="F68" s="193"/>
      <c r="G68" s="177"/>
      <c r="H68" s="188"/>
      <c r="I68" s="179"/>
      <c r="J68" s="508"/>
      <c r="K68" s="514"/>
      <c r="L68" s="1228"/>
      <c r="M68" s="1229"/>
      <c r="N68" s="1229"/>
      <c r="O68" s="1229"/>
      <c r="P68" s="1229"/>
      <c r="Q68" s="1229"/>
      <c r="R68" s="1229"/>
      <c r="S68" s="1229"/>
      <c r="T68" s="1230"/>
    </row>
    <row r="69" spans="1:20">
      <c r="A69" s="192"/>
      <c r="B69" s="176"/>
      <c r="C69" s="166"/>
      <c r="D69" s="175"/>
      <c r="E69" s="176"/>
      <c r="F69" s="193"/>
      <c r="G69" s="177"/>
      <c r="H69" s="188"/>
      <c r="I69" s="179"/>
      <c r="J69" s="508"/>
      <c r="K69" s="514"/>
      <c r="L69" s="1228"/>
      <c r="M69" s="1229"/>
      <c r="N69" s="1229"/>
      <c r="O69" s="1229"/>
      <c r="P69" s="1229"/>
      <c r="Q69" s="1229"/>
      <c r="R69" s="1229"/>
      <c r="S69" s="1229"/>
      <c r="T69" s="1230"/>
    </row>
    <row r="70" spans="1:20">
      <c r="A70" s="194"/>
      <c r="B70" s="176"/>
      <c r="C70" s="176"/>
      <c r="D70" s="175"/>
      <c r="E70" s="195"/>
      <c r="F70" s="161"/>
      <c r="G70" s="177"/>
      <c r="H70" s="188"/>
      <c r="I70" s="179"/>
      <c r="J70" s="508"/>
      <c r="K70" s="517"/>
      <c r="L70" s="1250"/>
      <c r="M70" s="1250"/>
      <c r="N70" s="1250"/>
      <c r="O70" s="1250"/>
      <c r="P70" s="1250"/>
      <c r="Q70" s="1250"/>
      <c r="R70" s="1250"/>
      <c r="S70" s="1250"/>
      <c r="T70" s="1250"/>
    </row>
    <row r="71" spans="1:20">
      <c r="A71" s="180" t="s">
        <v>203</v>
      </c>
      <c r="B71" s="181" t="s">
        <v>207</v>
      </c>
      <c r="C71" s="181"/>
      <c r="D71" s="182"/>
      <c r="E71" s="183"/>
      <c r="F71" s="184"/>
      <c r="G71" s="184"/>
      <c r="H71" s="185">
        <f>SUM(G72:G75)</f>
        <v>15000</v>
      </c>
      <c r="I71" s="186">
        <f>H71/$H$233</f>
        <v>2.9317041918288322E-3</v>
      </c>
      <c r="J71" s="509">
        <f>H71/$G$4</f>
        <v>0.46400841401924087</v>
      </c>
      <c r="K71" s="515"/>
      <c r="L71" s="1244"/>
      <c r="M71" s="1245"/>
      <c r="N71" s="1245"/>
      <c r="O71" s="1245"/>
      <c r="P71" s="1245"/>
      <c r="Q71" s="1245"/>
      <c r="R71" s="1245"/>
      <c r="S71" s="1245"/>
      <c r="T71" s="1246"/>
    </row>
    <row r="72" spans="1:20">
      <c r="A72" s="192"/>
      <c r="B72" s="176" t="s">
        <v>208</v>
      </c>
      <c r="C72" s="176"/>
      <c r="D72" s="175"/>
      <c r="E72" s="176"/>
      <c r="F72" s="177"/>
      <c r="G72" s="177">
        <v>15000</v>
      </c>
      <c r="H72" s="188"/>
      <c r="I72" s="179"/>
      <c r="J72" s="508"/>
      <c r="K72" s="514"/>
      <c r="L72" s="1228" t="s">
        <v>264</v>
      </c>
      <c r="M72" s="1229"/>
      <c r="N72" s="1229"/>
      <c r="O72" s="1229"/>
      <c r="P72" s="1229"/>
      <c r="Q72" s="1229"/>
      <c r="R72" s="1229"/>
      <c r="S72" s="1229"/>
      <c r="T72" s="1230"/>
    </row>
    <row r="73" spans="1:20">
      <c r="A73" s="192"/>
      <c r="B73" s="160"/>
      <c r="C73" s="176"/>
      <c r="D73" s="175"/>
      <c r="E73" s="176"/>
      <c r="F73" s="177"/>
      <c r="G73" s="177"/>
      <c r="H73" s="188"/>
      <c r="I73" s="179"/>
      <c r="J73" s="508"/>
      <c r="K73" s="514"/>
      <c r="L73" s="1228"/>
      <c r="M73" s="1229"/>
      <c r="N73" s="1229"/>
      <c r="O73" s="1229"/>
      <c r="P73" s="1229"/>
      <c r="Q73" s="1229"/>
      <c r="R73" s="1229"/>
      <c r="S73" s="1229"/>
      <c r="T73" s="1230"/>
    </row>
    <row r="74" spans="1:20">
      <c r="A74" s="192"/>
      <c r="B74" s="176"/>
      <c r="C74" s="176"/>
      <c r="D74" s="175"/>
      <c r="E74" s="176"/>
      <c r="F74" s="177"/>
      <c r="G74" s="177"/>
      <c r="H74" s="188"/>
      <c r="I74" s="179"/>
      <c r="J74" s="508"/>
      <c r="K74" s="514"/>
      <c r="L74" s="1228"/>
      <c r="M74" s="1229"/>
      <c r="N74" s="1229"/>
      <c r="O74" s="1229"/>
      <c r="P74" s="1229"/>
      <c r="Q74" s="1229"/>
      <c r="R74" s="1229"/>
      <c r="S74" s="1229"/>
      <c r="T74" s="1230"/>
    </row>
    <row r="75" spans="1:20">
      <c r="A75" s="192"/>
      <c r="B75" s="176"/>
      <c r="C75" s="176"/>
      <c r="D75" s="175"/>
      <c r="E75" s="176"/>
      <c r="F75" s="177"/>
      <c r="G75" s="177"/>
      <c r="H75" s="188"/>
      <c r="I75" s="179"/>
      <c r="J75" s="508"/>
      <c r="K75" s="514"/>
      <c r="L75" s="1228"/>
      <c r="M75" s="1229"/>
      <c r="N75" s="1229"/>
      <c r="O75" s="1229"/>
      <c r="P75" s="1229"/>
      <c r="Q75" s="1229"/>
      <c r="R75" s="1229"/>
      <c r="S75" s="1229"/>
      <c r="T75" s="1230"/>
    </row>
    <row r="76" spans="1:20">
      <c r="A76" s="180" t="s">
        <v>203</v>
      </c>
      <c r="B76" s="181" t="s">
        <v>209</v>
      </c>
      <c r="C76" s="181"/>
      <c r="D76" s="182"/>
      <c r="E76" s="183"/>
      <c r="F76" s="184"/>
      <c r="G76" s="184"/>
      <c r="H76" s="185">
        <f>SUM(G77:G80)</f>
        <v>7500</v>
      </c>
      <c r="I76" s="186">
        <f>H76/$H$233</f>
        <v>1.4658520959144161E-3</v>
      </c>
      <c r="J76" s="509">
        <f>H76/$G$4</f>
        <v>0.23200420700962043</v>
      </c>
      <c r="K76" s="516"/>
      <c r="L76" s="1247"/>
      <c r="M76" s="1247"/>
      <c r="N76" s="1247"/>
      <c r="O76" s="1247"/>
      <c r="P76" s="1247"/>
      <c r="Q76" s="1247"/>
      <c r="R76" s="1247"/>
      <c r="S76" s="1247"/>
      <c r="T76" s="1247"/>
    </row>
    <row r="77" spans="1:20">
      <c r="A77" s="203"/>
      <c r="B77" s="176" t="s">
        <v>202</v>
      </c>
      <c r="C77" s="176"/>
      <c r="D77" s="175"/>
      <c r="E77" s="176"/>
      <c r="F77" s="177"/>
      <c r="G77" s="177">
        <v>7500</v>
      </c>
      <c r="H77" s="188"/>
      <c r="I77" s="179"/>
      <c r="J77" s="508"/>
      <c r="K77" s="517"/>
      <c r="L77" s="1250"/>
      <c r="M77" s="1250"/>
      <c r="N77" s="1250"/>
      <c r="O77" s="1250"/>
      <c r="P77" s="1250"/>
      <c r="Q77" s="1250"/>
      <c r="R77" s="1250"/>
      <c r="S77" s="1250"/>
      <c r="T77" s="1250"/>
    </row>
    <row r="78" spans="1:20">
      <c r="A78" s="203"/>
      <c r="B78" s="176"/>
      <c r="C78" s="176"/>
      <c r="D78" s="175"/>
      <c r="E78" s="176"/>
      <c r="F78" s="177"/>
      <c r="G78" s="177"/>
      <c r="H78" s="188"/>
      <c r="I78" s="179"/>
      <c r="J78" s="508"/>
      <c r="K78" s="517"/>
      <c r="L78" s="1250"/>
      <c r="M78" s="1250"/>
      <c r="N78" s="1250"/>
      <c r="O78" s="1250"/>
      <c r="P78" s="1250"/>
      <c r="Q78" s="1250"/>
      <c r="R78" s="1250"/>
      <c r="S78" s="1250"/>
      <c r="T78" s="1250"/>
    </row>
    <row r="79" spans="1:20">
      <c r="A79" s="203"/>
      <c r="B79" s="176"/>
      <c r="C79" s="176"/>
      <c r="D79" s="175"/>
      <c r="E79" s="176"/>
      <c r="F79" s="177"/>
      <c r="G79" s="177"/>
      <c r="H79" s="188"/>
      <c r="I79" s="179"/>
      <c r="J79" s="508"/>
      <c r="K79" s="517"/>
      <c r="L79" s="1250"/>
      <c r="M79" s="1250"/>
      <c r="N79" s="1250"/>
      <c r="O79" s="1250"/>
      <c r="P79" s="1250"/>
      <c r="Q79" s="1250"/>
      <c r="R79" s="1250"/>
      <c r="S79" s="1250"/>
      <c r="T79" s="1250"/>
    </row>
    <row r="80" spans="1:20">
      <c r="A80" s="203"/>
      <c r="B80" s="176"/>
      <c r="C80" s="176"/>
      <c r="D80" s="175"/>
      <c r="E80" s="176"/>
      <c r="F80" s="177"/>
      <c r="G80" s="177"/>
      <c r="H80" s="188"/>
      <c r="I80" s="179"/>
      <c r="J80" s="508"/>
      <c r="K80" s="517"/>
      <c r="L80" s="1250"/>
      <c r="M80" s="1250"/>
      <c r="N80" s="1250"/>
      <c r="O80" s="1250"/>
      <c r="P80" s="1250"/>
      <c r="Q80" s="1250"/>
      <c r="R80" s="1250"/>
      <c r="S80" s="1250"/>
      <c r="T80" s="1250"/>
    </row>
    <row r="81" spans="1:20">
      <c r="A81" s="180" t="s">
        <v>203</v>
      </c>
      <c r="B81" s="181" t="s">
        <v>210</v>
      </c>
      <c r="C81" s="181"/>
      <c r="D81" s="182"/>
      <c r="E81" s="183"/>
      <c r="F81" s="184"/>
      <c r="G81" s="184"/>
      <c r="H81" s="185">
        <f>SUM(G82:G85)</f>
        <v>9000</v>
      </c>
      <c r="I81" s="186">
        <f>H81/$H$233</f>
        <v>1.7590225150972993E-3</v>
      </c>
      <c r="J81" s="509">
        <f>H81/$G$4</f>
        <v>0.27840504841154451</v>
      </c>
      <c r="K81" s="516"/>
      <c r="L81" s="1247"/>
      <c r="M81" s="1247"/>
      <c r="N81" s="1247"/>
      <c r="O81" s="1247"/>
      <c r="P81" s="1247"/>
      <c r="Q81" s="1247"/>
      <c r="R81" s="1247"/>
      <c r="S81" s="1247"/>
      <c r="T81" s="1247"/>
    </row>
    <row r="82" spans="1:20">
      <c r="A82" s="192"/>
      <c r="B82" s="176" t="s">
        <v>202</v>
      </c>
      <c r="C82" s="176"/>
      <c r="D82" s="175"/>
      <c r="E82" s="176"/>
      <c r="F82" s="177"/>
      <c r="G82" s="177">
        <v>9000</v>
      </c>
      <c r="H82" s="188"/>
      <c r="I82" s="179"/>
      <c r="J82" s="508"/>
      <c r="K82" s="517"/>
      <c r="L82" s="1250"/>
      <c r="M82" s="1250"/>
      <c r="N82" s="1250"/>
      <c r="O82" s="1250"/>
      <c r="P82" s="1250"/>
      <c r="Q82" s="1250"/>
      <c r="R82" s="1250"/>
      <c r="S82" s="1250"/>
      <c r="T82" s="1250"/>
    </row>
    <row r="83" spans="1:20">
      <c r="A83" s="192"/>
      <c r="B83" s="176"/>
      <c r="C83" s="176"/>
      <c r="D83" s="175"/>
      <c r="E83" s="176"/>
      <c r="F83" s="177"/>
      <c r="G83" s="177"/>
      <c r="H83" s="188"/>
      <c r="I83" s="179"/>
      <c r="J83" s="508"/>
      <c r="K83" s="517"/>
      <c r="L83" s="1250"/>
      <c r="M83" s="1250"/>
      <c r="N83" s="1250"/>
      <c r="O83" s="1250"/>
      <c r="P83" s="1250"/>
      <c r="Q83" s="1250"/>
      <c r="R83" s="1250"/>
      <c r="S83" s="1250"/>
      <c r="T83" s="1250"/>
    </row>
    <row r="84" spans="1:20">
      <c r="A84" s="192"/>
      <c r="B84" s="176"/>
      <c r="C84" s="176"/>
      <c r="D84" s="175"/>
      <c r="E84" s="176"/>
      <c r="F84" s="177"/>
      <c r="G84" s="177"/>
      <c r="H84" s="188"/>
      <c r="I84" s="179"/>
      <c r="J84" s="508"/>
      <c r="K84" s="517"/>
      <c r="L84" s="1250"/>
      <c r="M84" s="1250"/>
      <c r="N84" s="1250"/>
      <c r="O84" s="1250"/>
      <c r="P84" s="1250"/>
      <c r="Q84" s="1250"/>
      <c r="R84" s="1250"/>
      <c r="S84" s="1250"/>
      <c r="T84" s="1250"/>
    </row>
    <row r="85" spans="1:20">
      <c r="A85" s="192"/>
      <c r="B85" s="176"/>
      <c r="C85" s="176"/>
      <c r="D85" s="175"/>
      <c r="E85" s="176"/>
      <c r="F85" s="177"/>
      <c r="G85" s="177"/>
      <c r="H85" s="188"/>
      <c r="I85" s="179"/>
      <c r="J85" s="508"/>
      <c r="K85" s="517"/>
      <c r="L85" s="1250"/>
      <c r="M85" s="1250"/>
      <c r="N85" s="1250"/>
      <c r="O85" s="1250"/>
      <c r="P85" s="1250"/>
      <c r="Q85" s="1250"/>
      <c r="R85" s="1250"/>
      <c r="S85" s="1250"/>
      <c r="T85" s="1250"/>
    </row>
    <row r="86" spans="1:20">
      <c r="A86" s="180" t="s">
        <v>203</v>
      </c>
      <c r="B86" s="181" t="s">
        <v>211</v>
      </c>
      <c r="C86" s="181"/>
      <c r="D86" s="182"/>
      <c r="E86" s="183"/>
      <c r="F86" s="184"/>
      <c r="G86" s="184"/>
      <c r="H86" s="185">
        <f>SUM(G87:G90)</f>
        <v>0</v>
      </c>
      <c r="I86" s="186">
        <f>H86/$H$233</f>
        <v>0</v>
      </c>
      <c r="J86" s="509">
        <f>H86/$G$4</f>
        <v>0</v>
      </c>
      <c r="K86" s="516"/>
      <c r="L86" s="1247"/>
      <c r="M86" s="1247"/>
      <c r="N86" s="1247"/>
      <c r="O86" s="1247"/>
      <c r="P86" s="1247"/>
      <c r="Q86" s="1247"/>
      <c r="R86" s="1247"/>
      <c r="S86" s="1247"/>
      <c r="T86" s="1247"/>
    </row>
    <row r="87" spans="1:20">
      <c r="A87" s="192"/>
      <c r="B87" s="176"/>
      <c r="C87" s="176"/>
      <c r="D87" s="175"/>
      <c r="E87" s="176"/>
      <c r="F87" s="177"/>
      <c r="G87" s="177"/>
      <c r="H87" s="188"/>
      <c r="I87" s="179"/>
      <c r="J87" s="508"/>
      <c r="K87" s="517"/>
      <c r="L87" s="1250"/>
      <c r="M87" s="1250"/>
      <c r="N87" s="1250"/>
      <c r="O87" s="1250"/>
      <c r="P87" s="1250"/>
      <c r="Q87" s="1250"/>
      <c r="R87" s="1250"/>
      <c r="S87" s="1250"/>
      <c r="T87" s="1250"/>
    </row>
    <row r="88" spans="1:20">
      <c r="A88" s="192"/>
      <c r="B88" s="176"/>
      <c r="C88" s="176"/>
      <c r="D88" s="175"/>
      <c r="E88" s="176"/>
      <c r="F88" s="177"/>
      <c r="G88" s="177"/>
      <c r="H88" s="188"/>
      <c r="I88" s="179"/>
      <c r="J88" s="508"/>
      <c r="K88" s="517"/>
      <c r="L88" s="1250"/>
      <c r="M88" s="1250"/>
      <c r="N88" s="1250"/>
      <c r="O88" s="1250"/>
      <c r="P88" s="1250"/>
      <c r="Q88" s="1250"/>
      <c r="R88" s="1250"/>
      <c r="S88" s="1250"/>
      <c r="T88" s="1250"/>
    </row>
    <row r="89" spans="1:20">
      <c r="A89" s="192"/>
      <c r="B89" s="176"/>
      <c r="C89" s="176"/>
      <c r="D89" s="175"/>
      <c r="E89" s="176"/>
      <c r="F89" s="177"/>
      <c r="G89" s="177"/>
      <c r="H89" s="188"/>
      <c r="I89" s="179"/>
      <c r="J89" s="508"/>
      <c r="K89" s="517"/>
      <c r="L89" s="1250"/>
      <c r="M89" s="1250"/>
      <c r="N89" s="1250"/>
      <c r="O89" s="1250"/>
      <c r="P89" s="1250"/>
      <c r="Q89" s="1250"/>
      <c r="R89" s="1250"/>
      <c r="S89" s="1250"/>
      <c r="T89" s="1250"/>
    </row>
    <row r="90" spans="1:20">
      <c r="A90" s="192"/>
      <c r="B90" s="176"/>
      <c r="C90" s="176"/>
      <c r="D90" s="175"/>
      <c r="E90" s="176"/>
      <c r="F90" s="177"/>
      <c r="G90" s="177"/>
      <c r="H90" s="188"/>
      <c r="I90" s="179"/>
      <c r="J90" s="508"/>
      <c r="K90" s="517"/>
      <c r="L90" s="1250"/>
      <c r="M90" s="1250"/>
      <c r="N90" s="1250"/>
      <c r="O90" s="1250"/>
      <c r="P90" s="1250"/>
      <c r="Q90" s="1250"/>
      <c r="R90" s="1250"/>
      <c r="S90" s="1250"/>
      <c r="T90" s="1250"/>
    </row>
    <row r="91" spans="1:20">
      <c r="A91" s="180" t="s">
        <v>212</v>
      </c>
      <c r="B91" s="181" t="s">
        <v>213</v>
      </c>
      <c r="C91" s="181"/>
      <c r="D91" s="182"/>
      <c r="E91" s="183"/>
      <c r="F91" s="184"/>
      <c r="G91" s="184"/>
      <c r="H91" s="185">
        <f>SUM(G92:G95)</f>
        <v>29400</v>
      </c>
      <c r="I91" s="186">
        <f>H91/$H$233</f>
        <v>5.7461402159845109E-3</v>
      </c>
      <c r="J91" s="509">
        <f>H91/$G$4</f>
        <v>0.90945649147771213</v>
      </c>
      <c r="K91" s="516"/>
      <c r="L91" s="1247"/>
      <c r="M91" s="1247"/>
      <c r="N91" s="1247"/>
      <c r="O91" s="1247"/>
      <c r="P91" s="1247"/>
      <c r="Q91" s="1247"/>
      <c r="R91" s="1247"/>
      <c r="S91" s="1247"/>
      <c r="T91" s="1247"/>
    </row>
    <row r="92" spans="1:20">
      <c r="A92" s="194"/>
      <c r="B92" s="176" t="s">
        <v>215</v>
      </c>
      <c r="C92" s="176"/>
      <c r="D92" s="175"/>
      <c r="E92" s="195"/>
      <c r="F92" s="177"/>
      <c r="G92" s="177">
        <v>21000</v>
      </c>
      <c r="H92" s="188"/>
      <c r="I92" s="179"/>
      <c r="J92" s="508"/>
      <c r="K92" s="517"/>
      <c r="L92" s="1250"/>
      <c r="M92" s="1250"/>
      <c r="N92" s="1250"/>
      <c r="O92" s="1250"/>
      <c r="P92" s="1250"/>
      <c r="Q92" s="1250"/>
      <c r="R92" s="1250"/>
      <c r="S92" s="1250"/>
      <c r="T92" s="1250"/>
    </row>
    <row r="93" spans="1:20">
      <c r="A93" s="194"/>
      <c r="B93" s="176" t="s">
        <v>251</v>
      </c>
      <c r="C93" s="176"/>
      <c r="D93" s="175"/>
      <c r="E93" s="195"/>
      <c r="F93" s="177"/>
      <c r="G93" s="177">
        <v>8400</v>
      </c>
      <c r="H93" s="188"/>
      <c r="I93" s="179"/>
      <c r="J93" s="508"/>
      <c r="K93" s="517"/>
      <c r="L93" s="1250"/>
      <c r="M93" s="1250"/>
      <c r="N93" s="1250"/>
      <c r="O93" s="1250"/>
      <c r="P93" s="1250"/>
      <c r="Q93" s="1250"/>
      <c r="R93" s="1250"/>
      <c r="S93" s="1250"/>
      <c r="T93" s="1250"/>
    </row>
    <row r="94" spans="1:20">
      <c r="A94" s="194"/>
      <c r="B94" s="176"/>
      <c r="C94" s="176"/>
      <c r="D94" s="175"/>
      <c r="E94" s="195"/>
      <c r="F94" s="177"/>
      <c r="G94" s="177"/>
      <c r="H94" s="188"/>
      <c r="I94" s="179"/>
      <c r="J94" s="508"/>
      <c r="K94" s="517"/>
      <c r="L94" s="1250"/>
      <c r="M94" s="1250"/>
      <c r="N94" s="1250"/>
      <c r="O94" s="1250"/>
      <c r="P94" s="1250"/>
      <c r="Q94" s="1250"/>
      <c r="R94" s="1250"/>
      <c r="S94" s="1250"/>
      <c r="T94" s="1250"/>
    </row>
    <row r="95" spans="1:20">
      <c r="A95" s="194"/>
      <c r="B95" s="166"/>
      <c r="C95" s="166"/>
      <c r="D95" s="204"/>
      <c r="E95" s="205"/>
      <c r="F95" s="177"/>
      <c r="G95" s="177"/>
      <c r="H95" s="188"/>
      <c r="I95" s="179"/>
      <c r="J95" s="508"/>
      <c r="K95" s="517"/>
      <c r="L95" s="1250"/>
      <c r="M95" s="1250"/>
      <c r="N95" s="1250"/>
      <c r="O95" s="1250"/>
      <c r="P95" s="1250"/>
      <c r="Q95" s="1250"/>
      <c r="R95" s="1250"/>
      <c r="S95" s="1250"/>
      <c r="T95" s="1250"/>
    </row>
    <row r="96" spans="1:20">
      <c r="A96" s="180" t="s">
        <v>212</v>
      </c>
      <c r="B96" s="181" t="s">
        <v>216</v>
      </c>
      <c r="C96" s="181"/>
      <c r="D96" s="182"/>
      <c r="E96" s="183"/>
      <c r="F96" s="184"/>
      <c r="G96" s="184"/>
      <c r="H96" s="185">
        <f>SUM(G97:G100)</f>
        <v>0</v>
      </c>
      <c r="I96" s="186">
        <f>H96/$H$233</f>
        <v>0</v>
      </c>
      <c r="J96" s="509">
        <f>H96/$G$4</f>
        <v>0</v>
      </c>
      <c r="K96" s="515"/>
      <c r="L96" s="196"/>
      <c r="M96" s="197"/>
      <c r="N96" s="197"/>
      <c r="O96" s="197"/>
      <c r="P96" s="197"/>
      <c r="Q96" s="197"/>
      <c r="R96" s="197"/>
      <c r="S96" s="197"/>
      <c r="T96" s="198"/>
    </row>
    <row r="97" spans="1:20">
      <c r="A97" s="200"/>
      <c r="B97" s="176"/>
      <c r="C97" s="176"/>
      <c r="D97" s="175"/>
      <c r="E97" s="176"/>
      <c r="F97" s="177"/>
      <c r="G97" s="177"/>
      <c r="H97" s="188"/>
      <c r="I97" s="179"/>
      <c r="J97" s="508"/>
      <c r="K97" s="514"/>
      <c r="L97" s="1228"/>
      <c r="M97" s="1229"/>
      <c r="N97" s="1229"/>
      <c r="O97" s="1229"/>
      <c r="P97" s="1229"/>
      <c r="Q97" s="1229"/>
      <c r="R97" s="1229"/>
      <c r="S97" s="1229"/>
      <c r="T97" s="1230"/>
    </row>
    <row r="98" spans="1:20">
      <c r="A98" s="200"/>
      <c r="B98" s="176"/>
      <c r="C98" s="176"/>
      <c r="D98" s="175"/>
      <c r="E98" s="176"/>
      <c r="F98" s="177"/>
      <c r="G98" s="177"/>
      <c r="H98" s="188"/>
      <c r="I98" s="179"/>
      <c r="J98" s="508"/>
      <c r="K98" s="514"/>
      <c r="L98" s="1228"/>
      <c r="M98" s="1229"/>
      <c r="N98" s="1229"/>
      <c r="O98" s="1229"/>
      <c r="P98" s="1229"/>
      <c r="Q98" s="1229"/>
      <c r="R98" s="1229"/>
      <c r="S98" s="1229"/>
      <c r="T98" s="1230"/>
    </row>
    <row r="99" spans="1:20">
      <c r="A99" s="200"/>
      <c r="B99" s="176"/>
      <c r="C99" s="176"/>
      <c r="D99" s="175"/>
      <c r="E99" s="176"/>
      <c r="F99" s="177"/>
      <c r="G99" s="177"/>
      <c r="H99" s="188"/>
      <c r="I99" s="179"/>
      <c r="J99" s="508"/>
      <c r="K99" s="514"/>
      <c r="L99" s="1228"/>
      <c r="M99" s="1229"/>
      <c r="N99" s="1229"/>
      <c r="O99" s="1229"/>
      <c r="P99" s="1229"/>
      <c r="Q99" s="1229"/>
      <c r="R99" s="1229"/>
      <c r="S99" s="1229"/>
      <c r="T99" s="1230"/>
    </row>
    <row r="100" spans="1:20">
      <c r="A100" s="200"/>
      <c r="B100" s="176"/>
      <c r="C100" s="176"/>
      <c r="D100" s="175"/>
      <c r="E100" s="176"/>
      <c r="F100" s="177"/>
      <c r="G100" s="177"/>
      <c r="H100" s="188"/>
      <c r="I100" s="179"/>
      <c r="J100" s="508"/>
      <c r="K100" s="514"/>
      <c r="L100" s="1228"/>
      <c r="M100" s="1229"/>
      <c r="N100" s="1229"/>
      <c r="O100" s="1229"/>
      <c r="P100" s="1229"/>
      <c r="Q100" s="1229"/>
      <c r="R100" s="1229"/>
      <c r="S100" s="1229"/>
      <c r="T100" s="1230"/>
    </row>
    <row r="101" spans="1:20">
      <c r="A101" s="180" t="s">
        <v>212</v>
      </c>
      <c r="B101" s="181" t="s">
        <v>217</v>
      </c>
      <c r="C101" s="181"/>
      <c r="D101" s="182"/>
      <c r="E101" s="183"/>
      <c r="F101" s="184"/>
      <c r="G101" s="184"/>
      <c r="H101" s="185">
        <f>SUM(G102:G105)</f>
        <v>230000</v>
      </c>
      <c r="I101" s="186">
        <f>H101/$H$233</f>
        <v>4.4952797608042092E-2</v>
      </c>
      <c r="J101" s="509">
        <f>H101/$G$4</f>
        <v>7.11479568162836</v>
      </c>
      <c r="K101" s="515"/>
      <c r="L101" s="196"/>
      <c r="M101" s="197"/>
      <c r="N101" s="197"/>
      <c r="O101" s="197"/>
      <c r="P101" s="197"/>
      <c r="Q101" s="197"/>
      <c r="R101" s="197"/>
      <c r="S101" s="197"/>
      <c r="T101" s="198"/>
    </row>
    <row r="102" spans="1:20">
      <c r="A102" s="200"/>
      <c r="B102" s="176" t="s">
        <v>218</v>
      </c>
      <c r="C102" s="176"/>
      <c r="D102" s="175"/>
      <c r="E102" s="176"/>
      <c r="F102" s="177"/>
      <c r="G102" s="177">
        <v>230000</v>
      </c>
      <c r="H102" s="188"/>
      <c r="I102" s="179"/>
      <c r="J102" s="508"/>
      <c r="K102" s="514"/>
      <c r="L102" s="1228"/>
      <c r="M102" s="1229"/>
      <c r="N102" s="1229"/>
      <c r="O102" s="1229"/>
      <c r="P102" s="1229"/>
      <c r="Q102" s="1229"/>
      <c r="R102" s="1229"/>
      <c r="S102" s="1229"/>
      <c r="T102" s="1230"/>
    </row>
    <row r="103" spans="1:20">
      <c r="A103" s="200"/>
      <c r="B103" s="176"/>
      <c r="C103" s="176"/>
      <c r="D103" s="175"/>
      <c r="E103" s="176"/>
      <c r="F103" s="177"/>
      <c r="G103" s="177"/>
      <c r="H103" s="188"/>
      <c r="I103" s="179"/>
      <c r="J103" s="508"/>
      <c r="K103" s="514"/>
      <c r="L103" s="1228"/>
      <c r="M103" s="1229"/>
      <c r="N103" s="1229"/>
      <c r="O103" s="1229"/>
      <c r="P103" s="1229"/>
      <c r="Q103" s="1229"/>
      <c r="R103" s="1229"/>
      <c r="S103" s="1229"/>
      <c r="T103" s="1230"/>
    </row>
    <row r="104" spans="1:20">
      <c r="A104" s="200"/>
      <c r="B104" s="176"/>
      <c r="C104" s="176"/>
      <c r="D104" s="175"/>
      <c r="E104" s="176"/>
      <c r="F104" s="177"/>
      <c r="G104" s="177"/>
      <c r="H104" s="188"/>
      <c r="I104" s="179"/>
      <c r="J104" s="508"/>
      <c r="K104" s="514"/>
      <c r="L104" s="1228"/>
      <c r="M104" s="1229"/>
      <c r="N104" s="1229"/>
      <c r="O104" s="1229"/>
      <c r="P104" s="1229"/>
      <c r="Q104" s="1229"/>
      <c r="R104" s="1229"/>
      <c r="S104" s="1229"/>
      <c r="T104" s="1230"/>
    </row>
    <row r="105" spans="1:20">
      <c r="A105" s="201"/>
      <c r="B105" s="176"/>
      <c r="C105" s="176"/>
      <c r="D105" s="175"/>
      <c r="E105" s="176"/>
      <c r="F105" s="177"/>
      <c r="G105" s="177"/>
      <c r="H105" s="188"/>
      <c r="I105" s="179"/>
      <c r="J105" s="508"/>
      <c r="K105" s="514"/>
      <c r="L105" s="1228"/>
      <c r="M105" s="1229"/>
      <c r="N105" s="1229"/>
      <c r="O105" s="1229"/>
      <c r="P105" s="1229"/>
      <c r="Q105" s="1229"/>
      <c r="R105" s="1229"/>
      <c r="S105" s="1229"/>
      <c r="T105" s="1230"/>
    </row>
    <row r="106" spans="1:20">
      <c r="A106" s="180" t="s">
        <v>219</v>
      </c>
      <c r="B106" s="181" t="s">
        <v>220</v>
      </c>
      <c r="C106" s="181"/>
      <c r="D106" s="182"/>
      <c r="E106" s="183"/>
      <c r="F106" s="184"/>
      <c r="G106" s="184"/>
      <c r="H106" s="185">
        <f>SUM(G107:G110)</f>
        <v>405000</v>
      </c>
      <c r="I106" s="186">
        <f>H106/$H$233</f>
        <v>7.9156013179378468E-2</v>
      </c>
      <c r="J106" s="509">
        <f>H106/$G$4</f>
        <v>12.528227178519504</v>
      </c>
      <c r="K106" s="516"/>
      <c r="L106" s="1247"/>
      <c r="M106" s="1247"/>
      <c r="N106" s="1247"/>
      <c r="O106" s="1247"/>
      <c r="P106" s="1247"/>
      <c r="Q106" s="1247"/>
      <c r="R106" s="1247"/>
      <c r="S106" s="1247"/>
      <c r="T106" s="1247"/>
    </row>
    <row r="107" spans="1:20">
      <c r="A107" s="202"/>
      <c r="B107" s="176" t="s">
        <v>221</v>
      </c>
      <c r="C107" s="176"/>
      <c r="D107" s="175"/>
      <c r="E107" s="176"/>
      <c r="F107" s="177"/>
      <c r="G107" s="177">
        <v>405000</v>
      </c>
      <c r="H107" s="188"/>
      <c r="I107" s="179"/>
      <c r="J107" s="508"/>
      <c r="K107" s="517"/>
      <c r="L107" s="1250"/>
      <c r="M107" s="1250"/>
      <c r="N107" s="1250"/>
      <c r="O107" s="1250"/>
      <c r="P107" s="1250"/>
      <c r="Q107" s="1250"/>
      <c r="R107" s="1250"/>
      <c r="S107" s="1250"/>
      <c r="T107" s="1250"/>
    </row>
    <row r="108" spans="1:20">
      <c r="A108" s="203"/>
      <c r="B108" s="176"/>
      <c r="C108" s="176"/>
      <c r="D108" s="175"/>
      <c r="E108" s="176"/>
      <c r="F108" s="177"/>
      <c r="G108" s="177"/>
      <c r="H108" s="188"/>
      <c r="I108" s="179"/>
      <c r="J108" s="508"/>
      <c r="K108" s="517"/>
      <c r="L108" s="1250"/>
      <c r="M108" s="1250"/>
      <c r="N108" s="1250"/>
      <c r="O108" s="1250"/>
      <c r="P108" s="1250"/>
      <c r="Q108" s="1250"/>
      <c r="R108" s="1250"/>
      <c r="S108" s="1250"/>
      <c r="T108" s="1250"/>
    </row>
    <row r="109" spans="1:20">
      <c r="A109" s="203"/>
      <c r="B109" s="160"/>
      <c r="C109" s="176"/>
      <c r="D109" s="175"/>
      <c r="E109" s="176"/>
      <c r="F109" s="177"/>
      <c r="G109" s="177"/>
      <c r="H109" s="188"/>
      <c r="I109" s="179"/>
      <c r="J109" s="508"/>
      <c r="K109" s="517"/>
      <c r="L109" s="1250"/>
      <c r="M109" s="1250"/>
      <c r="N109" s="1250"/>
      <c r="O109" s="1250"/>
      <c r="P109" s="1250"/>
      <c r="Q109" s="1250"/>
      <c r="R109" s="1250"/>
      <c r="S109" s="1250"/>
      <c r="T109" s="1250"/>
    </row>
    <row r="110" spans="1:20">
      <c r="A110" s="203"/>
      <c r="B110" s="176"/>
      <c r="C110" s="176"/>
      <c r="D110" s="175"/>
      <c r="E110" s="176"/>
      <c r="F110" s="177"/>
      <c r="G110" s="177"/>
      <c r="H110" s="188"/>
      <c r="I110" s="179"/>
      <c r="J110" s="508"/>
      <c r="K110" s="517"/>
      <c r="L110" s="1250"/>
      <c r="M110" s="1250"/>
      <c r="N110" s="1250"/>
      <c r="O110" s="1250"/>
      <c r="P110" s="1250"/>
      <c r="Q110" s="1250"/>
      <c r="R110" s="1250"/>
      <c r="S110" s="1250"/>
      <c r="T110" s="1250"/>
    </row>
    <row r="111" spans="1:20">
      <c r="A111" s="180" t="s">
        <v>219</v>
      </c>
      <c r="B111" s="181" t="s">
        <v>222</v>
      </c>
      <c r="C111" s="181"/>
      <c r="D111" s="182"/>
      <c r="E111" s="183"/>
      <c r="F111" s="184"/>
      <c r="G111" s="184"/>
      <c r="H111" s="185">
        <f>SUM(G112:G115)</f>
        <v>10000</v>
      </c>
      <c r="I111" s="186">
        <f>H111/$H$233</f>
        <v>1.9544694612192216E-3</v>
      </c>
      <c r="J111" s="509">
        <f>H111/$G$4</f>
        <v>0.30933894267949391</v>
      </c>
      <c r="K111" s="516"/>
      <c r="L111" s="1247"/>
      <c r="M111" s="1247"/>
      <c r="N111" s="1247"/>
      <c r="O111" s="1247"/>
      <c r="P111" s="1247"/>
      <c r="Q111" s="1247"/>
      <c r="R111" s="1247"/>
      <c r="S111" s="1247"/>
      <c r="T111" s="1247"/>
    </row>
    <row r="112" spans="1:20">
      <c r="A112" s="200"/>
      <c r="B112" s="176" t="s">
        <v>223</v>
      </c>
      <c r="C112" s="176"/>
      <c r="D112" s="175"/>
      <c r="E112" s="176"/>
      <c r="F112" s="177"/>
      <c r="G112" s="177">
        <v>5000</v>
      </c>
      <c r="H112" s="188"/>
      <c r="I112" s="179"/>
      <c r="J112" s="508"/>
      <c r="K112" s="517"/>
      <c r="L112" s="1250"/>
      <c r="M112" s="1250"/>
      <c r="N112" s="1250"/>
      <c r="O112" s="1250"/>
      <c r="P112" s="1250"/>
      <c r="Q112" s="1250"/>
      <c r="R112" s="1250"/>
      <c r="S112" s="1250"/>
      <c r="T112" s="1250"/>
    </row>
    <row r="113" spans="1:20">
      <c r="A113" s="200"/>
      <c r="B113" s="176" t="s">
        <v>1023</v>
      </c>
      <c r="C113" s="176"/>
      <c r="D113" s="175"/>
      <c r="E113" s="195"/>
      <c r="F113" s="177"/>
      <c r="G113" s="161">
        <v>5000</v>
      </c>
      <c r="H113" s="188"/>
      <c r="I113" s="179"/>
      <c r="J113" s="508"/>
      <c r="K113" s="517"/>
      <c r="L113" s="1250"/>
      <c r="M113" s="1250"/>
      <c r="N113" s="1250"/>
      <c r="O113" s="1250"/>
      <c r="P113" s="1250"/>
      <c r="Q113" s="1250"/>
      <c r="R113" s="1250"/>
      <c r="S113" s="1250"/>
      <c r="T113" s="1250"/>
    </row>
    <row r="114" spans="1:20">
      <c r="A114" s="200"/>
      <c r="B114" s="176"/>
      <c r="C114" s="176"/>
      <c r="D114" s="175"/>
      <c r="E114" s="195"/>
      <c r="F114" s="177"/>
      <c r="G114" s="177"/>
      <c r="H114" s="188"/>
      <c r="I114" s="179"/>
      <c r="J114" s="508"/>
      <c r="K114" s="517"/>
      <c r="L114" s="1250"/>
      <c r="M114" s="1250"/>
      <c r="N114" s="1250"/>
      <c r="O114" s="1250"/>
      <c r="P114" s="1250"/>
      <c r="Q114" s="1250"/>
      <c r="R114" s="1250"/>
      <c r="S114" s="1250"/>
      <c r="T114" s="1250"/>
    </row>
    <row r="115" spans="1:20">
      <c r="A115" s="200"/>
      <c r="B115" s="176"/>
      <c r="C115" s="176"/>
      <c r="D115" s="175"/>
      <c r="E115" s="195"/>
      <c r="F115" s="177"/>
      <c r="G115" s="177"/>
      <c r="H115" s="188"/>
      <c r="I115" s="179"/>
      <c r="J115" s="508"/>
      <c r="K115" s="517"/>
      <c r="L115" s="1250"/>
      <c r="M115" s="1250"/>
      <c r="N115" s="1250"/>
      <c r="O115" s="1250"/>
      <c r="P115" s="1250"/>
      <c r="Q115" s="1250"/>
      <c r="R115" s="1250"/>
      <c r="S115" s="1250"/>
      <c r="T115" s="1250"/>
    </row>
    <row r="116" spans="1:20">
      <c r="A116" s="180" t="s">
        <v>219</v>
      </c>
      <c r="B116" s="181" t="s">
        <v>224</v>
      </c>
      <c r="C116" s="181"/>
      <c r="D116" s="182"/>
      <c r="E116" s="183"/>
      <c r="F116" s="184"/>
      <c r="G116" s="184"/>
      <c r="H116" s="185">
        <f>SUM(G117:G120)</f>
        <v>18153</v>
      </c>
      <c r="I116" s="186">
        <f>H116/$H$233</f>
        <v>3.5479484129512526E-3</v>
      </c>
      <c r="J116" s="509">
        <f>H116/$G$4</f>
        <v>0.56154298264608526</v>
      </c>
      <c r="K116" s="516"/>
      <c r="L116" s="1247"/>
      <c r="M116" s="1247"/>
      <c r="N116" s="1247"/>
      <c r="O116" s="1247"/>
      <c r="P116" s="1247"/>
      <c r="Q116" s="1247"/>
      <c r="R116" s="1247"/>
      <c r="S116" s="1247"/>
      <c r="T116" s="1247"/>
    </row>
    <row r="117" spans="1:20">
      <c r="A117" s="200"/>
      <c r="B117" s="176" t="s">
        <v>1021</v>
      </c>
      <c r="C117" s="176"/>
      <c r="D117" s="175"/>
      <c r="E117" s="176"/>
      <c r="F117" s="177"/>
      <c r="G117" s="177">
        <v>10153</v>
      </c>
      <c r="H117" s="188"/>
      <c r="I117" s="179"/>
      <c r="J117" s="510"/>
      <c r="K117" s="518"/>
      <c r="L117" s="1250" t="s">
        <v>225</v>
      </c>
      <c r="M117" s="1250"/>
      <c r="N117" s="1250"/>
      <c r="O117" s="1250"/>
      <c r="P117" s="1250"/>
      <c r="Q117" s="1250"/>
      <c r="R117" s="1250"/>
      <c r="S117" s="1250"/>
      <c r="T117" s="1250"/>
    </row>
    <row r="118" spans="1:20">
      <c r="A118" s="200"/>
      <c r="B118" s="176" t="s">
        <v>1022</v>
      </c>
      <c r="C118" s="176"/>
      <c r="D118" s="175"/>
      <c r="E118" s="176"/>
      <c r="F118" s="177"/>
      <c r="G118" s="177">
        <v>8000</v>
      </c>
      <c r="H118" s="188"/>
      <c r="I118" s="179"/>
      <c r="J118" s="510"/>
      <c r="K118" s="518"/>
      <c r="L118" s="1250"/>
      <c r="M118" s="1250"/>
      <c r="N118" s="1250"/>
      <c r="O118" s="1250"/>
      <c r="P118" s="1250"/>
      <c r="Q118" s="1250"/>
      <c r="R118" s="1250"/>
      <c r="S118" s="1250"/>
      <c r="T118" s="1250"/>
    </row>
    <row r="119" spans="1:20">
      <c r="A119" s="200"/>
      <c r="B119" s="176"/>
      <c r="C119" s="176"/>
      <c r="D119" s="175"/>
      <c r="E119" s="176"/>
      <c r="F119" s="177"/>
      <c r="G119" s="177"/>
      <c r="H119" s="188"/>
      <c r="I119" s="179"/>
      <c r="J119" s="510"/>
      <c r="K119" s="518"/>
      <c r="L119" s="1250"/>
      <c r="M119" s="1250"/>
      <c r="N119" s="1250"/>
      <c r="O119" s="1250"/>
      <c r="P119" s="1250"/>
      <c r="Q119" s="1250"/>
      <c r="R119" s="1250"/>
      <c r="S119" s="1250"/>
      <c r="T119" s="1250"/>
    </row>
    <row r="120" spans="1:20">
      <c r="A120" s="200"/>
      <c r="B120" s="176"/>
      <c r="C120" s="176"/>
      <c r="D120" s="175"/>
      <c r="E120" s="176"/>
      <c r="F120" s="177"/>
      <c r="G120" s="177"/>
      <c r="H120" s="188"/>
      <c r="I120" s="179"/>
      <c r="J120" s="510"/>
      <c r="K120" s="518"/>
      <c r="L120" s="1250"/>
      <c r="M120" s="1250"/>
      <c r="N120" s="1250"/>
      <c r="O120" s="1250"/>
      <c r="P120" s="1250"/>
      <c r="Q120" s="1250"/>
      <c r="R120" s="1250"/>
      <c r="S120" s="1250"/>
      <c r="T120" s="1250"/>
    </row>
    <row r="121" spans="1:20">
      <c r="A121" s="180" t="s">
        <v>219</v>
      </c>
      <c r="B121" s="181" t="s">
        <v>226</v>
      </c>
      <c r="C121" s="181"/>
      <c r="D121" s="182"/>
      <c r="E121" s="183"/>
      <c r="F121" s="184"/>
      <c r="G121" s="184"/>
      <c r="H121" s="185">
        <f>SUM(G122:G125)</f>
        <v>37000</v>
      </c>
      <c r="I121" s="186">
        <f>H121/$H$233</f>
        <v>7.2315370065111195E-3</v>
      </c>
      <c r="J121" s="509">
        <f>H121/$G$4</f>
        <v>1.1445540879141276</v>
      </c>
      <c r="K121" s="516"/>
      <c r="L121" s="1247"/>
      <c r="M121" s="1247"/>
      <c r="N121" s="1247"/>
      <c r="O121" s="1247"/>
      <c r="P121" s="1247"/>
      <c r="Q121" s="1247"/>
      <c r="R121" s="1247"/>
      <c r="S121" s="1247"/>
      <c r="T121" s="1247"/>
    </row>
    <row r="122" spans="1:20">
      <c r="A122" s="200"/>
      <c r="B122" s="176" t="s">
        <v>317</v>
      </c>
      <c r="C122" s="176"/>
      <c r="D122" s="175"/>
      <c r="E122" s="176"/>
      <c r="F122" s="177"/>
      <c r="G122" s="177">
        <v>15000</v>
      </c>
      <c r="H122" s="188"/>
      <c r="I122" s="179"/>
      <c r="J122" s="510"/>
      <c r="K122" s="518"/>
      <c r="L122" s="1250"/>
      <c r="M122" s="1250"/>
      <c r="N122" s="1250"/>
      <c r="O122" s="1250"/>
      <c r="P122" s="1250"/>
      <c r="Q122" s="1250"/>
      <c r="R122" s="1250"/>
      <c r="S122" s="1250"/>
      <c r="T122" s="1250"/>
    </row>
    <row r="123" spans="1:20">
      <c r="A123" s="200"/>
      <c r="B123" s="176" t="s">
        <v>557</v>
      </c>
      <c r="C123" s="176"/>
      <c r="D123" s="175"/>
      <c r="E123" s="176"/>
      <c r="F123" s="177"/>
      <c r="G123" s="177">
        <v>22000</v>
      </c>
      <c r="H123" s="188"/>
      <c r="I123" s="179"/>
      <c r="J123" s="510"/>
      <c r="K123" s="518"/>
      <c r="L123" s="1250"/>
      <c r="M123" s="1250"/>
      <c r="N123" s="1250"/>
      <c r="O123" s="1250"/>
      <c r="P123" s="1250"/>
      <c r="Q123" s="1250"/>
      <c r="R123" s="1250"/>
      <c r="S123" s="1250"/>
      <c r="T123" s="1250"/>
    </row>
    <row r="124" spans="1:20">
      <c r="A124" s="200"/>
      <c r="B124" s="176"/>
      <c r="C124" s="176"/>
      <c r="D124" s="175"/>
      <c r="E124" s="176"/>
      <c r="F124" s="177"/>
      <c r="G124" s="177"/>
      <c r="H124" s="188"/>
      <c r="I124" s="179"/>
      <c r="J124" s="510"/>
      <c r="K124" s="518"/>
      <c r="L124" s="1250"/>
      <c r="M124" s="1250"/>
      <c r="N124" s="1250"/>
      <c r="O124" s="1250"/>
      <c r="P124" s="1250"/>
      <c r="Q124" s="1250"/>
      <c r="R124" s="1250"/>
      <c r="S124" s="1250"/>
      <c r="T124" s="1250"/>
    </row>
    <row r="125" spans="1:20">
      <c r="A125" s="200"/>
      <c r="B125" s="176"/>
      <c r="C125" s="176"/>
      <c r="D125" s="175"/>
      <c r="E125" s="176"/>
      <c r="F125" s="177"/>
      <c r="G125" s="177"/>
      <c r="H125" s="188"/>
      <c r="I125" s="179"/>
      <c r="J125" s="510"/>
      <c r="K125" s="518"/>
      <c r="L125" s="1250"/>
      <c r="M125" s="1250"/>
      <c r="N125" s="1250"/>
      <c r="O125" s="1250"/>
      <c r="P125" s="1250"/>
      <c r="Q125" s="1250"/>
      <c r="R125" s="1250"/>
      <c r="S125" s="1250"/>
      <c r="T125" s="1250"/>
    </row>
    <row r="126" spans="1:20">
      <c r="A126" s="180" t="s">
        <v>227</v>
      </c>
      <c r="B126" s="181" t="s">
        <v>228</v>
      </c>
      <c r="C126" s="181"/>
      <c r="D126" s="182"/>
      <c r="E126" s="183"/>
      <c r="F126" s="184"/>
      <c r="G126" s="184"/>
      <c r="H126" s="185">
        <f>SUM(G127:G130)</f>
        <v>214175</v>
      </c>
      <c r="I126" s="186">
        <f>H126/$H$233</f>
        <v>4.1859849685662677E-2</v>
      </c>
      <c r="J126" s="509">
        <f>H126/$G$4</f>
        <v>6.625266804838061</v>
      </c>
      <c r="K126" s="515"/>
      <c r="L126" s="1225"/>
      <c r="M126" s="1226"/>
      <c r="N126" s="1226"/>
      <c r="O126" s="1226"/>
      <c r="P126" s="1226"/>
      <c r="Q126" s="1226"/>
      <c r="R126" s="1226"/>
      <c r="S126" s="1226"/>
      <c r="T126" s="1227"/>
    </row>
    <row r="127" spans="1:20">
      <c r="A127" s="192"/>
      <c r="B127" s="176" t="s">
        <v>958</v>
      </c>
      <c r="C127" s="1029">
        <v>10000</v>
      </c>
      <c r="D127" s="175" t="s">
        <v>319</v>
      </c>
      <c r="E127" s="176">
        <v>17134</v>
      </c>
      <c r="F127" s="193">
        <v>12.5</v>
      </c>
      <c r="G127" s="193">
        <f>F127*E127</f>
        <v>214175</v>
      </c>
      <c r="H127" s="188"/>
      <c r="I127" s="179"/>
      <c r="J127" s="508"/>
      <c r="K127" s="514">
        <f>G127</f>
        <v>214175</v>
      </c>
      <c r="L127" s="1228" t="s">
        <v>585</v>
      </c>
      <c r="M127" s="1229"/>
      <c r="N127" s="1229"/>
      <c r="O127" s="1229"/>
      <c r="P127" s="1229"/>
      <c r="Q127" s="1229"/>
      <c r="R127" s="1229"/>
      <c r="S127" s="1229"/>
      <c r="T127" s="1230"/>
    </row>
    <row r="128" spans="1:20">
      <c r="A128" s="192"/>
      <c r="B128" s="176"/>
      <c r="C128" s="166"/>
      <c r="D128" s="175"/>
      <c r="E128" s="176"/>
      <c r="F128" s="193"/>
      <c r="G128" s="177"/>
      <c r="H128" s="188"/>
      <c r="I128" s="179"/>
      <c r="J128" s="508"/>
      <c r="K128" s="514"/>
      <c r="L128" s="1228"/>
      <c r="M128" s="1229"/>
      <c r="N128" s="1229"/>
      <c r="O128" s="1229"/>
      <c r="P128" s="1229"/>
      <c r="Q128" s="1229"/>
      <c r="R128" s="1229"/>
      <c r="S128" s="1229"/>
      <c r="T128" s="1230"/>
    </row>
    <row r="129" spans="1:20">
      <c r="A129" s="192"/>
      <c r="B129" s="176"/>
      <c r="C129" s="1029"/>
      <c r="D129" s="175"/>
      <c r="E129" s="176"/>
      <c r="F129" s="193"/>
      <c r="G129" s="177"/>
      <c r="H129" s="188"/>
      <c r="I129" s="179"/>
      <c r="J129" s="508"/>
      <c r="K129" s="514"/>
      <c r="L129" s="1228"/>
      <c r="M129" s="1229"/>
      <c r="N129" s="1229"/>
      <c r="O129" s="1229"/>
      <c r="P129" s="1229"/>
      <c r="Q129" s="1229"/>
      <c r="R129" s="1229"/>
      <c r="S129" s="1229"/>
      <c r="T129" s="1230"/>
    </row>
    <row r="130" spans="1:20">
      <c r="A130" s="194"/>
      <c r="B130" s="176"/>
      <c r="C130" s="176"/>
      <c r="D130" s="175"/>
      <c r="E130" s="195"/>
      <c r="F130" s="161"/>
      <c r="G130" s="177"/>
      <c r="H130" s="188"/>
      <c r="I130" s="179"/>
      <c r="J130" s="508"/>
      <c r="K130" s="517"/>
      <c r="L130" s="1250"/>
      <c r="M130" s="1250"/>
      <c r="N130" s="1250"/>
      <c r="O130" s="1250"/>
      <c r="P130" s="1250"/>
      <c r="Q130" s="1250"/>
      <c r="R130" s="1250"/>
      <c r="S130" s="1250"/>
      <c r="T130" s="1250"/>
    </row>
    <row r="131" spans="1:20">
      <c r="A131" s="180" t="s">
        <v>229</v>
      </c>
      <c r="B131" s="181" t="s">
        <v>230</v>
      </c>
      <c r="C131" s="181"/>
      <c r="D131" s="182"/>
      <c r="E131" s="183"/>
      <c r="F131" s="184"/>
      <c r="G131" s="184"/>
      <c r="H131" s="185">
        <f>SUM(G132:G135)</f>
        <v>8000</v>
      </c>
      <c r="I131" s="186">
        <f>H131/$H$233</f>
        <v>1.5635755689753772E-3</v>
      </c>
      <c r="J131" s="509">
        <f>H131/$G$4</f>
        <v>0.24747115414359513</v>
      </c>
      <c r="K131" s="515"/>
      <c r="L131" s="1244"/>
      <c r="M131" s="1245"/>
      <c r="N131" s="1245"/>
      <c r="O131" s="1245"/>
      <c r="P131" s="1245"/>
      <c r="Q131" s="1245"/>
      <c r="R131" s="1245"/>
      <c r="S131" s="1245"/>
      <c r="T131" s="1246"/>
    </row>
    <row r="132" spans="1:20">
      <c r="A132" s="192"/>
      <c r="B132" s="176" t="s">
        <v>251</v>
      </c>
      <c r="C132" s="176"/>
      <c r="D132" s="175"/>
      <c r="E132" s="176"/>
      <c r="F132" s="177"/>
      <c r="G132" s="177">
        <v>8000</v>
      </c>
      <c r="H132" s="188"/>
      <c r="I132" s="179"/>
      <c r="J132" s="508"/>
      <c r="K132" s="514"/>
      <c r="L132" s="1228"/>
      <c r="M132" s="1229"/>
      <c r="N132" s="1229"/>
      <c r="O132" s="1229"/>
      <c r="P132" s="1229"/>
      <c r="Q132" s="1229"/>
      <c r="R132" s="1229"/>
      <c r="S132" s="1229"/>
      <c r="T132" s="1230"/>
    </row>
    <row r="133" spans="1:20">
      <c r="A133" s="192"/>
      <c r="B133" s="176"/>
      <c r="C133" s="176"/>
      <c r="D133" s="175"/>
      <c r="E133" s="176"/>
      <c r="F133" s="177"/>
      <c r="G133" s="177"/>
      <c r="H133" s="188"/>
      <c r="I133" s="179"/>
      <c r="J133" s="508"/>
      <c r="K133" s="514"/>
      <c r="L133" s="1228"/>
      <c r="M133" s="1229"/>
      <c r="N133" s="1229"/>
      <c r="O133" s="1229"/>
      <c r="P133" s="1229"/>
      <c r="Q133" s="1229"/>
      <c r="R133" s="1229"/>
      <c r="S133" s="1229"/>
      <c r="T133" s="1230"/>
    </row>
    <row r="134" spans="1:20">
      <c r="A134" s="192"/>
      <c r="B134" s="176"/>
      <c r="C134" s="176"/>
      <c r="D134" s="175"/>
      <c r="E134" s="176"/>
      <c r="F134" s="177"/>
      <c r="G134" s="177"/>
      <c r="H134" s="188"/>
      <c r="I134" s="179"/>
      <c r="J134" s="508"/>
      <c r="K134" s="514"/>
      <c r="L134" s="1228"/>
      <c r="M134" s="1229"/>
      <c r="N134" s="1229"/>
      <c r="O134" s="1229"/>
      <c r="P134" s="1229"/>
      <c r="Q134" s="1229"/>
      <c r="R134" s="1229"/>
      <c r="S134" s="1229"/>
      <c r="T134" s="1230"/>
    </row>
    <row r="135" spans="1:20">
      <c r="A135" s="192"/>
      <c r="B135" s="176"/>
      <c r="C135" s="176"/>
      <c r="D135" s="175"/>
      <c r="E135" s="176"/>
      <c r="F135" s="177"/>
      <c r="G135" s="177"/>
      <c r="H135" s="188"/>
      <c r="I135" s="179"/>
      <c r="J135" s="508"/>
      <c r="K135" s="514"/>
      <c r="L135" s="1228"/>
      <c r="M135" s="1229"/>
      <c r="N135" s="1229"/>
      <c r="O135" s="1229"/>
      <c r="P135" s="1229"/>
      <c r="Q135" s="1229"/>
      <c r="R135" s="1229"/>
      <c r="S135" s="1229"/>
      <c r="T135" s="1230"/>
    </row>
    <row r="136" spans="1:20">
      <c r="A136" s="180" t="s">
        <v>231</v>
      </c>
      <c r="B136" s="181" t="s">
        <v>232</v>
      </c>
      <c r="C136" s="181"/>
      <c r="D136" s="182"/>
      <c r="E136" s="183"/>
      <c r="F136" s="184"/>
      <c r="G136" s="184"/>
      <c r="H136" s="185">
        <f>SUM(G137:G140)</f>
        <v>27000</v>
      </c>
      <c r="I136" s="186">
        <f>H136/$H$233</f>
        <v>5.2770675452918983E-3</v>
      </c>
      <c r="J136" s="509">
        <f>H136/$G$4</f>
        <v>0.83521514523463358</v>
      </c>
      <c r="K136" s="516"/>
      <c r="L136" s="1247"/>
      <c r="M136" s="1247"/>
      <c r="N136" s="1247"/>
      <c r="O136" s="1247"/>
      <c r="P136" s="1247"/>
      <c r="Q136" s="1247"/>
      <c r="R136" s="1247"/>
      <c r="S136" s="1247"/>
      <c r="T136" s="1247"/>
    </row>
    <row r="137" spans="1:20">
      <c r="A137" s="203"/>
      <c r="B137" s="176" t="s">
        <v>558</v>
      </c>
      <c r="C137" s="176"/>
      <c r="D137" s="175"/>
      <c r="E137" s="176"/>
      <c r="F137" s="177"/>
      <c r="G137" s="177">
        <v>25000</v>
      </c>
      <c r="H137" s="188"/>
      <c r="I137" s="179"/>
      <c r="J137" s="508"/>
      <c r="K137" s="517"/>
      <c r="L137" s="1250" t="s">
        <v>1020</v>
      </c>
      <c r="M137" s="1250"/>
      <c r="N137" s="1250"/>
      <c r="O137" s="1250"/>
      <c r="P137" s="1250"/>
      <c r="Q137" s="1250"/>
      <c r="R137" s="1250"/>
      <c r="S137" s="1250"/>
      <c r="T137" s="1250"/>
    </row>
    <row r="138" spans="1:20">
      <c r="A138" s="203"/>
      <c r="B138" s="176" t="s">
        <v>317</v>
      </c>
      <c r="C138" s="176"/>
      <c r="D138" s="175"/>
      <c r="E138" s="176"/>
      <c r="F138" s="177"/>
      <c r="G138" s="177">
        <v>2000</v>
      </c>
      <c r="H138" s="188"/>
      <c r="I138" s="179"/>
      <c r="J138" s="508"/>
      <c r="K138" s="517"/>
      <c r="L138" s="1250"/>
      <c r="M138" s="1250"/>
      <c r="N138" s="1250"/>
      <c r="O138" s="1250"/>
      <c r="P138" s="1250"/>
      <c r="Q138" s="1250"/>
      <c r="R138" s="1250"/>
      <c r="S138" s="1250"/>
      <c r="T138" s="1250"/>
    </row>
    <row r="139" spans="1:20">
      <c r="A139" s="203"/>
      <c r="B139" s="176"/>
      <c r="C139" s="176"/>
      <c r="D139" s="175"/>
      <c r="E139" s="176"/>
      <c r="F139" s="177"/>
      <c r="G139" s="177"/>
      <c r="H139" s="188"/>
      <c r="I139" s="179"/>
      <c r="J139" s="508"/>
      <c r="K139" s="517"/>
      <c r="L139" s="1250"/>
      <c r="M139" s="1250"/>
      <c r="N139" s="1250"/>
      <c r="O139" s="1250"/>
      <c r="P139" s="1250"/>
      <c r="Q139" s="1250"/>
      <c r="R139" s="1250"/>
      <c r="S139" s="1250"/>
      <c r="T139" s="1250"/>
    </row>
    <row r="140" spans="1:20">
      <c r="A140" s="203"/>
      <c r="B140" s="176"/>
      <c r="C140" s="176"/>
      <c r="D140" s="175"/>
      <c r="E140" s="176"/>
      <c r="F140" s="177"/>
      <c r="G140" s="177"/>
      <c r="H140" s="188"/>
      <c r="I140" s="179"/>
      <c r="J140" s="508"/>
      <c r="K140" s="517"/>
      <c r="L140" s="1250"/>
      <c r="M140" s="1250"/>
      <c r="N140" s="1250"/>
      <c r="O140" s="1250"/>
      <c r="P140" s="1250"/>
      <c r="Q140" s="1250"/>
      <c r="R140" s="1250"/>
      <c r="S140" s="1250"/>
      <c r="T140" s="1250"/>
    </row>
    <row r="141" spans="1:20">
      <c r="A141" s="180" t="s">
        <v>231</v>
      </c>
      <c r="B141" s="181" t="s">
        <v>233</v>
      </c>
      <c r="C141" s="181"/>
      <c r="D141" s="182"/>
      <c r="E141" s="183"/>
      <c r="F141" s="184"/>
      <c r="G141" s="184"/>
      <c r="H141" s="185">
        <f>SUM(G142:G145)</f>
        <v>15000</v>
      </c>
      <c r="I141" s="186">
        <f>H141/$H$233</f>
        <v>2.9317041918288322E-3</v>
      </c>
      <c r="J141" s="509">
        <f>H141/$G$4</f>
        <v>0.46400841401924087</v>
      </c>
      <c r="K141" s="516"/>
      <c r="L141" s="1247"/>
      <c r="M141" s="1247"/>
      <c r="N141" s="1247"/>
      <c r="O141" s="1247"/>
      <c r="P141" s="1247"/>
      <c r="Q141" s="1247"/>
      <c r="R141" s="1247"/>
      <c r="S141" s="1247"/>
      <c r="T141" s="1247"/>
    </row>
    <row r="142" spans="1:20">
      <c r="A142" s="192"/>
      <c r="B142" s="176" t="s">
        <v>202</v>
      </c>
      <c r="C142" s="176"/>
      <c r="D142" s="175"/>
      <c r="E142" s="176"/>
      <c r="F142" s="177"/>
      <c r="G142" s="177">
        <v>15000</v>
      </c>
      <c r="H142" s="188"/>
      <c r="I142" s="179"/>
      <c r="J142" s="508"/>
      <c r="K142" s="517"/>
      <c r="L142" s="1250"/>
      <c r="M142" s="1250"/>
      <c r="N142" s="1250"/>
      <c r="O142" s="1250"/>
      <c r="P142" s="1250"/>
      <c r="Q142" s="1250"/>
      <c r="R142" s="1250"/>
      <c r="S142" s="1250"/>
      <c r="T142" s="1250"/>
    </row>
    <row r="143" spans="1:20">
      <c r="A143" s="192"/>
      <c r="B143" s="176"/>
      <c r="C143" s="176"/>
      <c r="D143" s="175"/>
      <c r="E143" s="176"/>
      <c r="F143" s="177"/>
      <c r="G143" s="177"/>
      <c r="H143" s="188"/>
      <c r="I143" s="179"/>
      <c r="J143" s="508"/>
      <c r="K143" s="517"/>
      <c r="L143" s="1250"/>
      <c r="M143" s="1250"/>
      <c r="N143" s="1250"/>
      <c r="O143" s="1250"/>
      <c r="P143" s="1250"/>
      <c r="Q143" s="1250"/>
      <c r="R143" s="1250"/>
      <c r="S143" s="1250"/>
      <c r="T143" s="1250"/>
    </row>
    <row r="144" spans="1:20">
      <c r="A144" s="192"/>
      <c r="B144" s="176"/>
      <c r="C144" s="176"/>
      <c r="D144" s="175"/>
      <c r="E144" s="176"/>
      <c r="F144" s="177"/>
      <c r="G144" s="177"/>
      <c r="H144" s="188"/>
      <c r="I144" s="179"/>
      <c r="J144" s="508"/>
      <c r="K144" s="517"/>
      <c r="L144" s="1250"/>
      <c r="M144" s="1250"/>
      <c r="N144" s="1250"/>
      <c r="O144" s="1250"/>
      <c r="P144" s="1250"/>
      <c r="Q144" s="1250"/>
      <c r="R144" s="1250"/>
      <c r="S144" s="1250"/>
      <c r="T144" s="1250"/>
    </row>
    <row r="145" spans="1:20">
      <c r="A145" s="192"/>
      <c r="B145" s="176"/>
      <c r="C145" s="176"/>
      <c r="D145" s="175"/>
      <c r="E145" s="176"/>
      <c r="F145" s="177"/>
      <c r="G145" s="177"/>
      <c r="H145" s="188"/>
      <c r="I145" s="179"/>
      <c r="J145" s="508"/>
      <c r="K145" s="517"/>
      <c r="L145" s="1250"/>
      <c r="M145" s="1250"/>
      <c r="N145" s="1250"/>
      <c r="O145" s="1250"/>
      <c r="P145" s="1250"/>
      <c r="Q145" s="1250"/>
      <c r="R145" s="1250"/>
      <c r="S145" s="1250"/>
      <c r="T145" s="1250"/>
    </row>
    <row r="146" spans="1:20">
      <c r="A146" s="180" t="s">
        <v>231</v>
      </c>
      <c r="B146" s="181" t="s">
        <v>234</v>
      </c>
      <c r="C146" s="181"/>
      <c r="D146" s="182"/>
      <c r="E146" s="183"/>
      <c r="F146" s="184"/>
      <c r="G146" s="184"/>
      <c r="H146" s="185">
        <f>SUM(G147:G150)</f>
        <v>0</v>
      </c>
      <c r="I146" s="186">
        <f>H146/$H$233</f>
        <v>0</v>
      </c>
      <c r="J146" s="509">
        <f>H146/$G$4</f>
        <v>0</v>
      </c>
      <c r="K146" s="516"/>
      <c r="L146" s="1247"/>
      <c r="M146" s="1247"/>
      <c r="N146" s="1247"/>
      <c r="O146" s="1247"/>
      <c r="P146" s="1247"/>
      <c r="Q146" s="1247"/>
      <c r="R146" s="1247"/>
      <c r="S146" s="1247"/>
      <c r="T146" s="1247"/>
    </row>
    <row r="147" spans="1:20">
      <c r="A147" s="192"/>
      <c r="B147" s="176"/>
      <c r="C147" s="176"/>
      <c r="D147" s="175"/>
      <c r="E147" s="176"/>
      <c r="F147" s="177"/>
      <c r="G147" s="177"/>
      <c r="H147" s="188"/>
      <c r="I147" s="179"/>
      <c r="J147" s="508"/>
      <c r="K147" s="517"/>
      <c r="L147" s="1250"/>
      <c r="M147" s="1250"/>
      <c r="N147" s="1250"/>
      <c r="O147" s="1250"/>
      <c r="P147" s="1250"/>
      <c r="Q147" s="1250"/>
      <c r="R147" s="1250"/>
      <c r="S147" s="1250"/>
      <c r="T147" s="1250"/>
    </row>
    <row r="148" spans="1:20">
      <c r="A148" s="192"/>
      <c r="B148" s="176"/>
      <c r="C148" s="176"/>
      <c r="D148" s="175"/>
      <c r="E148" s="176"/>
      <c r="F148" s="177"/>
      <c r="G148" s="177"/>
      <c r="H148" s="188"/>
      <c r="I148" s="179"/>
      <c r="J148" s="508"/>
      <c r="K148" s="517"/>
      <c r="L148" s="1250"/>
      <c r="M148" s="1250"/>
      <c r="N148" s="1250"/>
      <c r="O148" s="1250"/>
      <c r="P148" s="1250"/>
      <c r="Q148" s="1250"/>
      <c r="R148" s="1250"/>
      <c r="S148" s="1250"/>
      <c r="T148" s="1250"/>
    </row>
    <row r="149" spans="1:20">
      <c r="A149" s="192"/>
      <c r="B149" s="176"/>
      <c r="C149" s="176"/>
      <c r="D149" s="175"/>
      <c r="E149" s="176"/>
      <c r="F149" s="177"/>
      <c r="G149" s="177"/>
      <c r="H149" s="188"/>
      <c r="I149" s="179"/>
      <c r="J149" s="508"/>
      <c r="K149" s="517"/>
      <c r="L149" s="1250"/>
      <c r="M149" s="1250"/>
      <c r="N149" s="1250"/>
      <c r="O149" s="1250"/>
      <c r="P149" s="1250"/>
      <c r="Q149" s="1250"/>
      <c r="R149" s="1250"/>
      <c r="S149" s="1250"/>
      <c r="T149" s="1250"/>
    </row>
    <row r="150" spans="1:20">
      <c r="A150" s="192"/>
      <c r="B150" s="176"/>
      <c r="C150" s="176"/>
      <c r="D150" s="175"/>
      <c r="E150" s="176"/>
      <c r="F150" s="177"/>
      <c r="G150" s="177"/>
      <c r="H150" s="188"/>
      <c r="I150" s="179"/>
      <c r="J150" s="508"/>
      <c r="K150" s="517"/>
      <c r="L150" s="1250"/>
      <c r="M150" s="1250"/>
      <c r="N150" s="1250"/>
      <c r="O150" s="1250"/>
      <c r="P150" s="1250"/>
      <c r="Q150" s="1250"/>
      <c r="R150" s="1250"/>
      <c r="S150" s="1250"/>
      <c r="T150" s="1250"/>
    </row>
    <row r="151" spans="1:20">
      <c r="A151" s="180" t="s">
        <v>235</v>
      </c>
      <c r="B151" s="181" t="s">
        <v>236</v>
      </c>
      <c r="C151" s="181"/>
      <c r="D151" s="182"/>
      <c r="E151" s="183"/>
      <c r="F151" s="184"/>
      <c r="G151" s="184"/>
      <c r="H151" s="185">
        <f>SUM(G152:G155)</f>
        <v>327000</v>
      </c>
      <c r="I151" s="186">
        <f>H151/$H$233</f>
        <v>6.391115138186855E-2</v>
      </c>
      <c r="J151" s="509">
        <f>H151/$G$4</f>
        <v>10.11538342561945</v>
      </c>
      <c r="K151" s="516"/>
      <c r="L151" s="1247"/>
      <c r="M151" s="1247"/>
      <c r="N151" s="1247"/>
      <c r="O151" s="1247"/>
      <c r="P151" s="1247"/>
      <c r="Q151" s="1247"/>
      <c r="R151" s="1247"/>
      <c r="S151" s="1247"/>
      <c r="T151" s="1247"/>
    </row>
    <row r="152" spans="1:20">
      <c r="A152" s="194"/>
      <c r="B152" s="176" t="s">
        <v>559</v>
      </c>
      <c r="C152" s="176"/>
      <c r="D152" s="175"/>
      <c r="E152" s="195"/>
      <c r="F152" s="177"/>
      <c r="G152" s="177">
        <v>292000</v>
      </c>
      <c r="H152" s="188"/>
      <c r="I152" s="179"/>
      <c r="J152" s="508"/>
      <c r="K152" s="517">
        <f>G152</f>
        <v>292000</v>
      </c>
      <c r="L152" s="1250" t="s">
        <v>586</v>
      </c>
      <c r="M152" s="1250"/>
      <c r="N152" s="1250"/>
      <c r="O152" s="1250"/>
      <c r="P152" s="1250"/>
      <c r="Q152" s="1250"/>
      <c r="R152" s="1250"/>
      <c r="S152" s="1250"/>
      <c r="T152" s="1250"/>
    </row>
    <row r="153" spans="1:20">
      <c r="A153" s="194"/>
      <c r="B153" s="176" t="s">
        <v>560</v>
      </c>
      <c r="C153" s="176"/>
      <c r="D153" s="175"/>
      <c r="E153" s="195"/>
      <c r="F153" s="177"/>
      <c r="G153" s="177">
        <v>35000</v>
      </c>
      <c r="H153" s="188"/>
      <c r="I153" s="179"/>
      <c r="J153" s="508"/>
      <c r="K153" s="517"/>
      <c r="L153" s="1250"/>
      <c r="M153" s="1250"/>
      <c r="N153" s="1250"/>
      <c r="O153" s="1250"/>
      <c r="P153" s="1250"/>
      <c r="Q153" s="1250"/>
      <c r="R153" s="1250"/>
      <c r="S153" s="1250"/>
      <c r="T153" s="1250"/>
    </row>
    <row r="154" spans="1:20">
      <c r="A154" s="194"/>
      <c r="B154" s="176"/>
      <c r="C154" s="176"/>
      <c r="D154" s="175"/>
      <c r="E154" s="195"/>
      <c r="F154" s="177"/>
      <c r="G154" s="177"/>
      <c r="H154" s="188"/>
      <c r="I154" s="179"/>
      <c r="J154" s="508"/>
      <c r="K154" s="517"/>
      <c r="L154" s="1250"/>
      <c r="M154" s="1250"/>
      <c r="N154" s="1250"/>
      <c r="O154" s="1250"/>
      <c r="P154" s="1250"/>
      <c r="Q154" s="1250"/>
      <c r="R154" s="1250"/>
      <c r="S154" s="1250"/>
      <c r="T154" s="1250"/>
    </row>
    <row r="155" spans="1:20">
      <c r="A155" s="194"/>
      <c r="B155" s="176"/>
      <c r="C155" s="176"/>
      <c r="D155" s="175"/>
      <c r="E155" s="195"/>
      <c r="F155" s="177"/>
      <c r="G155" s="177"/>
      <c r="H155" s="188"/>
      <c r="I155" s="179"/>
      <c r="J155" s="508"/>
      <c r="K155" s="517"/>
      <c r="L155" s="1250"/>
      <c r="M155" s="1250"/>
      <c r="N155" s="1250"/>
      <c r="O155" s="1250"/>
      <c r="P155" s="1250"/>
      <c r="Q155" s="1250"/>
      <c r="R155" s="1250"/>
      <c r="S155" s="1250"/>
      <c r="T155" s="1250"/>
    </row>
    <row r="156" spans="1:20">
      <c r="A156" s="180" t="s">
        <v>237</v>
      </c>
      <c r="B156" s="181" t="s">
        <v>238</v>
      </c>
      <c r="C156" s="181"/>
      <c r="D156" s="182"/>
      <c r="E156" s="183"/>
      <c r="F156" s="184"/>
      <c r="G156" s="184"/>
      <c r="H156" s="185">
        <f>SUM(G157:G160)</f>
        <v>75000</v>
      </c>
      <c r="I156" s="186">
        <f>H156/$H$233</f>
        <v>1.4658520959144161E-2</v>
      </c>
      <c r="J156" s="509">
        <f>H156/$G$4</f>
        <v>2.3200420700962043</v>
      </c>
      <c r="K156" s="516"/>
      <c r="L156" s="1247"/>
      <c r="M156" s="1247"/>
      <c r="N156" s="1247"/>
      <c r="O156" s="1247"/>
      <c r="P156" s="1247"/>
      <c r="Q156" s="1247"/>
      <c r="R156" s="1247"/>
      <c r="S156" s="1247"/>
      <c r="T156" s="1247"/>
    </row>
    <row r="157" spans="1:20">
      <c r="A157" s="200"/>
      <c r="B157" s="176" t="s">
        <v>239</v>
      </c>
      <c r="C157" s="176"/>
      <c r="D157" s="175"/>
      <c r="E157" s="176"/>
      <c r="F157" s="177"/>
      <c r="G157" s="177">
        <v>75000</v>
      </c>
      <c r="H157" s="188"/>
      <c r="I157" s="179"/>
      <c r="J157" s="508"/>
      <c r="K157" s="517"/>
      <c r="L157" s="1250"/>
      <c r="M157" s="1250"/>
      <c r="N157" s="1250"/>
      <c r="O157" s="1250"/>
      <c r="P157" s="1250"/>
      <c r="Q157" s="1250"/>
      <c r="R157" s="1250"/>
      <c r="S157" s="1250"/>
      <c r="T157" s="1250"/>
    </row>
    <row r="158" spans="1:20">
      <c r="A158" s="200"/>
      <c r="B158" s="176"/>
      <c r="C158" s="176"/>
      <c r="D158" s="175"/>
      <c r="E158" s="176"/>
      <c r="F158" s="177"/>
      <c r="G158" s="177"/>
      <c r="H158" s="188"/>
      <c r="I158" s="179"/>
      <c r="J158" s="508"/>
      <c r="K158" s="517"/>
      <c r="L158" s="1250"/>
      <c r="M158" s="1250"/>
      <c r="N158" s="1250"/>
      <c r="O158" s="1250"/>
      <c r="P158" s="1250"/>
      <c r="Q158" s="1250"/>
      <c r="R158" s="1250"/>
      <c r="S158" s="1250"/>
      <c r="T158" s="1250"/>
    </row>
    <row r="159" spans="1:20">
      <c r="A159" s="200"/>
      <c r="B159" s="176"/>
      <c r="C159" s="176"/>
      <c r="D159" s="175"/>
      <c r="E159" s="176"/>
      <c r="F159" s="177"/>
      <c r="G159" s="177"/>
      <c r="H159" s="188"/>
      <c r="I159" s="179"/>
      <c r="J159" s="508"/>
      <c r="K159" s="517"/>
      <c r="L159" s="1250"/>
      <c r="M159" s="1250"/>
      <c r="N159" s="1250"/>
      <c r="O159" s="1250"/>
      <c r="P159" s="1250"/>
      <c r="Q159" s="1250"/>
      <c r="R159" s="1250"/>
      <c r="S159" s="1250"/>
      <c r="T159" s="1250"/>
    </row>
    <row r="160" spans="1:20">
      <c r="A160" s="201"/>
      <c r="B160" s="176"/>
      <c r="C160" s="176"/>
      <c r="D160" s="175"/>
      <c r="E160" s="176"/>
      <c r="F160" s="177"/>
      <c r="G160" s="177"/>
      <c r="H160" s="188"/>
      <c r="I160" s="179"/>
      <c r="J160" s="508"/>
      <c r="K160" s="517"/>
      <c r="L160" s="1250"/>
      <c r="M160" s="1250"/>
      <c r="N160" s="1250"/>
      <c r="O160" s="1250"/>
      <c r="P160" s="1250"/>
      <c r="Q160" s="1250"/>
      <c r="R160" s="1250"/>
      <c r="S160" s="1250"/>
      <c r="T160" s="1250"/>
    </row>
    <row r="161" spans="1:20">
      <c r="A161" s="180" t="s">
        <v>240</v>
      </c>
      <c r="B161" s="181" t="s">
        <v>241</v>
      </c>
      <c r="C161" s="181"/>
      <c r="D161" s="182"/>
      <c r="E161" s="183"/>
      <c r="F161" s="184"/>
      <c r="G161" s="184"/>
      <c r="H161" s="185">
        <f>SUM(G162:G165)</f>
        <v>75000</v>
      </c>
      <c r="I161" s="186">
        <f>H161/$H$233</f>
        <v>1.4658520959144161E-2</v>
      </c>
      <c r="J161" s="509">
        <f>H161/$G$4</f>
        <v>2.3200420700962043</v>
      </c>
      <c r="K161" s="516"/>
      <c r="L161" s="1247"/>
      <c r="M161" s="1247"/>
      <c r="N161" s="1247"/>
      <c r="O161" s="1247"/>
      <c r="P161" s="1247"/>
      <c r="Q161" s="1247"/>
      <c r="R161" s="1247"/>
      <c r="S161" s="1247"/>
      <c r="T161" s="1247"/>
    </row>
    <row r="162" spans="1:20">
      <c r="A162" s="202"/>
      <c r="B162" s="176" t="s">
        <v>561</v>
      </c>
      <c r="C162" s="176"/>
      <c r="D162" s="175"/>
      <c r="E162" s="176"/>
      <c r="F162" s="177"/>
      <c r="G162" s="177">
        <v>75000</v>
      </c>
      <c r="H162" s="188"/>
      <c r="I162" s="179"/>
      <c r="J162" s="508"/>
      <c r="K162" s="517"/>
      <c r="L162" s="1250"/>
      <c r="M162" s="1250"/>
      <c r="N162" s="1250"/>
      <c r="O162" s="1250"/>
      <c r="P162" s="1250"/>
      <c r="Q162" s="1250"/>
      <c r="R162" s="1250"/>
      <c r="S162" s="1250"/>
      <c r="T162" s="1250"/>
    </row>
    <row r="163" spans="1:20">
      <c r="A163" s="203"/>
      <c r="B163" s="176"/>
      <c r="C163" s="176"/>
      <c r="D163" s="175"/>
      <c r="E163" s="176"/>
      <c r="F163" s="177"/>
      <c r="G163" s="177"/>
      <c r="H163" s="188"/>
      <c r="I163" s="179"/>
      <c r="J163" s="508"/>
      <c r="K163" s="517"/>
      <c r="L163" s="1250"/>
      <c r="M163" s="1250"/>
      <c r="N163" s="1250"/>
      <c r="O163" s="1250"/>
      <c r="P163" s="1250"/>
      <c r="Q163" s="1250"/>
      <c r="R163" s="1250"/>
      <c r="S163" s="1250"/>
      <c r="T163" s="1250"/>
    </row>
    <row r="164" spans="1:20">
      <c r="A164" s="203"/>
      <c r="B164" s="176"/>
      <c r="C164" s="176"/>
      <c r="D164" s="175"/>
      <c r="E164" s="176"/>
      <c r="F164" s="177"/>
      <c r="G164" s="177"/>
      <c r="H164" s="188"/>
      <c r="I164" s="179"/>
      <c r="J164" s="508"/>
      <c r="K164" s="517"/>
      <c r="L164" s="1250"/>
      <c r="M164" s="1250"/>
      <c r="N164" s="1250"/>
      <c r="O164" s="1250"/>
      <c r="P164" s="1250"/>
      <c r="Q164" s="1250"/>
      <c r="R164" s="1250"/>
      <c r="S164" s="1250"/>
      <c r="T164" s="1250"/>
    </row>
    <row r="165" spans="1:20">
      <c r="A165" s="203"/>
      <c r="B165" s="176"/>
      <c r="C165" s="176"/>
      <c r="D165" s="175"/>
      <c r="E165" s="176"/>
      <c r="F165" s="177"/>
      <c r="G165" s="177"/>
      <c r="H165" s="188"/>
      <c r="I165" s="179"/>
      <c r="J165" s="508"/>
      <c r="K165" s="517"/>
      <c r="L165" s="1250"/>
      <c r="M165" s="1250"/>
      <c r="N165" s="1250"/>
      <c r="O165" s="1250"/>
      <c r="P165" s="1250"/>
      <c r="Q165" s="1250"/>
      <c r="R165" s="1250"/>
      <c r="S165" s="1250"/>
      <c r="T165" s="1250"/>
    </row>
    <row r="166" spans="1:20">
      <c r="A166" s="180" t="s">
        <v>242</v>
      </c>
      <c r="B166" s="181" t="s">
        <v>243</v>
      </c>
      <c r="C166" s="181"/>
      <c r="D166" s="182"/>
      <c r="E166" s="183"/>
      <c r="F166" s="184"/>
      <c r="G166" s="184"/>
      <c r="H166" s="185">
        <f>SUM(G167:G170)</f>
        <v>210000</v>
      </c>
      <c r="I166" s="186">
        <f>H166/$H$233</f>
        <v>4.1043858685603653E-2</v>
      </c>
      <c r="J166" s="509">
        <f>H166/$G$4</f>
        <v>6.4961177962693721</v>
      </c>
      <c r="K166" s="516"/>
      <c r="L166" s="1247"/>
      <c r="M166" s="1247"/>
      <c r="N166" s="1247"/>
      <c r="O166" s="1247"/>
      <c r="P166" s="1247"/>
      <c r="Q166" s="1247"/>
      <c r="R166" s="1247"/>
      <c r="S166" s="1247"/>
      <c r="T166" s="1247"/>
    </row>
    <row r="167" spans="1:20">
      <c r="A167" s="200"/>
      <c r="B167" s="176" t="s">
        <v>244</v>
      </c>
      <c r="C167" s="176">
        <v>-100000</v>
      </c>
      <c r="D167" s="175"/>
      <c r="E167" s="176"/>
      <c r="F167" s="177"/>
      <c r="G167" s="177">
        <v>210000</v>
      </c>
      <c r="H167" s="188"/>
      <c r="I167" s="179"/>
      <c r="J167" s="508"/>
      <c r="K167" s="517"/>
      <c r="L167" s="1250"/>
      <c r="M167" s="1250"/>
      <c r="N167" s="1250"/>
      <c r="O167" s="1250"/>
      <c r="P167" s="1250"/>
      <c r="Q167" s="1250"/>
      <c r="R167" s="1250"/>
      <c r="S167" s="1250"/>
      <c r="T167" s="1250"/>
    </row>
    <row r="168" spans="1:20">
      <c r="A168" s="200"/>
      <c r="B168" s="176"/>
      <c r="C168" s="176"/>
      <c r="D168" s="175"/>
      <c r="E168" s="195"/>
      <c r="F168" s="177"/>
      <c r="G168" s="177"/>
      <c r="H168" s="188"/>
      <c r="I168" s="179"/>
      <c r="J168" s="508"/>
      <c r="K168" s="517"/>
      <c r="L168" s="1250"/>
      <c r="M168" s="1250"/>
      <c r="N168" s="1250"/>
      <c r="O168" s="1250"/>
      <c r="P168" s="1250"/>
      <c r="Q168" s="1250"/>
      <c r="R168" s="1250"/>
      <c r="S168" s="1250"/>
      <c r="T168" s="1250"/>
    </row>
    <row r="169" spans="1:20">
      <c r="A169" s="200"/>
      <c r="B169" s="176"/>
      <c r="C169" s="176"/>
      <c r="D169" s="175"/>
      <c r="E169" s="195"/>
      <c r="F169" s="177"/>
      <c r="G169" s="177"/>
      <c r="H169" s="188"/>
      <c r="I169" s="179"/>
      <c r="J169" s="508"/>
      <c r="K169" s="517"/>
      <c r="L169" s="1250"/>
      <c r="M169" s="1250"/>
      <c r="N169" s="1250"/>
      <c r="O169" s="1250"/>
      <c r="P169" s="1250"/>
      <c r="Q169" s="1250"/>
      <c r="R169" s="1250"/>
      <c r="S169" s="1250"/>
      <c r="T169" s="1250"/>
    </row>
    <row r="170" spans="1:20">
      <c r="A170" s="200"/>
      <c r="B170" s="176"/>
      <c r="C170" s="176"/>
      <c r="D170" s="175"/>
      <c r="E170" s="195"/>
      <c r="F170" s="177"/>
      <c r="G170" s="177"/>
      <c r="H170" s="188"/>
      <c r="I170" s="179"/>
      <c r="J170" s="508"/>
      <c r="K170" s="517"/>
      <c r="L170" s="1250"/>
      <c r="M170" s="1250"/>
      <c r="N170" s="1250"/>
      <c r="O170" s="1250"/>
      <c r="P170" s="1250"/>
      <c r="Q170" s="1250"/>
      <c r="R170" s="1250"/>
      <c r="S170" s="1250"/>
      <c r="T170" s="1250"/>
    </row>
    <row r="171" spans="1:20">
      <c r="A171" s="180" t="s">
        <v>245</v>
      </c>
      <c r="B171" s="181" t="s">
        <v>246</v>
      </c>
      <c r="C171" s="181"/>
      <c r="D171" s="182"/>
      <c r="E171" s="183"/>
      <c r="F171" s="184"/>
      <c r="G171" s="184"/>
      <c r="H171" s="185">
        <f>SUM(G172:G176)</f>
        <v>280000</v>
      </c>
      <c r="I171" s="186">
        <f>H171/$H$233</f>
        <v>5.4725144914138199E-2</v>
      </c>
      <c r="J171" s="509">
        <f>H171/$G$4</f>
        <v>8.6614903950258295</v>
      </c>
      <c r="K171" s="516"/>
      <c r="L171" s="1247"/>
      <c r="M171" s="1247"/>
      <c r="N171" s="1247"/>
      <c r="O171" s="1247"/>
      <c r="P171" s="1247"/>
      <c r="Q171" s="1247"/>
      <c r="R171" s="1247"/>
      <c r="S171" s="1247"/>
      <c r="T171" s="1247"/>
    </row>
    <row r="172" spans="1:20">
      <c r="A172" s="200"/>
      <c r="B172" s="176" t="s">
        <v>247</v>
      </c>
      <c r="C172" s="176">
        <v>30000</v>
      </c>
      <c r="D172" s="175"/>
      <c r="E172" s="176"/>
      <c r="F172" s="177"/>
      <c r="G172" s="177">
        <v>280000</v>
      </c>
      <c r="H172" s="188"/>
      <c r="I172" s="179"/>
      <c r="J172" s="510"/>
      <c r="K172" s="518"/>
      <c r="L172" s="1250"/>
      <c r="M172" s="1250"/>
      <c r="N172" s="1250"/>
      <c r="O172" s="1250"/>
      <c r="P172" s="1250"/>
      <c r="Q172" s="1250"/>
      <c r="R172" s="1250"/>
      <c r="S172" s="1250"/>
      <c r="T172" s="1250"/>
    </row>
    <row r="173" spans="1:20">
      <c r="A173" s="200"/>
      <c r="B173" s="176"/>
      <c r="C173" s="176"/>
      <c r="D173" s="175"/>
      <c r="E173" s="176"/>
      <c r="F173" s="177"/>
      <c r="G173" s="177"/>
      <c r="H173" s="188"/>
      <c r="I173" s="179"/>
      <c r="J173" s="510"/>
      <c r="K173" s="518"/>
      <c r="L173" s="1250"/>
      <c r="M173" s="1250"/>
      <c r="N173" s="1250"/>
      <c r="O173" s="1250"/>
      <c r="P173" s="1250"/>
      <c r="Q173" s="1250"/>
      <c r="R173" s="1250"/>
      <c r="S173" s="1250"/>
      <c r="T173" s="1250"/>
    </row>
    <row r="174" spans="1:20">
      <c r="A174" s="200"/>
      <c r="B174" s="176"/>
      <c r="C174" s="176"/>
      <c r="D174" s="175"/>
      <c r="E174" s="176"/>
      <c r="F174" s="177"/>
      <c r="G174" s="177"/>
      <c r="H174" s="188"/>
      <c r="I174" s="179"/>
      <c r="J174" s="510"/>
      <c r="K174" s="518"/>
      <c r="L174" s="1250"/>
      <c r="M174" s="1250"/>
      <c r="N174" s="1250"/>
      <c r="O174" s="1250"/>
      <c r="P174" s="1250"/>
      <c r="Q174" s="1250"/>
      <c r="R174" s="1250"/>
      <c r="S174" s="1250"/>
      <c r="T174" s="1250"/>
    </row>
    <row r="175" spans="1:20">
      <c r="A175" s="200"/>
      <c r="B175" s="176"/>
      <c r="C175" s="176"/>
      <c r="D175" s="175"/>
      <c r="E175" s="176"/>
      <c r="F175" s="177"/>
      <c r="G175" s="177"/>
      <c r="H175" s="188"/>
      <c r="I175" s="179"/>
      <c r="J175" s="510"/>
      <c r="K175" s="518"/>
      <c r="L175" s="1250"/>
      <c r="M175" s="1250"/>
      <c r="N175" s="1250"/>
      <c r="O175" s="1250"/>
      <c r="P175" s="1250"/>
      <c r="Q175" s="1250"/>
      <c r="R175" s="1250"/>
      <c r="S175" s="1250"/>
      <c r="T175" s="1250"/>
    </row>
    <row r="176" spans="1:20">
      <c r="A176" s="206"/>
      <c r="B176" s="176"/>
      <c r="C176" s="176"/>
      <c r="D176" s="175"/>
      <c r="E176" s="176"/>
      <c r="F176" s="177"/>
      <c r="G176" s="177"/>
      <c r="H176" s="188"/>
      <c r="I176" s="179"/>
      <c r="J176" s="510"/>
      <c r="K176" s="518"/>
      <c r="L176" s="199"/>
      <c r="M176" s="199"/>
      <c r="N176" s="199"/>
      <c r="O176" s="199"/>
      <c r="P176" s="199"/>
      <c r="Q176" s="199"/>
      <c r="R176" s="199"/>
      <c r="S176" s="199"/>
      <c r="T176" s="199"/>
    </row>
    <row r="177" spans="1:20">
      <c r="A177" s="180" t="s">
        <v>248</v>
      </c>
      <c r="B177" s="181" t="s">
        <v>249</v>
      </c>
      <c r="C177" s="181"/>
      <c r="D177" s="182"/>
      <c r="E177" s="183"/>
      <c r="F177" s="184"/>
      <c r="G177" s="184"/>
      <c r="H177" s="185">
        <f>SUM(G178:G181)</f>
        <v>30000</v>
      </c>
      <c r="I177" s="186">
        <f>H177/$H$233</f>
        <v>5.8634083836576643E-3</v>
      </c>
      <c r="J177" s="509">
        <f>H177/$G$4</f>
        <v>0.92801682803848173</v>
      </c>
      <c r="K177" s="516"/>
      <c r="L177" s="1247"/>
      <c r="M177" s="1247"/>
      <c r="N177" s="1247"/>
      <c r="O177" s="1247"/>
      <c r="P177" s="1247"/>
      <c r="Q177" s="1247"/>
      <c r="R177" s="1247"/>
      <c r="S177" s="1247"/>
      <c r="T177" s="1247"/>
    </row>
    <row r="178" spans="1:20">
      <c r="A178" s="200"/>
      <c r="B178" s="176" t="s">
        <v>562</v>
      </c>
      <c r="C178" s="176"/>
      <c r="D178" s="175"/>
      <c r="E178" s="176"/>
      <c r="F178" s="177"/>
      <c r="G178" s="177">
        <v>30000</v>
      </c>
      <c r="H178" s="188"/>
      <c r="I178" s="179"/>
      <c r="J178" s="510"/>
      <c r="K178" s="518"/>
      <c r="L178" s="1250"/>
      <c r="M178" s="1250"/>
      <c r="N178" s="1250"/>
      <c r="O178" s="1250"/>
      <c r="P178" s="1250"/>
      <c r="Q178" s="1250"/>
      <c r="R178" s="1250"/>
      <c r="S178" s="1250"/>
      <c r="T178" s="1250"/>
    </row>
    <row r="179" spans="1:20">
      <c r="A179" s="200"/>
      <c r="B179" s="176"/>
      <c r="C179" s="176"/>
      <c r="D179" s="175"/>
      <c r="E179" s="176"/>
      <c r="F179" s="177"/>
      <c r="G179" s="177"/>
      <c r="H179" s="188"/>
      <c r="I179" s="179"/>
      <c r="J179" s="510"/>
      <c r="K179" s="518"/>
      <c r="L179" s="1250"/>
      <c r="M179" s="1250"/>
      <c r="N179" s="1250"/>
      <c r="O179" s="1250"/>
      <c r="P179" s="1250"/>
      <c r="Q179" s="1250"/>
      <c r="R179" s="1250"/>
      <c r="S179" s="1250"/>
      <c r="T179" s="1250"/>
    </row>
    <row r="180" spans="1:20">
      <c r="A180" s="200"/>
      <c r="B180" s="176"/>
      <c r="C180" s="176"/>
      <c r="D180" s="175"/>
      <c r="E180" s="176"/>
      <c r="F180" s="177"/>
      <c r="G180" s="177"/>
      <c r="H180" s="188"/>
      <c r="I180" s="179"/>
      <c r="J180" s="510"/>
      <c r="K180" s="518"/>
      <c r="L180" s="1250"/>
      <c r="M180" s="1250"/>
      <c r="N180" s="1250"/>
      <c r="O180" s="1250"/>
      <c r="P180" s="1250"/>
      <c r="Q180" s="1250"/>
      <c r="R180" s="1250"/>
      <c r="S180" s="1250"/>
      <c r="T180" s="1250"/>
    </row>
    <row r="181" spans="1:20">
      <c r="A181" s="200"/>
      <c r="B181" s="176"/>
      <c r="C181" s="176"/>
      <c r="D181" s="175"/>
      <c r="E181" s="176"/>
      <c r="F181" s="177"/>
      <c r="G181" s="177"/>
      <c r="H181" s="188"/>
      <c r="I181" s="179"/>
      <c r="J181" s="510"/>
      <c r="K181" s="518"/>
      <c r="L181" s="1250"/>
      <c r="M181" s="1250"/>
      <c r="N181" s="1250"/>
      <c r="O181" s="1250"/>
      <c r="P181" s="1250"/>
      <c r="Q181" s="1250"/>
      <c r="R181" s="1250"/>
      <c r="S181" s="1250"/>
      <c r="T181" s="1250"/>
    </row>
    <row r="182" spans="1:20">
      <c r="A182" s="180"/>
      <c r="B182" s="181" t="s">
        <v>251</v>
      </c>
      <c r="C182" s="181"/>
      <c r="D182" s="182"/>
      <c r="E182" s="183"/>
      <c r="F182" s="184"/>
      <c r="G182" s="184"/>
      <c r="H182" s="185">
        <f>SUM(G183:G186)</f>
        <v>25000</v>
      </c>
      <c r="I182" s="186">
        <f>H182/$H$233</f>
        <v>4.8861736530480537E-3</v>
      </c>
      <c r="J182" s="509">
        <f>H182/$G$4</f>
        <v>0.77334735669873478</v>
      </c>
      <c r="K182" s="515"/>
      <c r="L182" s="1225"/>
      <c r="M182" s="1226"/>
      <c r="N182" s="1226"/>
      <c r="O182" s="1226"/>
      <c r="P182" s="1226"/>
      <c r="Q182" s="1226"/>
      <c r="R182" s="1226"/>
      <c r="S182" s="1226"/>
      <c r="T182" s="1227"/>
    </row>
    <row r="183" spans="1:20">
      <c r="A183" s="192"/>
      <c r="B183" s="176"/>
      <c r="C183" s="166"/>
      <c r="D183" s="175"/>
      <c r="E183" s="176"/>
      <c r="F183" s="193"/>
      <c r="G183" s="177"/>
      <c r="H183" s="188"/>
      <c r="I183" s="179"/>
      <c r="J183" s="508"/>
      <c r="K183" s="514"/>
      <c r="L183" s="1228"/>
      <c r="M183" s="1229"/>
      <c r="N183" s="1229"/>
      <c r="O183" s="1229"/>
      <c r="P183" s="1229"/>
      <c r="Q183" s="1229"/>
      <c r="R183" s="1229"/>
      <c r="S183" s="1229"/>
      <c r="T183" s="1230"/>
    </row>
    <row r="184" spans="1:20">
      <c r="A184" s="192"/>
      <c r="B184" s="176" t="s">
        <v>563</v>
      </c>
      <c r="C184" s="166">
        <v>-25000</v>
      </c>
      <c r="D184" s="175"/>
      <c r="E184" s="176"/>
      <c r="F184" s="193"/>
      <c r="G184" s="177">
        <v>25000</v>
      </c>
      <c r="H184" s="188"/>
      <c r="I184" s="179"/>
      <c r="J184" s="508"/>
      <c r="K184" s="514"/>
      <c r="L184" s="1228"/>
      <c r="M184" s="1229"/>
      <c r="N184" s="1229"/>
      <c r="O184" s="1229"/>
      <c r="P184" s="1229"/>
      <c r="Q184" s="1229"/>
      <c r="R184" s="1229"/>
      <c r="S184" s="1229"/>
      <c r="T184" s="1230"/>
    </row>
    <row r="185" spans="1:20">
      <c r="A185" s="192"/>
      <c r="B185" s="176"/>
      <c r="C185" s="166"/>
      <c r="D185" s="175"/>
      <c r="E185" s="176"/>
      <c r="F185" s="193"/>
      <c r="G185" s="160"/>
      <c r="H185" s="188"/>
      <c r="I185" s="179"/>
      <c r="J185" s="508"/>
      <c r="K185" s="514"/>
      <c r="L185" s="1228"/>
      <c r="M185" s="1229"/>
      <c r="N185" s="1229"/>
      <c r="O185" s="1229"/>
      <c r="P185" s="1229"/>
      <c r="Q185" s="1229"/>
      <c r="R185" s="1229"/>
      <c r="S185" s="1229"/>
      <c r="T185" s="1230"/>
    </row>
    <row r="186" spans="1:20">
      <c r="A186" s="194"/>
      <c r="B186" s="176"/>
      <c r="C186" s="176"/>
      <c r="D186" s="175"/>
      <c r="E186" s="195"/>
      <c r="F186" s="161"/>
      <c r="G186" s="177"/>
      <c r="H186" s="188"/>
      <c r="I186" s="179"/>
      <c r="J186" s="508"/>
      <c r="K186" s="517"/>
      <c r="L186" s="1250"/>
      <c r="M186" s="1250"/>
      <c r="N186" s="1250"/>
      <c r="O186" s="1250"/>
      <c r="P186" s="1250"/>
      <c r="Q186" s="1250"/>
      <c r="R186" s="1250"/>
      <c r="S186" s="1250"/>
      <c r="T186" s="1250"/>
    </row>
    <row r="187" spans="1:20">
      <c r="A187" s="1160" t="s">
        <v>252</v>
      </c>
      <c r="B187" s="1161"/>
      <c r="C187" s="1161"/>
      <c r="D187" s="1161"/>
      <c r="E187" s="1161"/>
      <c r="F187" s="1161"/>
      <c r="G187" s="1162"/>
      <c r="H187" s="207">
        <f>SUM(H9:H186)</f>
        <v>4800228</v>
      </c>
      <c r="I187" s="208">
        <f>H187/$H$233</f>
        <v>0.93818990328894214</v>
      </c>
      <c r="J187" s="511">
        <f>H233/$G$4</f>
        <v>158.27258947628917</v>
      </c>
      <c r="K187" s="519">
        <f>SUM(K7:K185)</f>
        <v>966175</v>
      </c>
      <c r="L187" s="209">
        <f>K187/H187</f>
        <v>0.20127689768069351</v>
      </c>
      <c r="M187" s="209"/>
      <c r="N187" s="209"/>
      <c r="O187" s="209"/>
      <c r="P187" s="209"/>
      <c r="Q187" s="209"/>
      <c r="R187" s="209"/>
      <c r="S187" s="209"/>
      <c r="T187" s="210"/>
    </row>
    <row r="188" spans="1:20">
      <c r="A188" s="192"/>
      <c r="B188" s="176"/>
      <c r="C188" s="176"/>
      <c r="D188" s="175"/>
      <c r="E188" s="176"/>
      <c r="F188" s="177"/>
      <c r="G188" s="177"/>
      <c r="H188" s="188"/>
      <c r="I188" s="179"/>
      <c r="J188" s="508"/>
      <c r="K188" s="514"/>
      <c r="L188" s="1228"/>
      <c r="M188" s="1229"/>
      <c r="N188" s="1229"/>
      <c r="O188" s="1229"/>
      <c r="P188" s="1229"/>
      <c r="Q188" s="1229"/>
      <c r="R188" s="1229"/>
      <c r="S188" s="1229"/>
      <c r="T188" s="1230"/>
    </row>
    <row r="189" spans="1:20">
      <c r="A189" s="180"/>
      <c r="B189" s="181" t="s">
        <v>253</v>
      </c>
      <c r="C189" s="181"/>
      <c r="D189" s="182"/>
      <c r="E189" s="183"/>
      <c r="F189" s="184"/>
      <c r="G189" s="184"/>
      <c r="H189" s="185">
        <f>SUM(G190:G212)</f>
        <v>86250</v>
      </c>
      <c r="I189" s="186">
        <f>H189/$H$233</f>
        <v>1.6857299103015786E-2</v>
      </c>
      <c r="J189" s="509">
        <f>H189/$G$4</f>
        <v>2.6680483806106352</v>
      </c>
      <c r="K189" s="516"/>
      <c r="L189" s="1247"/>
      <c r="M189" s="1247"/>
      <c r="N189" s="1247"/>
      <c r="O189" s="1247"/>
      <c r="P189" s="1247"/>
      <c r="Q189" s="1247"/>
      <c r="R189" s="1247"/>
      <c r="S189" s="1247"/>
      <c r="T189" s="1247"/>
    </row>
    <row r="190" spans="1:20">
      <c r="A190" s="192"/>
      <c r="B190" s="176"/>
      <c r="C190" s="176"/>
      <c r="D190" s="211"/>
      <c r="E190" s="212"/>
      <c r="F190" s="213"/>
      <c r="G190" s="177"/>
      <c r="H190" s="188"/>
      <c r="I190" s="179"/>
      <c r="J190" s="508"/>
      <c r="K190" s="514"/>
      <c r="L190" s="1228"/>
      <c r="M190" s="1229"/>
      <c r="N190" s="1229"/>
      <c r="O190" s="1229"/>
      <c r="P190" s="1229"/>
      <c r="Q190" s="1229"/>
      <c r="R190" s="1229"/>
      <c r="S190" s="1229"/>
      <c r="T190" s="1230"/>
    </row>
    <row r="191" spans="1:20">
      <c r="A191" s="192"/>
      <c r="B191" s="176" t="s">
        <v>254</v>
      </c>
      <c r="C191" s="176"/>
      <c r="D191" s="211" t="s">
        <v>255</v>
      </c>
      <c r="E191" s="176"/>
      <c r="F191" s="213"/>
      <c r="G191" s="177">
        <v>500</v>
      </c>
      <c r="H191" s="188"/>
      <c r="I191" s="179"/>
      <c r="J191" s="508"/>
      <c r="K191" s="514"/>
      <c r="L191" s="1228"/>
      <c r="M191" s="1229"/>
      <c r="N191" s="1229"/>
      <c r="O191" s="1229"/>
      <c r="P191" s="1229"/>
      <c r="Q191" s="1229"/>
      <c r="R191" s="1229"/>
      <c r="S191" s="1229"/>
      <c r="T191" s="1230"/>
    </row>
    <row r="192" spans="1:20">
      <c r="A192" s="192"/>
      <c r="B192" s="176" t="s">
        <v>256</v>
      </c>
      <c r="C192" s="176"/>
      <c r="D192" s="211" t="s">
        <v>255</v>
      </c>
      <c r="E192" s="176"/>
      <c r="F192" s="213"/>
      <c r="G192" s="177">
        <v>5000</v>
      </c>
      <c r="H192" s="188"/>
      <c r="I192" s="179"/>
      <c r="J192" s="508"/>
      <c r="K192" s="514"/>
      <c r="L192" s="1228"/>
      <c r="M192" s="1229"/>
      <c r="N192" s="1229"/>
      <c r="O192" s="1229"/>
      <c r="P192" s="1229"/>
      <c r="Q192" s="1229"/>
      <c r="R192" s="1229"/>
      <c r="S192" s="1229"/>
      <c r="T192" s="1230"/>
    </row>
    <row r="193" spans="1:20">
      <c r="A193" s="192"/>
      <c r="B193" s="176" t="s">
        <v>257</v>
      </c>
      <c r="C193" s="176"/>
      <c r="D193" s="211" t="s">
        <v>258</v>
      </c>
      <c r="E193" s="176">
        <v>0</v>
      </c>
      <c r="F193" s="213">
        <v>150</v>
      </c>
      <c r="G193" s="177">
        <f>E193*F193</f>
        <v>0</v>
      </c>
      <c r="H193" s="188"/>
      <c r="I193" s="179"/>
      <c r="J193" s="508"/>
      <c r="K193" s="514"/>
      <c r="L193" s="1228"/>
      <c r="M193" s="1229"/>
      <c r="N193" s="1229"/>
      <c r="O193" s="1229"/>
      <c r="P193" s="1229"/>
      <c r="Q193" s="1229"/>
      <c r="R193" s="1229"/>
      <c r="S193" s="1229"/>
      <c r="T193" s="1230"/>
    </row>
    <row r="194" spans="1:20">
      <c r="A194" s="192"/>
      <c r="B194" s="176" t="s">
        <v>259</v>
      </c>
      <c r="C194" s="176"/>
      <c r="D194" s="211" t="s">
        <v>260</v>
      </c>
      <c r="E194" s="176">
        <v>0</v>
      </c>
      <c r="F194" s="213">
        <v>140</v>
      </c>
      <c r="G194" s="177">
        <f>E194*F194</f>
        <v>0</v>
      </c>
      <c r="H194" s="188"/>
      <c r="I194" s="179"/>
      <c r="J194" s="508"/>
      <c r="K194" s="514"/>
      <c r="L194" s="1228" t="s">
        <v>261</v>
      </c>
      <c r="M194" s="1229"/>
      <c r="N194" s="1229"/>
      <c r="O194" s="1229"/>
      <c r="P194" s="1229"/>
      <c r="Q194" s="1229"/>
      <c r="R194" s="1229"/>
      <c r="S194" s="1229"/>
      <c r="T194" s="1230"/>
    </row>
    <row r="195" spans="1:20">
      <c r="A195" s="192"/>
      <c r="B195" s="176" t="s">
        <v>262</v>
      </c>
      <c r="C195" s="176"/>
      <c r="D195" s="211" t="s">
        <v>255</v>
      </c>
      <c r="E195" s="176"/>
      <c r="F195" s="213"/>
      <c r="G195" s="177"/>
      <c r="H195" s="188"/>
      <c r="I195" s="179"/>
      <c r="J195" s="508"/>
      <c r="K195" s="514"/>
      <c r="L195" s="1228"/>
      <c r="M195" s="1229"/>
      <c r="N195" s="1229"/>
      <c r="O195" s="1229"/>
      <c r="P195" s="1229"/>
      <c r="Q195" s="1229"/>
      <c r="R195" s="1229"/>
      <c r="S195" s="1229"/>
      <c r="T195" s="1230"/>
    </row>
    <row r="196" spans="1:20">
      <c r="A196" s="192"/>
      <c r="B196" s="176" t="s">
        <v>263</v>
      </c>
      <c r="C196" s="176"/>
      <c r="D196" s="211" t="s">
        <v>255</v>
      </c>
      <c r="E196" s="176"/>
      <c r="F196" s="213"/>
      <c r="G196" s="177">
        <v>6500</v>
      </c>
      <c r="H196" s="188"/>
      <c r="I196" s="179"/>
      <c r="J196" s="508"/>
      <c r="K196" s="514"/>
      <c r="L196" s="1228" t="s">
        <v>264</v>
      </c>
      <c r="M196" s="1229"/>
      <c r="N196" s="1229"/>
      <c r="O196" s="1229"/>
      <c r="P196" s="1229"/>
      <c r="Q196" s="1229"/>
      <c r="R196" s="1229"/>
      <c r="S196" s="1229"/>
      <c r="T196" s="1230"/>
    </row>
    <row r="197" spans="1:20">
      <c r="A197" s="192"/>
      <c r="B197" s="176" t="s">
        <v>265</v>
      </c>
      <c r="C197" s="176"/>
      <c r="D197" s="211" t="s">
        <v>266</v>
      </c>
      <c r="E197" s="176">
        <v>650</v>
      </c>
      <c r="F197" s="213">
        <v>55</v>
      </c>
      <c r="G197" s="177">
        <f>E197*F197</f>
        <v>35750</v>
      </c>
      <c r="H197" s="188"/>
      <c r="I197" s="179"/>
      <c r="J197" s="508"/>
      <c r="K197" s="514"/>
      <c r="L197" s="1228"/>
      <c r="M197" s="1229"/>
      <c r="N197" s="1229"/>
      <c r="O197" s="1229"/>
      <c r="P197" s="1229"/>
      <c r="Q197" s="1229"/>
      <c r="R197" s="1229"/>
      <c r="S197" s="1229"/>
      <c r="T197" s="1230"/>
    </row>
    <row r="198" spans="1:20">
      <c r="A198" s="192"/>
      <c r="B198" s="176" t="s">
        <v>267</v>
      </c>
      <c r="C198" s="176"/>
      <c r="D198" s="211" t="s">
        <v>255</v>
      </c>
      <c r="E198" s="176"/>
      <c r="F198" s="213"/>
      <c r="G198" s="177">
        <v>1500</v>
      </c>
      <c r="H198" s="188"/>
      <c r="I198" s="179"/>
      <c r="J198" s="508"/>
      <c r="K198" s="514"/>
      <c r="L198" s="1228"/>
      <c r="M198" s="1229"/>
      <c r="N198" s="1229"/>
      <c r="O198" s="1229"/>
      <c r="P198" s="1229"/>
      <c r="Q198" s="1229"/>
      <c r="R198" s="1229"/>
      <c r="S198" s="1229"/>
      <c r="T198" s="1230"/>
    </row>
    <row r="199" spans="1:20">
      <c r="A199" s="192"/>
      <c r="B199" s="176" t="s">
        <v>268</v>
      </c>
      <c r="C199" s="176"/>
      <c r="D199" s="211" t="s">
        <v>258</v>
      </c>
      <c r="E199" s="176">
        <v>3</v>
      </c>
      <c r="F199" s="213">
        <v>1200</v>
      </c>
      <c r="G199" s="177">
        <f>F199*E199</f>
        <v>3600</v>
      </c>
      <c r="H199" s="188"/>
      <c r="I199" s="179"/>
      <c r="J199" s="508"/>
      <c r="K199" s="514"/>
      <c r="L199" s="1228"/>
      <c r="M199" s="1229"/>
      <c r="N199" s="1229"/>
      <c r="O199" s="1229"/>
      <c r="P199" s="1229"/>
      <c r="Q199" s="1229"/>
      <c r="R199" s="1229"/>
      <c r="S199" s="1229"/>
      <c r="T199" s="1230"/>
    </row>
    <row r="200" spans="1:20">
      <c r="A200" s="192"/>
      <c r="B200" s="176" t="s">
        <v>269</v>
      </c>
      <c r="C200" s="176"/>
      <c r="D200" s="211" t="s">
        <v>258</v>
      </c>
      <c r="E200" s="176">
        <v>12</v>
      </c>
      <c r="F200" s="213">
        <v>600</v>
      </c>
      <c r="G200" s="177">
        <f>E200*F200</f>
        <v>7200</v>
      </c>
      <c r="H200" s="188"/>
      <c r="I200" s="179"/>
      <c r="J200" s="508"/>
      <c r="K200" s="514"/>
      <c r="L200" s="1228"/>
      <c r="M200" s="1229"/>
      <c r="N200" s="1229"/>
      <c r="O200" s="1229"/>
      <c r="P200" s="1229"/>
      <c r="Q200" s="1229"/>
      <c r="R200" s="1229"/>
      <c r="S200" s="1229"/>
      <c r="T200" s="1230"/>
    </row>
    <row r="201" spans="1:20">
      <c r="A201" s="192"/>
      <c r="B201" s="176" t="s">
        <v>270</v>
      </c>
      <c r="C201" s="176"/>
      <c r="D201" s="211" t="s">
        <v>255</v>
      </c>
      <c r="E201" s="176"/>
      <c r="F201" s="213"/>
      <c r="G201" s="177">
        <v>750</v>
      </c>
      <c r="H201" s="188"/>
      <c r="I201" s="179"/>
      <c r="J201" s="508"/>
      <c r="K201" s="514"/>
      <c r="L201" s="1228"/>
      <c r="M201" s="1229"/>
      <c r="N201" s="1229"/>
      <c r="O201" s="1229"/>
      <c r="P201" s="1229"/>
      <c r="Q201" s="1229"/>
      <c r="R201" s="1229"/>
      <c r="S201" s="1229"/>
      <c r="T201" s="1230"/>
    </row>
    <row r="202" spans="1:20">
      <c r="A202" s="192"/>
      <c r="B202" s="176" t="s">
        <v>271</v>
      </c>
      <c r="C202" s="176"/>
      <c r="D202" s="211" t="s">
        <v>255</v>
      </c>
      <c r="E202" s="176"/>
      <c r="F202" s="213"/>
      <c r="G202" s="177"/>
      <c r="H202" s="188"/>
      <c r="I202" s="179"/>
      <c r="J202" s="508"/>
      <c r="K202" s="514"/>
      <c r="L202" s="1228"/>
      <c r="M202" s="1229"/>
      <c r="N202" s="1229"/>
      <c r="O202" s="1229"/>
      <c r="P202" s="1229"/>
      <c r="Q202" s="1229"/>
      <c r="R202" s="1229"/>
      <c r="S202" s="1229"/>
      <c r="T202" s="1230"/>
    </row>
    <row r="203" spans="1:20">
      <c r="A203" s="192"/>
      <c r="B203" s="176" t="s">
        <v>272</v>
      </c>
      <c r="C203" s="176"/>
      <c r="D203" s="211" t="s">
        <v>255</v>
      </c>
      <c r="E203" s="176"/>
      <c r="F203" s="213"/>
      <c r="G203" s="177"/>
      <c r="H203" s="188"/>
      <c r="I203" s="179"/>
      <c r="J203" s="508"/>
      <c r="K203" s="514"/>
      <c r="L203" s="1228" t="s">
        <v>273</v>
      </c>
      <c r="M203" s="1229"/>
      <c r="N203" s="1229"/>
      <c r="O203" s="1229"/>
      <c r="P203" s="1229"/>
      <c r="Q203" s="1229"/>
      <c r="R203" s="1229"/>
      <c r="S203" s="1229"/>
      <c r="T203" s="1230"/>
    </row>
    <row r="204" spans="1:20">
      <c r="A204" s="192"/>
      <c r="B204" s="176" t="s">
        <v>274</v>
      </c>
      <c r="C204" s="176"/>
      <c r="D204" s="211"/>
      <c r="E204" s="176"/>
      <c r="F204" s="213"/>
      <c r="G204" s="177"/>
      <c r="H204" s="188"/>
      <c r="I204" s="179"/>
      <c r="J204" s="508"/>
      <c r="K204" s="514"/>
      <c r="L204" s="1228"/>
      <c r="M204" s="1229"/>
      <c r="N204" s="1229"/>
      <c r="O204" s="1229"/>
      <c r="P204" s="1229"/>
      <c r="Q204" s="1229"/>
      <c r="R204" s="1229"/>
      <c r="S204" s="1229"/>
      <c r="T204" s="1230"/>
    </row>
    <row r="205" spans="1:20">
      <c r="A205" s="192"/>
      <c r="B205" s="176" t="s">
        <v>275</v>
      </c>
      <c r="C205" s="176"/>
      <c r="D205" s="211" t="s">
        <v>276</v>
      </c>
      <c r="E205" s="176">
        <v>5</v>
      </c>
      <c r="F205" s="213">
        <v>850</v>
      </c>
      <c r="G205" s="177">
        <f>F205*E205</f>
        <v>4250</v>
      </c>
      <c r="H205" s="188"/>
      <c r="I205" s="179"/>
      <c r="J205" s="508"/>
      <c r="K205" s="514"/>
      <c r="L205" s="1228"/>
      <c r="M205" s="1229"/>
      <c r="N205" s="1229"/>
      <c r="O205" s="1229"/>
      <c r="P205" s="1229"/>
      <c r="Q205" s="1229"/>
      <c r="R205" s="1229"/>
      <c r="S205" s="1229"/>
      <c r="T205" s="1230"/>
    </row>
    <row r="206" spans="1:20">
      <c r="A206" s="192"/>
      <c r="B206" s="176" t="s">
        <v>277</v>
      </c>
      <c r="C206" s="176"/>
      <c r="D206" s="211" t="s">
        <v>255</v>
      </c>
      <c r="E206" s="176">
        <v>12</v>
      </c>
      <c r="F206" s="214">
        <v>100</v>
      </c>
      <c r="G206" s="177">
        <f>F206*E206</f>
        <v>1200</v>
      </c>
      <c r="H206" s="188"/>
      <c r="I206" s="179"/>
      <c r="J206" s="508"/>
      <c r="K206" s="514"/>
      <c r="L206" s="1228"/>
      <c r="M206" s="1229"/>
      <c r="N206" s="1229"/>
      <c r="O206" s="1229"/>
      <c r="P206" s="1229"/>
      <c r="Q206" s="1229"/>
      <c r="R206" s="1229"/>
      <c r="S206" s="1229"/>
      <c r="T206" s="1230"/>
    </row>
    <row r="207" spans="1:20">
      <c r="A207" s="192"/>
      <c r="B207" s="176" t="s">
        <v>278</v>
      </c>
      <c r="C207" s="176"/>
      <c r="D207" s="211"/>
      <c r="E207" s="176"/>
      <c r="F207" s="214"/>
      <c r="G207" s="177"/>
      <c r="H207" s="188"/>
      <c r="I207" s="179"/>
      <c r="J207" s="508"/>
      <c r="K207" s="514"/>
      <c r="L207" s="1228"/>
      <c r="M207" s="1229"/>
      <c r="N207" s="1229"/>
      <c r="O207" s="1229"/>
      <c r="P207" s="1229"/>
      <c r="Q207" s="1229"/>
      <c r="R207" s="1229"/>
      <c r="S207" s="1229"/>
      <c r="T207" s="1230"/>
    </row>
    <row r="208" spans="1:20">
      <c r="A208" s="192"/>
      <c r="B208" s="176" t="s">
        <v>279</v>
      </c>
      <c r="C208" s="176"/>
      <c r="D208" s="211"/>
      <c r="E208" s="176"/>
      <c r="F208" s="214"/>
      <c r="G208" s="177"/>
      <c r="H208" s="188"/>
      <c r="I208" s="179"/>
      <c r="J208" s="508"/>
      <c r="K208" s="514"/>
      <c r="L208" s="1228"/>
      <c r="M208" s="1229"/>
      <c r="N208" s="1229"/>
      <c r="O208" s="1229"/>
      <c r="P208" s="1229"/>
      <c r="Q208" s="1229"/>
      <c r="R208" s="1229"/>
      <c r="S208" s="1229"/>
      <c r="T208" s="1230"/>
    </row>
    <row r="209" spans="1:20">
      <c r="A209" s="192"/>
      <c r="B209" s="176" t="s">
        <v>280</v>
      </c>
      <c r="C209" s="176"/>
      <c r="D209" s="211"/>
      <c r="E209" s="176"/>
      <c r="F209" s="214"/>
      <c r="G209" s="177"/>
      <c r="H209" s="188"/>
      <c r="I209" s="179"/>
      <c r="J209" s="508"/>
      <c r="K209" s="514"/>
      <c r="L209" s="1228"/>
      <c r="M209" s="1229"/>
      <c r="N209" s="1229"/>
      <c r="O209" s="1229"/>
      <c r="P209" s="1229"/>
      <c r="Q209" s="1229"/>
      <c r="R209" s="1229"/>
      <c r="S209" s="1229"/>
      <c r="T209" s="1230"/>
    </row>
    <row r="210" spans="1:20">
      <c r="A210" s="192"/>
      <c r="B210" s="176" t="s">
        <v>281</v>
      </c>
      <c r="C210" s="176"/>
      <c r="D210" s="211"/>
      <c r="E210" s="176"/>
      <c r="F210" s="214"/>
      <c r="G210" s="177"/>
      <c r="H210" s="188"/>
      <c r="I210" s="179"/>
      <c r="J210" s="508"/>
      <c r="K210" s="514"/>
      <c r="L210" s="1228"/>
      <c r="M210" s="1229"/>
      <c r="N210" s="1229"/>
      <c r="O210" s="1229"/>
      <c r="P210" s="1229"/>
      <c r="Q210" s="1229"/>
      <c r="R210" s="1229"/>
      <c r="S210" s="1229"/>
      <c r="T210" s="1230"/>
    </row>
    <row r="211" spans="1:20">
      <c r="A211" s="203"/>
      <c r="B211" s="176" t="s">
        <v>282</v>
      </c>
      <c r="C211" s="176"/>
      <c r="D211" s="211"/>
      <c r="E211" s="176"/>
      <c r="F211" s="177"/>
      <c r="G211" s="177">
        <v>20000</v>
      </c>
      <c r="H211" s="188"/>
      <c r="I211" s="179"/>
      <c r="J211" s="508"/>
      <c r="K211" s="517"/>
      <c r="L211" s="1250"/>
      <c r="M211" s="1250"/>
      <c r="N211" s="1250"/>
      <c r="O211" s="1250"/>
      <c r="P211" s="1250"/>
      <c r="Q211" s="1250"/>
      <c r="R211" s="1250"/>
      <c r="S211" s="1250"/>
      <c r="T211" s="1250"/>
    </row>
    <row r="212" spans="1:20">
      <c r="A212" s="192"/>
      <c r="B212" s="176"/>
      <c r="C212" s="176"/>
      <c r="D212" s="211"/>
      <c r="E212" s="176"/>
      <c r="F212" s="214"/>
      <c r="G212" s="177"/>
      <c r="H212" s="188"/>
      <c r="I212" s="179"/>
      <c r="J212" s="508"/>
      <c r="K212" s="514"/>
      <c r="L212" s="1228"/>
      <c r="M212" s="1229"/>
      <c r="N212" s="1229"/>
      <c r="O212" s="1229"/>
      <c r="P212" s="1229"/>
      <c r="Q212" s="1229"/>
      <c r="R212" s="1229"/>
      <c r="S212" s="1229"/>
      <c r="T212" s="1230"/>
    </row>
    <row r="213" spans="1:20">
      <c r="A213" s="180"/>
      <c r="B213" s="181" t="s">
        <v>283</v>
      </c>
      <c r="C213" s="181"/>
      <c r="D213" s="182"/>
      <c r="E213" s="182"/>
      <c r="F213" s="182"/>
      <c r="G213" s="182"/>
      <c r="H213" s="185">
        <f>SUM(G214:G232)</f>
        <v>230000</v>
      </c>
      <c r="I213" s="186">
        <f>H213/$H$233</f>
        <v>4.4952797608042092E-2</v>
      </c>
      <c r="J213" s="509">
        <f>H213/$G$4</f>
        <v>7.11479568162836</v>
      </c>
      <c r="K213" s="516"/>
      <c r="L213" s="1247"/>
      <c r="M213" s="1247"/>
      <c r="N213" s="1247"/>
      <c r="O213" s="1247"/>
      <c r="P213" s="1247"/>
      <c r="Q213" s="1247"/>
      <c r="R213" s="1247"/>
      <c r="S213" s="1247"/>
      <c r="T213" s="1247"/>
    </row>
    <row r="214" spans="1:20">
      <c r="A214" s="203"/>
      <c r="B214" s="176" t="s">
        <v>284</v>
      </c>
      <c r="C214" s="176"/>
      <c r="D214" s="211" t="s">
        <v>255</v>
      </c>
      <c r="E214" s="176"/>
      <c r="F214" s="177"/>
      <c r="G214" s="177">
        <v>5000</v>
      </c>
      <c r="H214" s="188"/>
      <c r="I214" s="179"/>
      <c r="J214" s="508"/>
      <c r="K214" s="517"/>
      <c r="L214" s="1250"/>
      <c r="M214" s="1250"/>
      <c r="N214" s="1250"/>
      <c r="O214" s="1250"/>
      <c r="P214" s="1250"/>
      <c r="Q214" s="1250"/>
      <c r="R214" s="1250"/>
      <c r="S214" s="1250"/>
      <c r="T214" s="1250"/>
    </row>
    <row r="215" spans="1:20">
      <c r="A215" s="203"/>
      <c r="B215" s="176" t="s">
        <v>285</v>
      </c>
      <c r="C215" s="176"/>
      <c r="D215" s="211" t="s">
        <v>255</v>
      </c>
      <c r="E215" s="176"/>
      <c r="F215" s="177"/>
      <c r="G215" s="177"/>
      <c r="H215" s="188"/>
      <c r="I215" s="179"/>
      <c r="J215" s="508"/>
      <c r="K215" s="517"/>
      <c r="L215" s="1250"/>
      <c r="M215" s="1250"/>
      <c r="N215" s="1250"/>
      <c r="O215" s="1250"/>
      <c r="P215" s="1250"/>
      <c r="Q215" s="1250"/>
      <c r="R215" s="1250"/>
      <c r="S215" s="1250"/>
      <c r="T215" s="1250"/>
    </row>
    <row r="216" spans="1:20">
      <c r="A216" s="203"/>
      <c r="B216" s="176" t="s">
        <v>286</v>
      </c>
      <c r="C216" s="176"/>
      <c r="D216" s="211" t="s">
        <v>255</v>
      </c>
      <c r="E216" s="176"/>
      <c r="F216" s="177"/>
      <c r="G216" s="177">
        <v>20000</v>
      </c>
      <c r="H216" s="188"/>
      <c r="I216" s="179"/>
      <c r="J216" s="508"/>
      <c r="K216" s="517"/>
      <c r="L216" s="1250"/>
      <c r="M216" s="1250"/>
      <c r="N216" s="1250"/>
      <c r="O216" s="1250"/>
      <c r="P216" s="1250"/>
      <c r="Q216" s="1250"/>
      <c r="R216" s="1250"/>
      <c r="S216" s="1250"/>
      <c r="T216" s="1250"/>
    </row>
    <row r="217" spans="1:20">
      <c r="A217" s="203"/>
      <c r="B217" s="176" t="s">
        <v>287</v>
      </c>
      <c r="C217" s="176"/>
      <c r="D217" s="211" t="s">
        <v>255</v>
      </c>
      <c r="E217" s="176"/>
      <c r="F217" s="177"/>
      <c r="G217" s="177"/>
      <c r="H217" s="188"/>
      <c r="I217" s="179"/>
      <c r="J217" s="508"/>
      <c r="K217" s="517"/>
      <c r="L217" s="1250"/>
      <c r="M217" s="1250"/>
      <c r="N217" s="1250"/>
      <c r="O217" s="1250"/>
      <c r="P217" s="1250"/>
      <c r="Q217" s="1250"/>
      <c r="R217" s="1250"/>
      <c r="S217" s="1250"/>
      <c r="T217" s="1250"/>
    </row>
    <row r="218" spans="1:20">
      <c r="A218" s="203"/>
      <c r="B218" s="176" t="s">
        <v>288</v>
      </c>
      <c r="C218" s="176"/>
      <c r="D218" s="211" t="s">
        <v>255</v>
      </c>
      <c r="E218" s="176"/>
      <c r="F218" s="177"/>
      <c r="G218" s="177"/>
      <c r="H218" s="188"/>
      <c r="I218" s="179"/>
      <c r="J218" s="508"/>
      <c r="K218" s="517"/>
      <c r="L218" s="1250"/>
      <c r="M218" s="1250"/>
      <c r="N218" s="1250"/>
      <c r="O218" s="1250"/>
      <c r="P218" s="1250"/>
      <c r="Q218" s="1250"/>
      <c r="R218" s="1250"/>
      <c r="S218" s="1250"/>
      <c r="T218" s="1250"/>
    </row>
    <row r="219" spans="1:20">
      <c r="A219" s="203"/>
      <c r="B219" s="176" t="s">
        <v>289</v>
      </c>
      <c r="C219" s="176"/>
      <c r="D219" s="211" t="s">
        <v>255</v>
      </c>
      <c r="E219" s="176"/>
      <c r="F219" s="177"/>
      <c r="G219" s="177"/>
      <c r="H219" s="188"/>
      <c r="I219" s="179"/>
      <c r="J219" s="508"/>
      <c r="K219" s="517"/>
      <c r="L219" s="1250"/>
      <c r="M219" s="1250"/>
      <c r="N219" s="1250"/>
      <c r="O219" s="1250"/>
      <c r="P219" s="1250"/>
      <c r="Q219" s="1250"/>
      <c r="R219" s="1250"/>
      <c r="S219" s="1250"/>
      <c r="T219" s="1250"/>
    </row>
    <row r="220" spans="1:20">
      <c r="A220" s="203"/>
      <c r="B220" s="176" t="s">
        <v>290</v>
      </c>
      <c r="C220" s="176"/>
      <c r="D220" s="211" t="s">
        <v>291</v>
      </c>
      <c r="E220" s="176"/>
      <c r="F220" s="177"/>
      <c r="G220" s="177">
        <f t="shared" ref="G220:G229" si="0">E220*F220</f>
        <v>0</v>
      </c>
      <c r="H220" s="188"/>
      <c r="I220" s="179"/>
      <c r="J220" s="508"/>
      <c r="K220" s="517"/>
      <c r="L220" s="1250" t="s">
        <v>292</v>
      </c>
      <c r="M220" s="1250"/>
      <c r="N220" s="1250"/>
      <c r="O220" s="1250"/>
      <c r="P220" s="1250"/>
      <c r="Q220" s="1250"/>
      <c r="R220" s="1250"/>
      <c r="S220" s="1250"/>
      <c r="T220" s="1250"/>
    </row>
    <row r="221" spans="1:20">
      <c r="A221" s="203"/>
      <c r="B221" s="176" t="s">
        <v>293</v>
      </c>
      <c r="C221" s="176"/>
      <c r="D221" s="211" t="s">
        <v>291</v>
      </c>
      <c r="E221" s="176"/>
      <c r="F221" s="177"/>
      <c r="G221" s="177">
        <f t="shared" si="0"/>
        <v>0</v>
      </c>
      <c r="H221" s="188"/>
      <c r="I221" s="179"/>
      <c r="J221" s="508"/>
      <c r="K221" s="517"/>
      <c r="L221" s="1250" t="s">
        <v>292</v>
      </c>
      <c r="M221" s="1250"/>
      <c r="N221" s="1250"/>
      <c r="O221" s="1250"/>
      <c r="P221" s="1250"/>
      <c r="Q221" s="1250"/>
      <c r="R221" s="1250"/>
      <c r="S221" s="1250"/>
      <c r="T221" s="1250"/>
    </row>
    <row r="222" spans="1:20">
      <c r="A222" s="203"/>
      <c r="B222" s="176" t="s">
        <v>294</v>
      </c>
      <c r="C222" s="176"/>
      <c r="D222" s="211" t="s">
        <v>291</v>
      </c>
      <c r="E222" s="176"/>
      <c r="F222" s="177"/>
      <c r="G222" s="177">
        <f t="shared" si="0"/>
        <v>0</v>
      </c>
      <c r="H222" s="188"/>
      <c r="I222" s="179"/>
      <c r="J222" s="508"/>
      <c r="K222" s="517"/>
      <c r="L222" s="1250" t="s">
        <v>292</v>
      </c>
      <c r="M222" s="1250"/>
      <c r="N222" s="1250"/>
      <c r="O222" s="1250"/>
      <c r="P222" s="1250"/>
      <c r="Q222" s="1250"/>
      <c r="R222" s="1250"/>
      <c r="S222" s="1250"/>
      <c r="T222" s="1250"/>
    </row>
    <row r="223" spans="1:20">
      <c r="A223" s="203"/>
      <c r="B223" s="176" t="s">
        <v>295</v>
      </c>
      <c r="C223" s="176"/>
      <c r="D223" s="211" t="s">
        <v>291</v>
      </c>
      <c r="E223" s="176">
        <v>25</v>
      </c>
      <c r="F223" s="177">
        <v>4400</v>
      </c>
      <c r="G223" s="177">
        <f>F223*E223</f>
        <v>110000</v>
      </c>
      <c r="H223" s="188"/>
      <c r="I223" s="179"/>
      <c r="J223" s="508"/>
      <c r="K223" s="517"/>
      <c r="L223" s="1250" t="s">
        <v>296</v>
      </c>
      <c r="M223" s="1250"/>
      <c r="N223" s="1250"/>
      <c r="O223" s="1250"/>
      <c r="P223" s="1250"/>
      <c r="Q223" s="1250"/>
      <c r="R223" s="1250"/>
      <c r="S223" s="1250"/>
      <c r="T223" s="1250"/>
    </row>
    <row r="224" spans="1:20">
      <c r="A224" s="203"/>
      <c r="B224" s="176" t="s">
        <v>297</v>
      </c>
      <c r="C224" s="176"/>
      <c r="D224" s="211" t="s">
        <v>291</v>
      </c>
      <c r="E224" s="176"/>
      <c r="F224" s="177"/>
      <c r="G224" s="177">
        <f t="shared" si="0"/>
        <v>0</v>
      </c>
      <c r="H224" s="188"/>
      <c r="I224" s="179"/>
      <c r="J224" s="508"/>
      <c r="K224" s="517"/>
      <c r="L224" s="1250" t="s">
        <v>292</v>
      </c>
      <c r="M224" s="1250"/>
      <c r="N224" s="1250"/>
      <c r="O224" s="1250"/>
      <c r="P224" s="1250"/>
      <c r="Q224" s="1250"/>
      <c r="R224" s="1250"/>
      <c r="S224" s="1250"/>
      <c r="T224" s="1250"/>
    </row>
    <row r="225" spans="1:20">
      <c r="A225" s="203"/>
      <c r="B225" s="176" t="s">
        <v>298</v>
      </c>
      <c r="C225" s="176"/>
      <c r="D225" s="211" t="s">
        <v>291</v>
      </c>
      <c r="E225" s="176"/>
      <c r="F225" s="177"/>
      <c r="G225" s="177">
        <f t="shared" si="0"/>
        <v>0</v>
      </c>
      <c r="H225" s="188"/>
      <c r="I225" s="179"/>
      <c r="J225" s="508"/>
      <c r="K225" s="517"/>
      <c r="L225" s="1250" t="s">
        <v>292</v>
      </c>
      <c r="M225" s="1250"/>
      <c r="N225" s="1250"/>
      <c r="O225" s="1250"/>
      <c r="P225" s="1250"/>
      <c r="Q225" s="1250"/>
      <c r="R225" s="1250"/>
      <c r="S225" s="1250"/>
      <c r="T225" s="1250"/>
    </row>
    <row r="226" spans="1:20">
      <c r="A226" s="203"/>
      <c r="B226" s="176" t="s">
        <v>299</v>
      </c>
      <c r="C226" s="176"/>
      <c r="D226" s="211" t="s">
        <v>291</v>
      </c>
      <c r="E226" s="176"/>
      <c r="F226" s="177"/>
      <c r="G226" s="177">
        <f t="shared" si="0"/>
        <v>0</v>
      </c>
      <c r="H226" s="188"/>
      <c r="I226" s="179"/>
      <c r="J226" s="508"/>
      <c r="K226" s="517"/>
      <c r="L226" s="1250" t="s">
        <v>292</v>
      </c>
      <c r="M226" s="1250"/>
      <c r="N226" s="1250"/>
      <c r="O226" s="1250"/>
      <c r="P226" s="1250"/>
      <c r="Q226" s="1250"/>
      <c r="R226" s="1250"/>
      <c r="S226" s="1250"/>
      <c r="T226" s="1250"/>
    </row>
    <row r="227" spans="1:20">
      <c r="A227" s="203"/>
      <c r="B227" s="176" t="s">
        <v>300</v>
      </c>
      <c r="C227" s="176"/>
      <c r="D227" s="211" t="s">
        <v>291</v>
      </c>
      <c r="E227" s="176"/>
      <c r="F227" s="177"/>
      <c r="G227" s="177">
        <f t="shared" si="0"/>
        <v>0</v>
      </c>
      <c r="H227" s="188"/>
      <c r="I227" s="179"/>
      <c r="J227" s="508"/>
      <c r="K227" s="517"/>
      <c r="L227" s="1250" t="s">
        <v>292</v>
      </c>
      <c r="M227" s="1250"/>
      <c r="N227" s="1250"/>
      <c r="O227" s="1250"/>
      <c r="P227" s="1250"/>
      <c r="Q227" s="1250"/>
      <c r="R227" s="1250"/>
      <c r="S227" s="1250"/>
      <c r="T227" s="1250"/>
    </row>
    <row r="228" spans="1:20">
      <c r="A228" s="203"/>
      <c r="B228" s="176" t="s">
        <v>301</v>
      </c>
      <c r="C228" s="176"/>
      <c r="D228" s="211" t="s">
        <v>291</v>
      </c>
      <c r="E228" s="176"/>
      <c r="F228" s="177"/>
      <c r="G228" s="177">
        <f t="shared" si="0"/>
        <v>0</v>
      </c>
      <c r="H228" s="188"/>
      <c r="I228" s="179"/>
      <c r="J228" s="508"/>
      <c r="K228" s="517"/>
      <c r="L228" s="1250" t="s">
        <v>292</v>
      </c>
      <c r="M228" s="1250"/>
      <c r="N228" s="1250"/>
      <c r="O228" s="1250"/>
      <c r="P228" s="1250"/>
      <c r="Q228" s="1250"/>
      <c r="R228" s="1250"/>
      <c r="S228" s="1250"/>
      <c r="T228" s="1250"/>
    </row>
    <row r="229" spans="1:20">
      <c r="A229" s="203"/>
      <c r="B229" s="176" t="s">
        <v>302</v>
      </c>
      <c r="C229" s="176"/>
      <c r="D229" s="211" t="s">
        <v>291</v>
      </c>
      <c r="E229" s="176"/>
      <c r="F229" s="177"/>
      <c r="G229" s="177">
        <f t="shared" si="0"/>
        <v>0</v>
      </c>
      <c r="H229" s="188"/>
      <c r="I229" s="179"/>
      <c r="J229" s="508"/>
      <c r="K229" s="517"/>
      <c r="L229" s="1250" t="s">
        <v>292</v>
      </c>
      <c r="M229" s="1250"/>
      <c r="N229" s="1250"/>
      <c r="O229" s="1250"/>
      <c r="P229" s="1250"/>
      <c r="Q229" s="1250"/>
      <c r="R229" s="1250"/>
      <c r="S229" s="1250"/>
      <c r="T229" s="1250"/>
    </row>
    <row r="230" spans="1:20">
      <c r="A230" s="203"/>
      <c r="B230" s="176" t="s">
        <v>303</v>
      </c>
      <c r="C230" s="176"/>
      <c r="D230" s="211" t="s">
        <v>255</v>
      </c>
      <c r="E230" s="176"/>
      <c r="F230" s="177"/>
      <c r="G230" s="177">
        <v>60000</v>
      </c>
      <c r="H230" s="188"/>
      <c r="I230" s="179"/>
      <c r="J230" s="508"/>
      <c r="K230" s="517"/>
      <c r="L230" s="1250"/>
      <c r="M230" s="1250"/>
      <c r="N230" s="1250"/>
      <c r="O230" s="1250"/>
      <c r="P230" s="1250"/>
      <c r="Q230" s="1250"/>
      <c r="R230" s="1250"/>
      <c r="S230" s="1250"/>
      <c r="T230" s="1250"/>
    </row>
    <row r="231" spans="1:20">
      <c r="A231" s="203"/>
      <c r="B231" s="176" t="s">
        <v>1019</v>
      </c>
      <c r="C231" s="176"/>
      <c r="D231" s="211"/>
      <c r="E231" s="176"/>
      <c r="F231" s="177"/>
      <c r="G231" s="177">
        <v>35000</v>
      </c>
      <c r="H231" s="188"/>
      <c r="I231" s="179"/>
      <c r="J231" s="508"/>
      <c r="K231" s="517"/>
      <c r="L231" s="1250"/>
      <c r="M231" s="1250"/>
      <c r="N231" s="1250"/>
      <c r="O231" s="1250"/>
      <c r="P231" s="1250"/>
      <c r="Q231" s="1250"/>
      <c r="R231" s="1250"/>
      <c r="S231" s="1250"/>
      <c r="T231" s="1250"/>
    </row>
    <row r="232" spans="1:20">
      <c r="A232" s="203"/>
      <c r="B232" s="176"/>
      <c r="C232" s="176"/>
      <c r="D232" s="211"/>
      <c r="E232" s="176"/>
      <c r="F232" s="177"/>
      <c r="G232" s="177"/>
      <c r="H232" s="188"/>
      <c r="I232" s="179"/>
      <c r="J232" s="508"/>
      <c r="K232" s="517"/>
      <c r="L232" s="1250"/>
      <c r="M232" s="1250"/>
      <c r="N232" s="1250"/>
      <c r="O232" s="1250"/>
      <c r="P232" s="1250"/>
      <c r="Q232" s="1250"/>
      <c r="R232" s="1250"/>
      <c r="S232" s="1250"/>
      <c r="T232" s="1250"/>
    </row>
    <row r="233" spans="1:20">
      <c r="A233" s="215"/>
      <c r="B233" s="1166" t="s">
        <v>304</v>
      </c>
      <c r="C233" s="1161"/>
      <c r="D233" s="1161"/>
      <c r="E233" s="1161"/>
      <c r="F233" s="1161"/>
      <c r="G233" s="1162"/>
      <c r="H233" s="216">
        <f>SUM(H187+H189+H213)</f>
        <v>5116478</v>
      </c>
      <c r="I233" s="208"/>
      <c r="J233" s="511"/>
      <c r="K233" s="520"/>
      <c r="L233" s="1253"/>
      <c r="M233" s="1253"/>
      <c r="N233" s="1253"/>
      <c r="O233" s="1253"/>
      <c r="P233" s="1253"/>
      <c r="Q233" s="1253"/>
      <c r="R233" s="1253"/>
      <c r="S233" s="1253"/>
      <c r="T233" s="1253"/>
    </row>
    <row r="234" spans="1:20">
      <c r="A234" s="203"/>
      <c r="B234" s="176" t="s">
        <v>305</v>
      </c>
      <c r="C234" s="176"/>
      <c r="D234" s="211" t="s">
        <v>124</v>
      </c>
      <c r="E234" s="176"/>
      <c r="F234" s="212">
        <v>0</v>
      </c>
      <c r="G234" s="177">
        <f>H233/100*F234</f>
        <v>0</v>
      </c>
      <c r="H234" s="188">
        <f>G234</f>
        <v>0</v>
      </c>
      <c r="I234" s="179"/>
      <c r="J234" s="508"/>
      <c r="K234" s="517"/>
      <c r="L234" s="1250"/>
      <c r="M234" s="1250"/>
      <c r="N234" s="1250"/>
      <c r="O234" s="1250"/>
      <c r="P234" s="1250"/>
      <c r="Q234" s="1250"/>
      <c r="R234" s="1250"/>
      <c r="S234" s="1250"/>
      <c r="T234" s="1250"/>
    </row>
    <row r="235" spans="1:20">
      <c r="A235" s="203"/>
      <c r="B235" s="176" t="s">
        <v>306</v>
      </c>
      <c r="C235" s="176"/>
      <c r="D235" s="211" t="s">
        <v>307</v>
      </c>
      <c r="E235" s="176"/>
      <c r="F235" s="212">
        <v>1.4</v>
      </c>
      <c r="G235" s="177">
        <f>H233/1000*F235</f>
        <v>7163.0691999999999</v>
      </c>
      <c r="H235" s="188">
        <f>G235</f>
        <v>7163.0691999999999</v>
      </c>
      <c r="I235" s="179"/>
      <c r="J235" s="508"/>
      <c r="K235" s="517"/>
      <c r="L235" s="1250"/>
      <c r="M235" s="1250"/>
      <c r="N235" s="1250"/>
      <c r="O235" s="1250"/>
      <c r="P235" s="1250"/>
      <c r="Q235" s="1250"/>
      <c r="R235" s="1250"/>
      <c r="S235" s="1250"/>
      <c r="T235" s="1250"/>
    </row>
    <row r="236" spans="1:20">
      <c r="A236" s="203"/>
      <c r="B236" s="176" t="s">
        <v>308</v>
      </c>
      <c r="C236" s="176"/>
      <c r="D236" s="211" t="s">
        <v>124</v>
      </c>
      <c r="E236" s="176"/>
      <c r="F236" s="212">
        <v>0.8</v>
      </c>
      <c r="G236" s="177">
        <f>H233/100*F236</f>
        <v>40931.824000000001</v>
      </c>
      <c r="H236" s="188">
        <f>G236</f>
        <v>40931.824000000001</v>
      </c>
      <c r="I236" s="179"/>
      <c r="J236" s="508"/>
      <c r="K236" s="517"/>
      <c r="L236" s="1250"/>
      <c r="M236" s="1250"/>
      <c r="N236" s="1250"/>
      <c r="O236" s="1250"/>
      <c r="P236" s="1250"/>
      <c r="Q236" s="1250"/>
      <c r="R236" s="1250"/>
      <c r="S236" s="1250"/>
      <c r="T236" s="1250"/>
    </row>
    <row r="237" spans="1:20">
      <c r="A237" s="160"/>
      <c r="B237" s="160"/>
      <c r="C237" s="160"/>
      <c r="D237" s="160"/>
      <c r="E237" s="160"/>
      <c r="F237" s="161"/>
      <c r="G237" s="161"/>
      <c r="H237" s="160"/>
      <c r="I237" s="163"/>
      <c r="J237" s="506"/>
      <c r="K237" s="512"/>
      <c r="L237" s="160"/>
      <c r="M237" s="160"/>
      <c r="N237" s="160"/>
      <c r="O237" s="160"/>
      <c r="P237" s="160"/>
      <c r="Q237" s="160"/>
      <c r="R237" s="160"/>
      <c r="S237" s="160"/>
      <c r="T237" s="160"/>
    </row>
    <row r="238" spans="1:20">
      <c r="A238" s="160"/>
      <c r="B238" s="160"/>
      <c r="C238" s="160"/>
      <c r="D238" s="160"/>
      <c r="E238" s="160"/>
      <c r="F238" s="161"/>
      <c r="G238" s="161"/>
      <c r="H238" s="160"/>
      <c r="I238" s="163"/>
      <c r="J238" s="506"/>
      <c r="K238" s="512"/>
      <c r="L238" s="160"/>
      <c r="M238" s="160"/>
      <c r="N238" s="160"/>
      <c r="O238" s="160"/>
      <c r="P238" s="160"/>
      <c r="Q238" s="160"/>
      <c r="R238" s="160"/>
      <c r="S238" s="160"/>
      <c r="T238" s="160"/>
    </row>
    <row r="239" spans="1:20">
      <c r="A239" s="160"/>
      <c r="B239" s="1163" t="s">
        <v>309</v>
      </c>
      <c r="C239" s="1163"/>
      <c r="D239" s="1163"/>
      <c r="E239" s="1163"/>
      <c r="F239" s="1163"/>
      <c r="G239" s="1163"/>
      <c r="H239" s="217">
        <f>SUM(H233:H238)</f>
        <v>5164572.8931999998</v>
      </c>
      <c r="I239" s="1030">
        <f>H239/$G$4</f>
        <v>159.76035181736628</v>
      </c>
      <c r="J239" s="506"/>
      <c r="K239" s="512"/>
      <c r="L239" s="160"/>
      <c r="M239" s="160"/>
      <c r="N239" s="160"/>
      <c r="O239" s="160"/>
      <c r="P239" s="160"/>
      <c r="Q239" s="160"/>
      <c r="R239" s="160"/>
      <c r="S239" s="160"/>
      <c r="T239" s="160"/>
    </row>
    <row r="240" spans="1:20">
      <c r="A240" s="160"/>
      <c r="B240" s="160" t="s">
        <v>310</v>
      </c>
      <c r="C240" s="160"/>
      <c r="D240" s="160"/>
      <c r="E240" s="1252" t="s">
        <v>124</v>
      </c>
      <c r="G240" s="1165">
        <v>0.06</v>
      </c>
      <c r="H240" s="1164">
        <f>G240*(H239-H126-G230-H236-H235-G183-H9)</f>
        <v>290538.18</v>
      </c>
      <c r="I240" s="163"/>
      <c r="J240" s="506"/>
      <c r="K240" s="512"/>
      <c r="L240" s="160"/>
      <c r="M240" s="160"/>
      <c r="N240" s="160"/>
      <c r="O240" s="160"/>
      <c r="P240" s="160"/>
      <c r="Q240" s="160"/>
      <c r="R240" s="160"/>
      <c r="S240" s="160"/>
      <c r="T240" s="160"/>
    </row>
    <row r="241" spans="1:20">
      <c r="A241" s="160"/>
      <c r="B241" s="160"/>
      <c r="C241" s="160"/>
      <c r="D241" s="160"/>
      <c r="E241" s="1252"/>
      <c r="F241" s="1165"/>
      <c r="G241" s="161"/>
      <c r="H241" s="1164"/>
      <c r="I241" s="163"/>
      <c r="J241" s="506"/>
      <c r="K241" s="512"/>
      <c r="L241" s="160"/>
      <c r="M241" s="160"/>
      <c r="N241" s="160"/>
      <c r="O241" s="160"/>
      <c r="P241" s="160"/>
      <c r="Q241" s="160"/>
      <c r="R241" s="160"/>
      <c r="S241" s="160"/>
      <c r="T241" s="160"/>
    </row>
    <row r="242" spans="1:20">
      <c r="A242" s="160"/>
      <c r="B242" s="1163" t="s">
        <v>311</v>
      </c>
      <c r="C242" s="1163"/>
      <c r="D242" s="1163"/>
      <c r="E242" s="1163"/>
      <c r="F242" s="1163"/>
      <c r="G242" s="1163"/>
      <c r="H242" s="217">
        <f>H239+H240</f>
        <v>5455111.0731999995</v>
      </c>
      <c r="I242" s="1030">
        <f>H242/$G$4</f>
        <v>168.74782915828871</v>
      </c>
      <c r="J242" s="506" t="s">
        <v>959</v>
      </c>
      <c r="K242" s="512"/>
      <c r="L242" s="160"/>
      <c r="M242" s="160"/>
      <c r="N242" s="160"/>
      <c r="O242" s="160"/>
      <c r="P242" s="160"/>
      <c r="Q242" s="160"/>
      <c r="R242" s="160"/>
      <c r="S242" s="160"/>
      <c r="T242" s="160"/>
    </row>
    <row r="243" spans="1:20">
      <c r="A243" s="160"/>
      <c r="B243" s="160"/>
      <c r="C243" s="160"/>
      <c r="D243" s="160"/>
      <c r="E243" s="160"/>
      <c r="F243" s="161"/>
      <c r="G243" s="496"/>
      <c r="H243" s="496"/>
      <c r="I243" s="163"/>
      <c r="J243" s="499"/>
      <c r="K243" s="160"/>
      <c r="L243" s="160"/>
      <c r="M243" s="160"/>
      <c r="N243" s="160"/>
      <c r="O243" s="160"/>
      <c r="P243" s="160"/>
      <c r="Q243" s="160"/>
      <c r="R243" s="160"/>
      <c r="S243" s="160"/>
    </row>
    <row r="244" spans="1:20">
      <c r="A244" s="160"/>
      <c r="B244" s="1033" t="s">
        <v>44</v>
      </c>
      <c r="E244" s="1033"/>
      <c r="F244" s="1035"/>
      <c r="G244" s="1036">
        <f>H242*H244</f>
        <v>681888.88414999994</v>
      </c>
      <c r="H244" s="1034">
        <v>0.125</v>
      </c>
      <c r="I244" s="163"/>
      <c r="J244" s="499"/>
      <c r="K244" s="160"/>
      <c r="L244" s="160"/>
      <c r="M244" s="160"/>
      <c r="N244" s="160"/>
      <c r="O244" s="160"/>
      <c r="P244" s="160"/>
      <c r="Q244" s="160"/>
      <c r="R244" s="160"/>
      <c r="S244" s="160"/>
    </row>
    <row r="245" spans="1:20">
      <c r="A245" s="160"/>
      <c r="B245" s="1033" t="s">
        <v>312</v>
      </c>
      <c r="C245" s="1033"/>
      <c r="D245" s="1033"/>
      <c r="E245" s="1033"/>
      <c r="F245" s="1035"/>
      <c r="G245" s="1036"/>
      <c r="H245" s="1036">
        <f>G244+H242</f>
        <v>6136999.9573499998</v>
      </c>
      <c r="I245" s="1030">
        <f>H245/$G$4</f>
        <v>189.84130780307481</v>
      </c>
      <c r="J245" s="499"/>
      <c r="K245" s="160"/>
      <c r="L245" s="160"/>
      <c r="M245" s="160"/>
      <c r="N245" s="160"/>
      <c r="O245" s="160"/>
      <c r="P245" s="160"/>
      <c r="Q245" s="160"/>
      <c r="R245" s="160"/>
      <c r="S245" s="160"/>
    </row>
    <row r="246" spans="1:20">
      <c r="A246" s="160"/>
      <c r="B246" s="160"/>
      <c r="C246" s="160"/>
      <c r="D246" s="160"/>
      <c r="E246" s="160"/>
      <c r="F246" s="161"/>
      <c r="G246" s="496"/>
      <c r="H246" s="496"/>
      <c r="I246" s="163"/>
      <c r="J246" s="499"/>
      <c r="K246" s="160"/>
      <c r="L246" s="160"/>
      <c r="M246" s="160"/>
      <c r="N246" s="160"/>
      <c r="O246" s="160"/>
      <c r="P246" s="160"/>
      <c r="Q246" s="160"/>
      <c r="R246" s="160"/>
      <c r="S246" s="160"/>
    </row>
    <row r="247" spans="1:20">
      <c r="A247" s="160"/>
      <c r="B247" s="160"/>
      <c r="C247" s="160"/>
      <c r="D247" s="160"/>
      <c r="E247" s="160"/>
      <c r="F247" s="161"/>
      <c r="G247" s="496"/>
      <c r="H247" s="496"/>
      <c r="I247" s="163"/>
      <c r="J247" s="499"/>
      <c r="K247" s="160"/>
      <c r="L247" s="160"/>
      <c r="M247" s="160"/>
      <c r="N247" s="160"/>
      <c r="O247" s="160"/>
      <c r="P247" s="160"/>
      <c r="Q247" s="160"/>
      <c r="R247" s="160"/>
      <c r="S247" s="160"/>
    </row>
    <row r="248" spans="1:20">
      <c r="A248" s="160"/>
      <c r="B248" s="160"/>
      <c r="C248" s="160"/>
      <c r="G248" s="160"/>
      <c r="H248" s="539" t="s">
        <v>601</v>
      </c>
      <c r="I248" s="539" t="s">
        <v>597</v>
      </c>
      <c r="J248" s="538" t="s">
        <v>370</v>
      </c>
      <c r="K248" s="538" t="s">
        <v>600</v>
      </c>
      <c r="L248" s="163"/>
      <c r="M248" s="160"/>
      <c r="N248" s="160"/>
      <c r="O248" s="160"/>
      <c r="P248" s="160"/>
      <c r="Q248" s="160"/>
      <c r="R248" s="160"/>
      <c r="S248" s="160"/>
    </row>
    <row r="249" spans="1:20">
      <c r="A249" s="160"/>
      <c r="B249" s="13" t="s">
        <v>596</v>
      </c>
      <c r="G249" s="160"/>
      <c r="H249" s="160"/>
      <c r="I249" s="153">
        <v>50</v>
      </c>
      <c r="J249" s="537">
        <v>7009</v>
      </c>
      <c r="K249" s="1031">
        <f>I249*J249</f>
        <v>350450</v>
      </c>
      <c r="L249" s="13" t="s">
        <v>960</v>
      </c>
      <c r="M249" s="160"/>
      <c r="N249" s="160"/>
      <c r="O249" s="160"/>
      <c r="P249" s="160"/>
      <c r="Q249" s="160"/>
      <c r="R249" s="160"/>
      <c r="S249" s="160"/>
    </row>
    <row r="250" spans="1:20">
      <c r="A250" s="160"/>
      <c r="B250" s="13" t="s">
        <v>599</v>
      </c>
      <c r="G250" s="540">
        <v>0.06</v>
      </c>
      <c r="H250" s="218">
        <v>7</v>
      </c>
      <c r="I250" s="153">
        <v>25</v>
      </c>
      <c r="J250" s="537">
        <v>3482</v>
      </c>
      <c r="K250" s="1031">
        <f>J250*I250*H250*G250</f>
        <v>36561</v>
      </c>
      <c r="L250" s="153"/>
      <c r="M250" s="160"/>
      <c r="N250" s="160"/>
      <c r="O250" s="160"/>
      <c r="P250" s="160"/>
      <c r="Q250" s="160"/>
      <c r="R250" s="160"/>
      <c r="S250" s="160"/>
    </row>
    <row r="251" spans="1:20">
      <c r="A251" s="160"/>
      <c r="B251" s="13" t="s">
        <v>598</v>
      </c>
      <c r="G251" s="160"/>
      <c r="H251" s="218">
        <v>7</v>
      </c>
      <c r="I251" s="153">
        <v>2.25</v>
      </c>
      <c r="J251" s="537">
        <v>3527</v>
      </c>
      <c r="K251" s="1031">
        <f>I251*H251*J251</f>
        <v>55550.25</v>
      </c>
      <c r="L251" s="13"/>
      <c r="M251" s="160"/>
      <c r="N251" s="160"/>
      <c r="O251" s="160"/>
      <c r="P251" s="160"/>
      <c r="Q251" s="160"/>
      <c r="R251" s="160"/>
      <c r="S251" s="160"/>
    </row>
    <row r="252" spans="1:20">
      <c r="A252" s="160"/>
      <c r="B252" s="13" t="s">
        <v>156</v>
      </c>
      <c r="G252" s="160"/>
      <c r="H252" s="160"/>
      <c r="I252" s="13"/>
      <c r="J252" s="136"/>
      <c r="K252" s="1032">
        <f>SUM(K249:K251)</f>
        <v>442561.25</v>
      </c>
      <c r="L252" s="13"/>
      <c r="M252" s="160"/>
      <c r="N252" s="160"/>
      <c r="O252" s="160"/>
      <c r="P252" s="160"/>
      <c r="Q252" s="160"/>
      <c r="R252" s="160"/>
      <c r="S252" s="160"/>
    </row>
    <row r="253" spans="1:20">
      <c r="A253" s="160"/>
      <c r="B253" s="160"/>
      <c r="G253" s="160"/>
      <c r="H253" s="160"/>
      <c r="I253" s="161"/>
      <c r="J253" s="496"/>
      <c r="K253" s="496"/>
      <c r="L253" s="163"/>
      <c r="M253" s="160"/>
      <c r="N253" s="160"/>
      <c r="O253" s="160"/>
      <c r="P253" s="160"/>
      <c r="Q253" s="160"/>
      <c r="R253" s="160"/>
      <c r="S253" s="160"/>
    </row>
    <row r="254" spans="1:20">
      <c r="A254" s="160"/>
      <c r="B254" s="219" t="s">
        <v>313</v>
      </c>
      <c r="G254" s="220"/>
      <c r="H254" s="220"/>
      <c r="I254" s="221"/>
      <c r="J254" s="497"/>
      <c r="K254" s="498">
        <f>H245+K252</f>
        <v>6579561.2073499998</v>
      </c>
      <c r="L254" s="163"/>
      <c r="M254" s="160"/>
      <c r="N254" s="160"/>
      <c r="O254" s="160"/>
      <c r="P254" s="160"/>
      <c r="Q254" s="160"/>
      <c r="R254" s="160"/>
      <c r="S254" s="160"/>
    </row>
  </sheetData>
  <mergeCells count="230">
    <mergeCell ref="E240:E241"/>
    <mergeCell ref="L234:T234"/>
    <mergeCell ref="L235:T235"/>
    <mergeCell ref="L236:T236"/>
    <mergeCell ref="L223:T223"/>
    <mergeCell ref="L224:T224"/>
    <mergeCell ref="L225:T225"/>
    <mergeCell ref="L226:T226"/>
    <mergeCell ref="L227:T227"/>
    <mergeCell ref="L228:T228"/>
    <mergeCell ref="L229:T229"/>
    <mergeCell ref="L230:T230"/>
    <mergeCell ref="L231:T231"/>
    <mergeCell ref="L232:T232"/>
    <mergeCell ref="L233:T233"/>
    <mergeCell ref="L214:T214"/>
    <mergeCell ref="L215:T215"/>
    <mergeCell ref="L216:T216"/>
    <mergeCell ref="L217:T217"/>
    <mergeCell ref="L218:T218"/>
    <mergeCell ref="L219:T219"/>
    <mergeCell ref="L220:T220"/>
    <mergeCell ref="L221:T221"/>
    <mergeCell ref="L222:T222"/>
    <mergeCell ref="L205:T205"/>
    <mergeCell ref="L206:T206"/>
    <mergeCell ref="L207:T207"/>
    <mergeCell ref="L208:T208"/>
    <mergeCell ref="L209:T209"/>
    <mergeCell ref="L210:T210"/>
    <mergeCell ref="L211:T211"/>
    <mergeCell ref="L212:T212"/>
    <mergeCell ref="L213:T213"/>
    <mergeCell ref="L196:T196"/>
    <mergeCell ref="L197:T197"/>
    <mergeCell ref="L198:T198"/>
    <mergeCell ref="L199:T199"/>
    <mergeCell ref="L200:T200"/>
    <mergeCell ref="L201:T201"/>
    <mergeCell ref="L202:T202"/>
    <mergeCell ref="L203:T203"/>
    <mergeCell ref="L204:T204"/>
    <mergeCell ref="L188:T188"/>
    <mergeCell ref="L189:T189"/>
    <mergeCell ref="L190:T190"/>
    <mergeCell ref="L191:T191"/>
    <mergeCell ref="L192:T192"/>
    <mergeCell ref="L193:T193"/>
    <mergeCell ref="L194:T194"/>
    <mergeCell ref="L195:T195"/>
    <mergeCell ref="L178:T178"/>
    <mergeCell ref="L179:T179"/>
    <mergeCell ref="L180:T180"/>
    <mergeCell ref="L181:T181"/>
    <mergeCell ref="L182:T182"/>
    <mergeCell ref="L183:T183"/>
    <mergeCell ref="L184:T184"/>
    <mergeCell ref="L185:T185"/>
    <mergeCell ref="L186:T186"/>
    <mergeCell ref="L168:T168"/>
    <mergeCell ref="L169:T169"/>
    <mergeCell ref="L170:T170"/>
    <mergeCell ref="L171:T171"/>
    <mergeCell ref="L172:T172"/>
    <mergeCell ref="L173:T173"/>
    <mergeCell ref="L174:T174"/>
    <mergeCell ref="L175:T175"/>
    <mergeCell ref="L177:T177"/>
    <mergeCell ref="L159:T159"/>
    <mergeCell ref="L160:T160"/>
    <mergeCell ref="L161:T161"/>
    <mergeCell ref="L162:T162"/>
    <mergeCell ref="L163:T163"/>
    <mergeCell ref="L164:T164"/>
    <mergeCell ref="L165:T165"/>
    <mergeCell ref="L166:T166"/>
    <mergeCell ref="L167:T167"/>
    <mergeCell ref="L150:T150"/>
    <mergeCell ref="L151:T151"/>
    <mergeCell ref="L152:T152"/>
    <mergeCell ref="L153:T153"/>
    <mergeCell ref="L154:T154"/>
    <mergeCell ref="L155:T155"/>
    <mergeCell ref="L156:T156"/>
    <mergeCell ref="L157:T157"/>
    <mergeCell ref="L158:T158"/>
    <mergeCell ref="L141:T141"/>
    <mergeCell ref="L142:T142"/>
    <mergeCell ref="L143:T143"/>
    <mergeCell ref="L144:T144"/>
    <mergeCell ref="L145:T145"/>
    <mergeCell ref="L146:T146"/>
    <mergeCell ref="L147:T147"/>
    <mergeCell ref="L148:T148"/>
    <mergeCell ref="L149:T149"/>
    <mergeCell ref="L132:T132"/>
    <mergeCell ref="L133:T133"/>
    <mergeCell ref="L134:T134"/>
    <mergeCell ref="L135:T135"/>
    <mergeCell ref="L136:T136"/>
    <mergeCell ref="L137:T137"/>
    <mergeCell ref="L138:T138"/>
    <mergeCell ref="L139:T139"/>
    <mergeCell ref="L140:T140"/>
    <mergeCell ref="L123:T123"/>
    <mergeCell ref="L124:T124"/>
    <mergeCell ref="L125:T125"/>
    <mergeCell ref="L126:T126"/>
    <mergeCell ref="L127:T127"/>
    <mergeCell ref="L128:T128"/>
    <mergeCell ref="L129:T129"/>
    <mergeCell ref="L130:T130"/>
    <mergeCell ref="L131:T131"/>
    <mergeCell ref="L114:T114"/>
    <mergeCell ref="L115:T115"/>
    <mergeCell ref="L116:T116"/>
    <mergeCell ref="L117:T117"/>
    <mergeCell ref="L118:T118"/>
    <mergeCell ref="L119:T119"/>
    <mergeCell ref="L120:T120"/>
    <mergeCell ref="L121:T121"/>
    <mergeCell ref="L122:T122"/>
    <mergeCell ref="L105:T105"/>
    <mergeCell ref="L106:T106"/>
    <mergeCell ref="L107:T107"/>
    <mergeCell ref="L108:T108"/>
    <mergeCell ref="L109:T109"/>
    <mergeCell ref="L110:T110"/>
    <mergeCell ref="L111:T111"/>
    <mergeCell ref="L112:T112"/>
    <mergeCell ref="L113:T113"/>
    <mergeCell ref="L94:T94"/>
    <mergeCell ref="L95:T95"/>
    <mergeCell ref="L97:T97"/>
    <mergeCell ref="L98:T98"/>
    <mergeCell ref="L99:T99"/>
    <mergeCell ref="L100:T100"/>
    <mergeCell ref="L102:T102"/>
    <mergeCell ref="L103:T103"/>
    <mergeCell ref="L104:T104"/>
    <mergeCell ref="L85:T85"/>
    <mergeCell ref="L86:T86"/>
    <mergeCell ref="L87:T87"/>
    <mergeCell ref="L88:T88"/>
    <mergeCell ref="L89:T89"/>
    <mergeCell ref="L90:T90"/>
    <mergeCell ref="L91:T91"/>
    <mergeCell ref="L92:T92"/>
    <mergeCell ref="L93:T93"/>
    <mergeCell ref="L76:T76"/>
    <mergeCell ref="L77:T77"/>
    <mergeCell ref="L78:T78"/>
    <mergeCell ref="L79:T79"/>
    <mergeCell ref="L80:T80"/>
    <mergeCell ref="L81:T81"/>
    <mergeCell ref="L82:T82"/>
    <mergeCell ref="L83:T83"/>
    <mergeCell ref="L84:T84"/>
    <mergeCell ref="L67:T67"/>
    <mergeCell ref="L68:T68"/>
    <mergeCell ref="L69:T69"/>
    <mergeCell ref="L70:T70"/>
    <mergeCell ref="L71:T71"/>
    <mergeCell ref="L72:T72"/>
    <mergeCell ref="L73:T73"/>
    <mergeCell ref="L74:T74"/>
    <mergeCell ref="L75:T75"/>
    <mergeCell ref="L58:T58"/>
    <mergeCell ref="L59:T59"/>
    <mergeCell ref="L60:T60"/>
    <mergeCell ref="L61:T61"/>
    <mergeCell ref="L62:T62"/>
    <mergeCell ref="L63:T63"/>
    <mergeCell ref="L64:T64"/>
    <mergeCell ref="L65:T65"/>
    <mergeCell ref="L66:T66"/>
    <mergeCell ref="L49:T49"/>
    <mergeCell ref="L50:T50"/>
    <mergeCell ref="L51:T51"/>
    <mergeCell ref="L52:T52"/>
    <mergeCell ref="L53:T53"/>
    <mergeCell ref="L54:T54"/>
    <mergeCell ref="L55:T55"/>
    <mergeCell ref="L56:T56"/>
    <mergeCell ref="L57:T57"/>
    <mergeCell ref="L40:T40"/>
    <mergeCell ref="L41:T41"/>
    <mergeCell ref="L42:T42"/>
    <mergeCell ref="L43:T43"/>
    <mergeCell ref="L44:T44"/>
    <mergeCell ref="L45:T45"/>
    <mergeCell ref="L46:T46"/>
    <mergeCell ref="L47:T47"/>
    <mergeCell ref="L48:T48"/>
    <mergeCell ref="L31:T31"/>
    <mergeCell ref="L32:T32"/>
    <mergeCell ref="L33:T33"/>
    <mergeCell ref="L34:T34"/>
    <mergeCell ref="L35:T35"/>
    <mergeCell ref="L36:T36"/>
    <mergeCell ref="L37:T37"/>
    <mergeCell ref="L38:T38"/>
    <mergeCell ref="L39:T39"/>
    <mergeCell ref="L19:T19"/>
    <mergeCell ref="L20:T20"/>
    <mergeCell ref="L21:T21"/>
    <mergeCell ref="L25:T25"/>
    <mergeCell ref="L26:T26"/>
    <mergeCell ref="L27:T27"/>
    <mergeCell ref="L28:T28"/>
    <mergeCell ref="L29:T29"/>
    <mergeCell ref="L30:T30"/>
    <mergeCell ref="L9:T9"/>
    <mergeCell ref="L10:T10"/>
    <mergeCell ref="L11:T11"/>
    <mergeCell ref="L12:T12"/>
    <mergeCell ref="L13:T13"/>
    <mergeCell ref="L14:T14"/>
    <mergeCell ref="L15:T15"/>
    <mergeCell ref="L17:T17"/>
    <mergeCell ref="L18:T18"/>
    <mergeCell ref="A7:B7"/>
    <mergeCell ref="G3:H3"/>
    <mergeCell ref="I3:J3"/>
    <mergeCell ref="G4:H4"/>
    <mergeCell ref="I4:J4"/>
    <mergeCell ref="O4:Q4"/>
    <mergeCell ref="O5:Q5"/>
    <mergeCell ref="L7:T7"/>
    <mergeCell ref="L8:T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4688-C7B4-4B55-8598-75194A58AE29}">
  <sheetPr>
    <tabColor rgb="FFFFC000"/>
  </sheetPr>
  <dimension ref="B1:K84"/>
  <sheetViews>
    <sheetView workbookViewId="0">
      <selection activeCell="J9" sqref="J9"/>
    </sheetView>
  </sheetViews>
  <sheetFormatPr defaultRowHeight="14.5"/>
  <cols>
    <col min="1" max="1" width="1.6328125" customWidth="1"/>
    <col min="2" max="4" width="17.6328125" customWidth="1"/>
    <col min="5" max="5" width="6.36328125" customWidth="1"/>
    <col min="6" max="8" width="17.6328125" customWidth="1"/>
    <col min="9" max="9" width="8.6328125" customWidth="1"/>
  </cols>
  <sheetData>
    <row r="1" spans="2:8">
      <c r="B1" s="823"/>
      <c r="C1" s="823"/>
      <c r="D1" s="823"/>
      <c r="E1" s="823"/>
      <c r="F1" s="823"/>
      <c r="G1" s="823"/>
      <c r="H1" s="823"/>
    </row>
    <row r="2" spans="2:8">
      <c r="B2" s="861" t="s">
        <v>851</v>
      </c>
      <c r="C2" s="823"/>
      <c r="D2" s="823"/>
      <c r="E2" s="823"/>
      <c r="F2" s="823"/>
      <c r="G2" s="861" t="s">
        <v>852</v>
      </c>
      <c r="H2" s="862">
        <v>45931</v>
      </c>
    </row>
    <row r="3" spans="2:8">
      <c r="B3" s="861"/>
      <c r="C3" s="823"/>
      <c r="D3" s="823"/>
      <c r="E3" s="823"/>
      <c r="F3" s="823"/>
      <c r="G3" s="861" t="s">
        <v>853</v>
      </c>
      <c r="H3" s="863" t="s">
        <v>854</v>
      </c>
    </row>
    <row r="4" spans="2:8" ht="16">
      <c r="B4" s="861" t="s">
        <v>855</v>
      </c>
      <c r="C4" s="864"/>
      <c r="D4" s="823"/>
      <c r="E4" s="823"/>
      <c r="F4" s="823"/>
      <c r="G4" s="823"/>
      <c r="H4" s="823"/>
    </row>
    <row r="5" spans="2:8">
      <c r="B5" s="823"/>
      <c r="C5" s="823"/>
      <c r="D5" s="823"/>
      <c r="E5" s="823"/>
      <c r="F5" s="823"/>
      <c r="G5" s="823"/>
      <c r="H5" s="823"/>
    </row>
    <row r="6" spans="2:8" ht="15.5">
      <c r="B6" s="865" t="s">
        <v>856</v>
      </c>
      <c r="C6" s="866"/>
      <c r="D6" s="866"/>
      <c r="E6" s="866"/>
      <c r="F6" s="866"/>
      <c r="G6" s="866"/>
      <c r="H6" s="866"/>
    </row>
    <row r="7" spans="2:8">
      <c r="B7" s="823"/>
      <c r="C7" s="823"/>
      <c r="D7" s="823"/>
      <c r="E7" s="823"/>
      <c r="F7" s="823"/>
      <c r="G7" s="823"/>
      <c r="H7" s="823"/>
    </row>
    <row r="8" spans="2:8">
      <c r="B8" s="867" t="s">
        <v>711</v>
      </c>
      <c r="C8" s="868"/>
      <c r="D8" s="869">
        <f>'SF Breakdown'!E28</f>
        <v>873</v>
      </c>
      <c r="E8" s="823"/>
      <c r="F8" s="867" t="s">
        <v>857</v>
      </c>
      <c r="G8" s="868"/>
      <c r="H8" s="870">
        <v>3.15</v>
      </c>
    </row>
    <row r="9" spans="2:8">
      <c r="B9" s="867" t="s">
        <v>710</v>
      </c>
      <c r="C9" s="868"/>
      <c r="D9" s="869">
        <f>'SF Breakdown'!E18</f>
        <v>71686</v>
      </c>
      <c r="E9" s="823"/>
      <c r="F9" s="867" t="s">
        <v>858</v>
      </c>
      <c r="G9" s="871"/>
      <c r="H9" s="870">
        <f>'Rental Income Model'!C64</f>
        <v>2.0525496873587921</v>
      </c>
    </row>
    <row r="10" spans="2:8">
      <c r="B10" s="867" t="s">
        <v>859</v>
      </c>
      <c r="C10" s="868"/>
      <c r="D10" s="872">
        <v>0</v>
      </c>
      <c r="E10" s="823"/>
      <c r="F10" s="867" t="s">
        <v>860</v>
      </c>
      <c r="G10" s="868"/>
      <c r="H10" s="872">
        <v>0.03</v>
      </c>
    </row>
    <row r="11" spans="2:8">
      <c r="B11" s="867" t="s">
        <v>861</v>
      </c>
      <c r="C11" s="868"/>
      <c r="D11" s="872">
        <v>0</v>
      </c>
      <c r="E11" s="823"/>
      <c r="F11" s="867" t="s">
        <v>862</v>
      </c>
      <c r="G11" s="868"/>
      <c r="H11" s="872">
        <v>0.94</v>
      </c>
    </row>
    <row r="12" spans="2:8">
      <c r="B12" s="823"/>
      <c r="C12" s="823"/>
      <c r="D12" s="873"/>
      <c r="E12" s="823"/>
      <c r="F12" s="823"/>
      <c r="G12" s="823"/>
      <c r="H12" s="874"/>
    </row>
    <row r="13" spans="2:8" ht="15.5" hidden="1">
      <c r="B13" s="865" t="s">
        <v>863</v>
      </c>
      <c r="C13" s="866"/>
      <c r="D13" s="866"/>
      <c r="E13" s="866"/>
      <c r="F13" s="866"/>
      <c r="G13" s="866"/>
      <c r="H13" s="866"/>
    </row>
    <row r="14" spans="2:8" hidden="1">
      <c r="B14" s="823"/>
      <c r="C14" s="823"/>
      <c r="D14" s="873"/>
      <c r="E14" s="823"/>
      <c r="F14" s="823"/>
      <c r="G14" s="823"/>
      <c r="H14" s="874"/>
    </row>
    <row r="15" spans="2:8" hidden="1">
      <c r="B15" s="867" t="s">
        <v>711</v>
      </c>
      <c r="C15" s="868"/>
      <c r="D15" s="869">
        <v>0</v>
      </c>
      <c r="E15" s="823"/>
      <c r="F15" s="867" t="s">
        <v>857</v>
      </c>
      <c r="G15" s="868"/>
      <c r="H15" s="870">
        <v>0</v>
      </c>
    </row>
    <row r="16" spans="2:8" hidden="1">
      <c r="B16" s="867" t="s">
        <v>710</v>
      </c>
      <c r="C16" s="868"/>
      <c r="D16" s="869">
        <v>0</v>
      </c>
      <c r="E16" s="823"/>
      <c r="F16" s="867" t="s">
        <v>858</v>
      </c>
      <c r="G16" s="871"/>
      <c r="H16" s="870" t="e">
        <f>+#REF!</f>
        <v>#REF!</v>
      </c>
    </row>
    <row r="17" spans="2:8" hidden="1">
      <c r="B17" s="867" t="s">
        <v>859</v>
      </c>
      <c r="C17" s="868"/>
      <c r="D17" s="872">
        <v>0</v>
      </c>
      <c r="E17" s="823"/>
      <c r="F17" s="867" t="s">
        <v>860</v>
      </c>
      <c r="G17" s="868"/>
      <c r="H17" s="872">
        <v>0.03</v>
      </c>
    </row>
    <row r="18" spans="2:8" hidden="1">
      <c r="B18" s="867" t="s">
        <v>861</v>
      </c>
      <c r="C18" s="868"/>
      <c r="D18" s="872">
        <v>0</v>
      </c>
      <c r="E18" s="823"/>
      <c r="F18" s="867" t="s">
        <v>864</v>
      </c>
      <c r="G18" s="868"/>
      <c r="H18" s="872">
        <v>0.94</v>
      </c>
    </row>
    <row r="19" spans="2:8" hidden="1">
      <c r="B19" s="823"/>
      <c r="C19" s="823"/>
      <c r="D19" s="823"/>
      <c r="E19" s="823"/>
      <c r="F19" s="823"/>
      <c r="G19" s="823"/>
      <c r="H19" s="823"/>
    </row>
    <row r="20" spans="2:8" ht="15.5" hidden="1">
      <c r="B20" s="865" t="s">
        <v>865</v>
      </c>
      <c r="C20" s="866"/>
      <c r="D20" s="866"/>
      <c r="E20" s="866"/>
      <c r="F20" s="866"/>
      <c r="G20" s="866"/>
      <c r="H20" s="866"/>
    </row>
    <row r="21" spans="2:8" hidden="1">
      <c r="B21" s="823"/>
      <c r="C21" s="823"/>
      <c r="D21" s="823"/>
      <c r="E21" s="823"/>
      <c r="F21" s="823"/>
      <c r="G21" s="823"/>
      <c r="H21" s="823"/>
    </row>
    <row r="22" spans="2:8" hidden="1">
      <c r="B22" s="867" t="s">
        <v>711</v>
      </c>
      <c r="C22" s="868"/>
      <c r="D22" s="869">
        <v>0</v>
      </c>
      <c r="E22" s="823"/>
      <c r="F22" s="867" t="s">
        <v>857</v>
      </c>
      <c r="G22" s="868"/>
      <c r="H22" s="870">
        <v>0</v>
      </c>
    </row>
    <row r="23" spans="2:8" hidden="1">
      <c r="B23" s="867" t="s">
        <v>710</v>
      </c>
      <c r="C23" s="868"/>
      <c r="D23" s="869">
        <v>0</v>
      </c>
      <c r="E23" s="875"/>
      <c r="F23" s="867" t="s">
        <v>858</v>
      </c>
      <c r="G23" s="871"/>
      <c r="H23" s="870" t="e">
        <f>#REF!</f>
        <v>#REF!</v>
      </c>
    </row>
    <row r="24" spans="2:8" hidden="1">
      <c r="B24" s="867" t="s">
        <v>859</v>
      </c>
      <c r="C24" s="868"/>
      <c r="D24" s="872">
        <v>0</v>
      </c>
      <c r="E24" s="823"/>
      <c r="F24" s="867" t="s">
        <v>860</v>
      </c>
      <c r="G24" s="868"/>
      <c r="H24" s="872">
        <v>0.03</v>
      </c>
    </row>
    <row r="25" spans="2:8" hidden="1">
      <c r="B25" s="867" t="s">
        <v>861</v>
      </c>
      <c r="C25" s="868"/>
      <c r="D25" s="872">
        <v>0</v>
      </c>
      <c r="E25" s="823"/>
      <c r="F25" s="867" t="s">
        <v>864</v>
      </c>
      <c r="G25" s="868"/>
      <c r="H25" s="872">
        <v>0.96</v>
      </c>
    </row>
    <row r="26" spans="2:8" hidden="1">
      <c r="B26" s="823"/>
      <c r="C26" s="823"/>
      <c r="D26" s="823"/>
      <c r="E26" s="823"/>
      <c r="F26" s="823"/>
      <c r="G26" s="823"/>
      <c r="H26" s="823"/>
    </row>
    <row r="27" spans="2:8" ht="15.5">
      <c r="B27" s="865" t="s">
        <v>866</v>
      </c>
      <c r="C27" s="866"/>
      <c r="D27" s="866"/>
      <c r="E27" s="866"/>
      <c r="F27" s="866"/>
      <c r="G27" s="866"/>
      <c r="H27" s="866"/>
    </row>
    <row r="28" spans="2:8">
      <c r="B28" s="823"/>
      <c r="C28" s="823"/>
      <c r="D28" s="823"/>
      <c r="E28" s="823"/>
      <c r="F28" s="823"/>
      <c r="G28" s="823"/>
      <c r="H28" s="823"/>
    </row>
    <row r="29" spans="2:8">
      <c r="B29" s="867" t="s">
        <v>867</v>
      </c>
      <c r="C29" s="868"/>
      <c r="D29" s="868"/>
      <c r="E29" s="868"/>
      <c r="F29" s="868"/>
      <c r="G29" s="868"/>
      <c r="H29" s="876">
        <f>IF($H$3="occupied",4,6)</f>
        <v>6</v>
      </c>
    </row>
    <row r="30" spans="2:8">
      <c r="B30" s="867" t="s">
        <v>868</v>
      </c>
      <c r="C30" s="868"/>
      <c r="D30" s="868"/>
      <c r="E30" s="868"/>
      <c r="F30" s="868"/>
      <c r="G30" s="868"/>
      <c r="H30" s="876">
        <v>299</v>
      </c>
    </row>
    <row r="31" spans="2:8">
      <c r="B31" s="867" t="s">
        <v>869</v>
      </c>
      <c r="C31" s="868"/>
      <c r="D31" s="868"/>
      <c r="E31" s="868"/>
      <c r="F31" s="868"/>
      <c r="G31" s="868"/>
      <c r="H31" s="876">
        <v>549</v>
      </c>
    </row>
    <row r="32" spans="2:8">
      <c r="B32" s="867" t="s">
        <v>870</v>
      </c>
      <c r="C32" s="868"/>
      <c r="D32" s="868"/>
      <c r="E32" s="868"/>
      <c r="F32" s="868"/>
      <c r="G32" s="868"/>
      <c r="H32" s="877">
        <v>0.04</v>
      </c>
    </row>
    <row r="33" spans="2:11">
      <c r="B33" s="867" t="s">
        <v>871</v>
      </c>
      <c r="C33" s="868"/>
      <c r="D33" s="868"/>
      <c r="E33" s="868"/>
      <c r="F33" s="868"/>
      <c r="G33" s="868"/>
      <c r="H33" s="876">
        <v>0</v>
      </c>
    </row>
    <row r="34" spans="2:11">
      <c r="B34" s="823"/>
      <c r="C34" s="823"/>
      <c r="D34" s="823"/>
      <c r="E34" s="823"/>
      <c r="F34" s="823"/>
      <c r="G34" s="823"/>
      <c r="H34" s="823"/>
    </row>
    <row r="35" spans="2:11" ht="15.5">
      <c r="B35" s="865" t="s">
        <v>872</v>
      </c>
      <c r="C35" s="866"/>
      <c r="D35" s="866"/>
      <c r="E35" s="866"/>
      <c r="F35" s="866"/>
      <c r="G35" s="866"/>
      <c r="H35" s="866"/>
    </row>
    <row r="36" spans="2:11">
      <c r="B36" s="823"/>
      <c r="C36" s="823"/>
      <c r="D36" s="823"/>
      <c r="E36" s="823"/>
      <c r="F36" s="823"/>
      <c r="G36" s="823"/>
      <c r="H36" s="823"/>
    </row>
    <row r="37" spans="2:11" ht="16">
      <c r="B37" s="878" t="s">
        <v>824</v>
      </c>
      <c r="C37" s="879"/>
      <c r="D37" s="879"/>
      <c r="E37" s="879"/>
      <c r="F37" s="879"/>
      <c r="G37" s="880" t="s">
        <v>307</v>
      </c>
      <c r="H37" s="881" t="s">
        <v>873</v>
      </c>
    </row>
    <row r="38" spans="2:11">
      <c r="B38" s="867" t="s">
        <v>874</v>
      </c>
      <c r="C38" s="868"/>
      <c r="D38" s="868"/>
      <c r="E38" s="868"/>
      <c r="F38" s="868"/>
      <c r="G38" s="882">
        <v>19.5</v>
      </c>
      <c r="H38" s="883">
        <v>0.03</v>
      </c>
      <c r="K38" s="975"/>
    </row>
    <row r="39" spans="2:11">
      <c r="B39" s="867" t="s">
        <v>875</v>
      </c>
      <c r="C39" s="868"/>
      <c r="D39" s="868"/>
      <c r="E39" s="868"/>
      <c r="F39" s="868"/>
      <c r="G39" s="877">
        <v>0.25</v>
      </c>
      <c r="H39" s="884">
        <v>0</v>
      </c>
    </row>
    <row r="40" spans="2:11">
      <c r="B40" s="867" t="s">
        <v>876</v>
      </c>
      <c r="C40" s="868"/>
      <c r="D40" s="868"/>
      <c r="E40" s="868"/>
      <c r="F40" s="868"/>
      <c r="G40" s="869">
        <v>56</v>
      </c>
      <c r="H40" s="884">
        <v>0</v>
      </c>
    </row>
    <row r="41" spans="2:11">
      <c r="B41" s="867" t="s">
        <v>877</v>
      </c>
      <c r="C41" s="868"/>
      <c r="D41" s="868"/>
      <c r="E41" s="868"/>
      <c r="F41" s="868"/>
      <c r="G41" s="869">
        <v>51</v>
      </c>
      <c r="H41" s="885">
        <v>0</v>
      </c>
    </row>
    <row r="42" spans="2:11">
      <c r="B42" s="823"/>
      <c r="C42" s="823"/>
      <c r="D42" s="823"/>
      <c r="E42" s="823"/>
      <c r="F42" s="823"/>
      <c r="G42" s="823"/>
      <c r="H42" s="823"/>
    </row>
    <row r="43" spans="2:11" ht="16">
      <c r="B43" s="878" t="s">
        <v>825</v>
      </c>
      <c r="C43" s="879"/>
      <c r="D43" s="879"/>
      <c r="E43" s="879"/>
      <c r="F43" s="879"/>
      <c r="G43" s="880" t="s">
        <v>307</v>
      </c>
      <c r="H43" s="881" t="s">
        <v>873</v>
      </c>
    </row>
    <row r="44" spans="2:11">
      <c r="B44" s="867" t="s">
        <v>878</v>
      </c>
      <c r="C44" s="868"/>
      <c r="D44" s="868"/>
      <c r="E44" s="868"/>
      <c r="F44" s="868"/>
      <c r="G44" s="869">
        <v>195000</v>
      </c>
      <c r="H44" s="883">
        <v>0.03</v>
      </c>
    </row>
    <row r="45" spans="2:11">
      <c r="B45" s="867" t="s">
        <v>879</v>
      </c>
      <c r="C45" s="868"/>
      <c r="D45" s="868"/>
      <c r="E45" s="868"/>
      <c r="F45" s="868"/>
      <c r="G45" s="869">
        <v>10787</v>
      </c>
      <c r="H45" s="885">
        <v>0</v>
      </c>
    </row>
    <row r="46" spans="2:11">
      <c r="B46" s="823"/>
      <c r="C46" s="823"/>
      <c r="D46" s="823"/>
      <c r="E46" s="823"/>
      <c r="F46" s="823"/>
      <c r="G46" s="823"/>
      <c r="H46" s="823"/>
    </row>
    <row r="47" spans="2:11" ht="16">
      <c r="B47" s="878" t="s">
        <v>872</v>
      </c>
      <c r="C47" s="886"/>
      <c r="D47" s="886"/>
      <c r="E47" s="886"/>
      <c r="F47" s="886"/>
      <c r="G47" s="880" t="s">
        <v>307</v>
      </c>
      <c r="H47" s="880" t="s">
        <v>873</v>
      </c>
    </row>
    <row r="48" spans="2:11">
      <c r="B48" s="867" t="s">
        <v>880</v>
      </c>
      <c r="C48" s="868"/>
      <c r="D48" s="868"/>
      <c r="E48" s="868"/>
      <c r="F48" s="868"/>
      <c r="G48" s="887">
        <v>1</v>
      </c>
      <c r="H48" s="888">
        <v>0</v>
      </c>
    </row>
    <row r="49" spans="2:9">
      <c r="B49" s="867" t="s">
        <v>881</v>
      </c>
      <c r="C49" s="868"/>
      <c r="D49" s="868"/>
      <c r="E49" s="868"/>
      <c r="F49" s="868"/>
      <c r="G49" s="889">
        <v>20</v>
      </c>
      <c r="H49" s="888">
        <v>0</v>
      </c>
    </row>
    <row r="50" spans="2:9" ht="16">
      <c r="B50" s="867" t="s">
        <v>882</v>
      </c>
      <c r="C50" s="890"/>
      <c r="D50" s="890"/>
      <c r="E50" s="890"/>
      <c r="F50" s="890"/>
      <c r="G50" s="891">
        <v>0.03</v>
      </c>
      <c r="H50" s="888">
        <v>0</v>
      </c>
    </row>
    <row r="51" spans="2:9">
      <c r="B51" s="867" t="s">
        <v>815</v>
      </c>
      <c r="C51" s="868"/>
      <c r="D51" s="868"/>
      <c r="E51" s="868"/>
      <c r="F51" s="868"/>
      <c r="G51" s="876">
        <v>90</v>
      </c>
      <c r="H51" s="888">
        <v>0</v>
      </c>
    </row>
    <row r="52" spans="2:9">
      <c r="B52" s="867" t="s">
        <v>883</v>
      </c>
      <c r="C52" s="868"/>
      <c r="D52" s="868"/>
      <c r="E52" s="868"/>
      <c r="F52" s="868"/>
      <c r="G52" s="877">
        <v>0.5</v>
      </c>
      <c r="H52" s="888">
        <v>0</v>
      </c>
    </row>
    <row r="53" spans="2:9">
      <c r="B53" s="867" t="s">
        <v>884</v>
      </c>
      <c r="C53" s="868"/>
      <c r="D53" s="868"/>
      <c r="E53" s="868"/>
      <c r="F53" s="868"/>
      <c r="G53" s="892">
        <v>0.4</v>
      </c>
      <c r="H53" s="891">
        <v>0.03</v>
      </c>
      <c r="I53" s="893" t="s">
        <v>885</v>
      </c>
    </row>
    <row r="54" spans="2:9">
      <c r="B54" s="867" t="s">
        <v>886</v>
      </c>
      <c r="C54" s="868"/>
      <c r="D54" s="868"/>
      <c r="E54" s="868"/>
      <c r="F54" s="868"/>
      <c r="G54" s="892">
        <f>IF($H$3="occupied",0.35,0.23)</f>
        <v>0.23</v>
      </c>
      <c r="H54" s="891">
        <v>0.03</v>
      </c>
      <c r="I54" s="893" t="s">
        <v>885</v>
      </c>
    </row>
    <row r="55" spans="2:9">
      <c r="B55" s="867" t="s">
        <v>887</v>
      </c>
      <c r="C55" s="868"/>
      <c r="D55" s="868"/>
      <c r="E55" s="868"/>
      <c r="F55" s="868"/>
      <c r="G55" s="892">
        <v>0.35</v>
      </c>
      <c r="H55" s="891">
        <v>0.03</v>
      </c>
      <c r="I55" s="893" t="s">
        <v>885</v>
      </c>
    </row>
    <row r="56" spans="2:9">
      <c r="B56" s="867" t="s">
        <v>888</v>
      </c>
      <c r="C56" s="868"/>
      <c r="D56" s="868"/>
      <c r="E56" s="868"/>
      <c r="F56" s="868"/>
      <c r="G56" s="894">
        <v>1.4999999999999999E-2</v>
      </c>
      <c r="H56" s="888">
        <v>0</v>
      </c>
    </row>
    <row r="57" spans="2:9">
      <c r="B57" s="867" t="s">
        <v>829</v>
      </c>
      <c r="C57" s="868"/>
      <c r="D57" s="868"/>
      <c r="E57" s="868"/>
      <c r="F57" s="868"/>
      <c r="G57" s="876">
        <v>105</v>
      </c>
      <c r="H57" s="891">
        <v>0.03</v>
      </c>
      <c r="I57" s="893" t="s">
        <v>889</v>
      </c>
    </row>
    <row r="58" spans="2:9">
      <c r="B58" s="867" t="s">
        <v>890</v>
      </c>
      <c r="C58" s="868"/>
      <c r="D58" s="868"/>
      <c r="E58" s="868"/>
      <c r="F58" s="868"/>
      <c r="G58" s="876">
        <v>400</v>
      </c>
      <c r="H58" s="891">
        <v>0.03</v>
      </c>
      <c r="I58" s="893" t="s">
        <v>891</v>
      </c>
    </row>
    <row r="59" spans="2:9">
      <c r="B59" s="867" t="s">
        <v>892</v>
      </c>
      <c r="C59" s="868"/>
      <c r="D59" s="868"/>
      <c r="E59" s="868"/>
      <c r="F59" s="868"/>
      <c r="G59" s="876">
        <v>150</v>
      </c>
      <c r="H59" s="891">
        <v>0.03</v>
      </c>
      <c r="I59" s="893" t="s">
        <v>893</v>
      </c>
    </row>
    <row r="60" spans="2:9">
      <c r="B60" s="867" t="s">
        <v>894</v>
      </c>
      <c r="C60" s="868"/>
      <c r="D60" s="868"/>
      <c r="E60" s="868"/>
      <c r="F60" s="868"/>
      <c r="G60" s="876">
        <v>400</v>
      </c>
      <c r="H60" s="891">
        <v>0.03</v>
      </c>
      <c r="I60" s="893" t="s">
        <v>891</v>
      </c>
    </row>
    <row r="61" spans="2:9">
      <c r="B61" s="867" t="s">
        <v>895</v>
      </c>
      <c r="C61" s="868"/>
      <c r="D61" s="868"/>
      <c r="E61" s="868"/>
      <c r="F61" s="868"/>
      <c r="G61" s="895">
        <v>1</v>
      </c>
      <c r="H61" s="891">
        <v>0.03</v>
      </c>
    </row>
    <row r="62" spans="2:9">
      <c r="B62" s="867" t="s">
        <v>896</v>
      </c>
      <c r="C62" s="868"/>
      <c r="D62" s="868"/>
      <c r="E62" s="868"/>
      <c r="F62" s="868"/>
      <c r="G62" s="895">
        <v>2</v>
      </c>
      <c r="H62" s="891">
        <v>0.03</v>
      </c>
    </row>
    <row r="63" spans="2:9">
      <c r="B63" s="867" t="s">
        <v>897</v>
      </c>
      <c r="C63" s="868"/>
      <c r="D63" s="868"/>
      <c r="E63" s="868"/>
      <c r="F63" s="868"/>
      <c r="G63" s="876">
        <v>50</v>
      </c>
      <c r="H63" s="891">
        <v>0.03</v>
      </c>
    </row>
    <row r="64" spans="2:9">
      <c r="B64" s="867" t="s">
        <v>898</v>
      </c>
      <c r="C64" s="868"/>
      <c r="D64" s="868"/>
      <c r="E64" s="868"/>
      <c r="F64" s="868"/>
      <c r="G64" s="876">
        <f>150*(873/641)</f>
        <v>204.29017160686428</v>
      </c>
      <c r="H64" s="891">
        <v>0.03</v>
      </c>
      <c r="I64" s="893" t="s">
        <v>987</v>
      </c>
    </row>
    <row r="65" spans="2:9">
      <c r="B65" s="823"/>
      <c r="C65" s="823"/>
      <c r="D65" s="823"/>
      <c r="E65" s="823"/>
      <c r="F65" s="823"/>
      <c r="G65" s="823"/>
      <c r="H65" s="823"/>
    </row>
    <row r="66" spans="2:9" ht="15.5">
      <c r="B66" s="865" t="s">
        <v>899</v>
      </c>
      <c r="C66" s="866"/>
      <c r="D66" s="866"/>
      <c r="E66" s="866"/>
      <c r="F66" s="866"/>
      <c r="G66" s="866"/>
      <c r="H66" s="866"/>
    </row>
    <row r="67" spans="2:9">
      <c r="B67" s="823"/>
      <c r="C67" s="823"/>
      <c r="D67" s="823"/>
      <c r="E67" s="823"/>
      <c r="F67" s="823"/>
      <c r="G67" s="823"/>
      <c r="H67" s="823"/>
    </row>
    <row r="68" spans="2:9">
      <c r="B68" s="867" t="s">
        <v>900</v>
      </c>
      <c r="C68" s="868"/>
      <c r="D68" s="868"/>
      <c r="E68" s="868"/>
      <c r="F68" s="868"/>
      <c r="G68" s="871"/>
      <c r="H68" s="889">
        <f>+IF(($D$8+$D$15+$D$22)&lt;=900,7100,IF(($D$8+$D$15+$D$22)&gt;=1801,13150,10150))</f>
        <v>7100</v>
      </c>
    </row>
    <row r="69" spans="2:9">
      <c r="B69" s="867" t="s">
        <v>901</v>
      </c>
      <c r="C69" s="868"/>
      <c r="D69" s="868"/>
      <c r="E69" s="868"/>
      <c r="F69" s="868"/>
      <c r="G69" s="871"/>
      <c r="H69" s="889">
        <f>+IF(($D$8+$D$15+$D$22)&lt;=1000,2500,IF(($D$8+$D$15+$D$22)&gt;=1500,3000,2750))</f>
        <v>2500</v>
      </c>
    </row>
    <row r="70" spans="2:9">
      <c r="B70" s="867" t="s">
        <v>902</v>
      </c>
      <c r="C70" s="868"/>
      <c r="D70" s="868"/>
      <c r="E70" s="868"/>
      <c r="F70" s="868"/>
      <c r="G70" s="871"/>
      <c r="H70" s="889">
        <v>2000</v>
      </c>
      <c r="I70" s="893" t="s">
        <v>903</v>
      </c>
    </row>
    <row r="71" spans="2:9">
      <c r="B71" s="867" t="s">
        <v>904</v>
      </c>
      <c r="C71" s="868"/>
      <c r="D71" s="868"/>
      <c r="E71" s="868"/>
      <c r="F71" s="868"/>
      <c r="G71" s="871"/>
      <c r="H71" s="889">
        <v>1000</v>
      </c>
    </row>
    <row r="72" spans="2:9">
      <c r="B72" s="867" t="s">
        <v>905</v>
      </c>
      <c r="C72" s="868"/>
      <c r="D72" s="868"/>
      <c r="E72" s="868"/>
      <c r="F72" s="868"/>
      <c r="G72" s="871"/>
      <c r="H72" s="889">
        <v>1200</v>
      </c>
    </row>
    <row r="73" spans="2:9">
      <c r="B73" s="867" t="s">
        <v>906</v>
      </c>
      <c r="C73" s="868"/>
      <c r="D73" s="868"/>
      <c r="E73" s="868"/>
      <c r="F73" s="868"/>
      <c r="G73" s="871"/>
      <c r="H73" s="896">
        <f>+ROUND($D$8/150,0)*275+350</f>
        <v>2000</v>
      </c>
    </row>
    <row r="74" spans="2:9">
      <c r="B74" s="867" t="s">
        <v>907</v>
      </c>
      <c r="C74" s="868"/>
      <c r="D74" s="868"/>
      <c r="E74" s="868"/>
      <c r="F74" s="868"/>
      <c r="G74" s="871"/>
      <c r="H74" s="889">
        <v>1200</v>
      </c>
    </row>
    <row r="75" spans="2:9">
      <c r="B75" s="867" t="s">
        <v>908</v>
      </c>
      <c r="C75" s="868"/>
      <c r="D75" s="868"/>
      <c r="E75" s="868"/>
      <c r="F75" s="868"/>
      <c r="G75" s="871"/>
      <c r="H75" s="889">
        <v>2500</v>
      </c>
    </row>
    <row r="76" spans="2:9">
      <c r="B76" s="867" t="s">
        <v>909</v>
      </c>
      <c r="C76" s="868"/>
      <c r="D76" s="868"/>
      <c r="E76" s="868"/>
      <c r="F76" s="868"/>
      <c r="G76" s="871"/>
      <c r="H76" s="889">
        <v>1000</v>
      </c>
    </row>
    <row r="77" spans="2:9">
      <c r="B77" s="867" t="s">
        <v>910</v>
      </c>
      <c r="C77" s="868"/>
      <c r="D77" s="868"/>
      <c r="E77" s="868"/>
      <c r="F77" s="868"/>
      <c r="G77" s="871"/>
      <c r="H77" s="889">
        <v>500</v>
      </c>
    </row>
    <row r="78" spans="2:9">
      <c r="B78" s="867" t="s">
        <v>911</v>
      </c>
      <c r="C78" s="868"/>
      <c r="D78" s="868"/>
      <c r="E78" s="868"/>
      <c r="F78" s="868"/>
      <c r="G78" s="871"/>
      <c r="H78" s="889">
        <f>2*'5 Year Model'!C28</f>
        <v>11829.909</v>
      </c>
    </row>
    <row r="79" spans="2:9">
      <c r="B79" s="823"/>
      <c r="C79" s="823"/>
      <c r="D79" s="823"/>
      <c r="E79" s="823"/>
      <c r="F79" s="823"/>
      <c r="G79" s="823"/>
      <c r="H79" s="823"/>
    </row>
    <row r="80" spans="2:9" ht="117">
      <c r="B80" s="897" t="s">
        <v>912</v>
      </c>
      <c r="C80" s="897"/>
      <c r="D80" s="897"/>
      <c r="E80" s="897"/>
      <c r="F80" s="897"/>
      <c r="G80" s="897"/>
      <c r="H80" s="898"/>
    </row>
    <row r="81" spans="2:8">
      <c r="B81" s="13"/>
      <c r="C81" s="13"/>
      <c r="D81" s="13"/>
      <c r="E81" s="13"/>
      <c r="F81" s="13"/>
      <c r="G81" s="13"/>
      <c r="H81" s="13"/>
    </row>
    <row r="82" spans="2:8" ht="78">
      <c r="B82" s="897" t="s">
        <v>913</v>
      </c>
      <c r="C82" s="897"/>
      <c r="D82" s="897"/>
      <c r="E82" s="897"/>
      <c r="F82" s="897"/>
      <c r="G82" s="897"/>
      <c r="H82" s="897"/>
    </row>
    <row r="83" spans="2:8">
      <c r="B83" s="823"/>
      <c r="C83" s="823"/>
      <c r="D83" s="823"/>
      <c r="E83" s="823"/>
      <c r="F83" s="823"/>
      <c r="G83" s="823"/>
      <c r="H83" s="823"/>
    </row>
    <row r="84" spans="2:8">
      <c r="B84" s="823"/>
      <c r="C84" s="823"/>
      <c r="D84" s="823"/>
      <c r="E84" s="823"/>
      <c r="F84" s="823"/>
      <c r="G84" s="823"/>
      <c r="H84" s="823"/>
    </row>
  </sheetData>
  <dataValidations count="2">
    <dataValidation type="list" allowBlank="1" showInputMessage="1" showErrorMessage="1" sqref="G53" xr:uid="{92DDACE5-4C12-4ACC-AE2B-5656BFECB53D}">
      <formula1>"0.25, 0.4"</formula1>
    </dataValidation>
    <dataValidation type="list" allowBlank="1" showInputMessage="1" showErrorMessage="1" sqref="H3" xr:uid="{CD51AF92-7A46-4D5A-AAFE-F630CD39B612}">
      <formula1>"New Development,Occupied"</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16B1-CBCB-46F3-80A2-8DD30A58CB10}">
  <sheetPr>
    <tabColor rgb="FFFFC000"/>
  </sheetPr>
  <dimension ref="A1:BK88"/>
  <sheetViews>
    <sheetView topLeftCell="A4" workbookViewId="0">
      <pane xSplit="2" ySplit="4" topLeftCell="C8" activePane="bottomRight" state="frozen"/>
      <selection activeCell="A4" sqref="A4"/>
      <selection pane="topRight" activeCell="C4" sqref="C4"/>
      <selection pane="bottomLeft" activeCell="A8" sqref="A8"/>
      <selection pane="bottomRight" activeCell="E19" sqref="E19"/>
    </sheetView>
  </sheetViews>
  <sheetFormatPr defaultRowHeight="14.5"/>
  <cols>
    <col min="1" max="1" width="1.6328125" customWidth="1"/>
    <col min="2" max="2" width="43.36328125" customWidth="1"/>
    <col min="3" max="62" width="11.36328125" customWidth="1"/>
    <col min="63" max="63" width="3.6328125" customWidth="1"/>
  </cols>
  <sheetData>
    <row r="1" spans="1:63">
      <c r="B1" t="s">
        <v>924</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v>32</v>
      </c>
      <c r="AI1">
        <v>33</v>
      </c>
      <c r="AJ1">
        <v>34</v>
      </c>
      <c r="AK1">
        <v>35</v>
      </c>
      <c r="AL1">
        <v>36</v>
      </c>
      <c r="AM1">
        <v>37</v>
      </c>
      <c r="AN1">
        <v>38</v>
      </c>
      <c r="AO1">
        <v>39</v>
      </c>
      <c r="AP1">
        <v>40</v>
      </c>
      <c r="AQ1">
        <v>41</v>
      </c>
      <c r="AR1">
        <v>42</v>
      </c>
      <c r="AS1">
        <v>43</v>
      </c>
      <c r="AT1">
        <v>44</v>
      </c>
      <c r="AU1">
        <v>45</v>
      </c>
      <c r="AV1">
        <v>46</v>
      </c>
      <c r="AW1">
        <v>47</v>
      </c>
      <c r="AX1">
        <v>48</v>
      </c>
      <c r="AY1">
        <v>49</v>
      </c>
      <c r="AZ1">
        <v>50</v>
      </c>
      <c r="BA1">
        <v>51</v>
      </c>
      <c r="BB1">
        <v>52</v>
      </c>
      <c r="BC1">
        <v>53</v>
      </c>
      <c r="BD1">
        <v>54</v>
      </c>
      <c r="BE1">
        <v>55</v>
      </c>
      <c r="BF1">
        <v>56</v>
      </c>
      <c r="BG1">
        <v>57</v>
      </c>
      <c r="BH1">
        <v>58</v>
      </c>
      <c r="BI1">
        <v>59</v>
      </c>
      <c r="BJ1">
        <v>60</v>
      </c>
    </row>
    <row r="2" spans="1:63">
      <c r="B2" t="s">
        <v>925</v>
      </c>
      <c r="C2">
        <v>1</v>
      </c>
      <c r="D2">
        <v>2</v>
      </c>
      <c r="E2">
        <v>3</v>
      </c>
      <c r="F2">
        <v>4</v>
      </c>
      <c r="G2">
        <v>5</v>
      </c>
      <c r="H2">
        <v>6</v>
      </c>
      <c r="I2">
        <v>7</v>
      </c>
      <c r="J2">
        <v>8</v>
      </c>
      <c r="K2">
        <v>9</v>
      </c>
      <c r="L2">
        <v>10</v>
      </c>
      <c r="M2">
        <v>11</v>
      </c>
      <c r="N2">
        <v>12</v>
      </c>
      <c r="O2">
        <v>1</v>
      </c>
      <c r="P2">
        <v>2</v>
      </c>
      <c r="Q2">
        <v>3</v>
      </c>
      <c r="R2">
        <v>4</v>
      </c>
      <c r="S2">
        <v>5</v>
      </c>
      <c r="T2">
        <v>6</v>
      </c>
      <c r="U2">
        <v>7</v>
      </c>
      <c r="V2">
        <v>8</v>
      </c>
      <c r="W2">
        <v>9</v>
      </c>
      <c r="X2">
        <v>10</v>
      </c>
      <c r="Y2">
        <v>11</v>
      </c>
      <c r="Z2">
        <v>12</v>
      </c>
      <c r="AA2">
        <v>1</v>
      </c>
      <c r="AB2">
        <v>2</v>
      </c>
      <c r="AC2">
        <v>3</v>
      </c>
      <c r="AD2">
        <v>4</v>
      </c>
      <c r="AE2">
        <v>5</v>
      </c>
      <c r="AF2">
        <v>6</v>
      </c>
      <c r="AG2">
        <v>7</v>
      </c>
      <c r="AH2">
        <v>8</v>
      </c>
      <c r="AI2">
        <v>9</v>
      </c>
      <c r="AJ2">
        <v>10</v>
      </c>
      <c r="AK2">
        <v>11</v>
      </c>
      <c r="AL2">
        <v>12</v>
      </c>
      <c r="AM2">
        <v>1</v>
      </c>
      <c r="AN2">
        <v>2</v>
      </c>
      <c r="AO2">
        <v>3</v>
      </c>
      <c r="AP2">
        <v>4</v>
      </c>
      <c r="AQ2">
        <v>5</v>
      </c>
      <c r="AR2">
        <v>6</v>
      </c>
      <c r="AS2">
        <v>7</v>
      </c>
      <c r="AT2">
        <v>8</v>
      </c>
      <c r="AU2">
        <v>9</v>
      </c>
      <c r="AV2">
        <v>10</v>
      </c>
      <c r="AW2">
        <v>11</v>
      </c>
      <c r="AX2">
        <v>12</v>
      </c>
      <c r="AY2">
        <v>1</v>
      </c>
      <c r="AZ2">
        <v>2</v>
      </c>
      <c r="BA2">
        <v>3</v>
      </c>
      <c r="BB2">
        <v>4</v>
      </c>
      <c r="BC2">
        <v>5</v>
      </c>
      <c r="BD2">
        <v>6</v>
      </c>
      <c r="BE2">
        <v>7</v>
      </c>
      <c r="BF2">
        <v>8</v>
      </c>
      <c r="BG2">
        <v>9</v>
      </c>
      <c r="BH2">
        <v>10</v>
      </c>
      <c r="BI2">
        <v>11</v>
      </c>
      <c r="BJ2">
        <v>12</v>
      </c>
    </row>
    <row r="3" spans="1:63">
      <c r="B3" t="s">
        <v>926</v>
      </c>
      <c r="C3">
        <v>1</v>
      </c>
      <c r="D3">
        <v>1</v>
      </c>
      <c r="E3">
        <v>1</v>
      </c>
      <c r="F3">
        <v>1</v>
      </c>
      <c r="G3">
        <v>1</v>
      </c>
      <c r="H3">
        <v>1</v>
      </c>
      <c r="I3">
        <v>1</v>
      </c>
      <c r="J3">
        <v>1</v>
      </c>
      <c r="K3">
        <v>1</v>
      </c>
      <c r="L3">
        <v>1</v>
      </c>
      <c r="M3">
        <v>1</v>
      </c>
      <c r="N3">
        <v>1</v>
      </c>
      <c r="O3">
        <v>2</v>
      </c>
      <c r="P3">
        <v>2</v>
      </c>
      <c r="Q3">
        <v>2</v>
      </c>
      <c r="R3">
        <v>2</v>
      </c>
      <c r="S3">
        <v>2</v>
      </c>
      <c r="T3">
        <v>2</v>
      </c>
      <c r="U3">
        <v>2</v>
      </c>
      <c r="V3">
        <v>2</v>
      </c>
      <c r="W3">
        <v>2</v>
      </c>
      <c r="X3">
        <v>2</v>
      </c>
      <c r="Y3">
        <v>2</v>
      </c>
      <c r="Z3">
        <v>2</v>
      </c>
      <c r="AA3">
        <v>3</v>
      </c>
      <c r="AB3">
        <v>3</v>
      </c>
      <c r="AC3">
        <v>3</v>
      </c>
      <c r="AD3">
        <v>3</v>
      </c>
      <c r="AE3">
        <v>3</v>
      </c>
      <c r="AF3">
        <v>3</v>
      </c>
      <c r="AG3">
        <v>3</v>
      </c>
      <c r="AH3">
        <v>3</v>
      </c>
      <c r="AI3">
        <v>3</v>
      </c>
      <c r="AJ3">
        <v>3</v>
      </c>
      <c r="AK3">
        <v>3</v>
      </c>
      <c r="AL3">
        <v>3</v>
      </c>
      <c r="AM3">
        <v>4</v>
      </c>
      <c r="AN3">
        <v>4</v>
      </c>
      <c r="AO3">
        <v>4</v>
      </c>
      <c r="AP3">
        <v>4</v>
      </c>
      <c r="AQ3">
        <v>4</v>
      </c>
      <c r="AR3">
        <v>4</v>
      </c>
      <c r="AS3">
        <v>4</v>
      </c>
      <c r="AT3">
        <v>4</v>
      </c>
      <c r="AU3">
        <v>4</v>
      </c>
      <c r="AV3">
        <v>4</v>
      </c>
      <c r="AW3">
        <v>4</v>
      </c>
      <c r="AX3">
        <v>4</v>
      </c>
      <c r="AY3">
        <v>5</v>
      </c>
      <c r="AZ3">
        <v>5</v>
      </c>
      <c r="BA3">
        <v>5</v>
      </c>
      <c r="BB3">
        <v>5</v>
      </c>
      <c r="BC3">
        <v>5</v>
      </c>
      <c r="BD3">
        <v>5</v>
      </c>
      <c r="BE3">
        <v>5</v>
      </c>
      <c r="BF3">
        <v>5</v>
      </c>
      <c r="BG3">
        <v>5</v>
      </c>
      <c r="BH3">
        <v>5</v>
      </c>
      <c r="BI3">
        <v>5</v>
      </c>
      <c r="BJ3">
        <v>5</v>
      </c>
    </row>
    <row r="4" spans="1:63" ht="15" thickBot="1"/>
    <row r="5" spans="1:63" ht="16">
      <c r="A5" s="823"/>
      <c r="B5" s="823"/>
      <c r="C5" s="824" t="s">
        <v>658</v>
      </c>
      <c r="D5" s="825"/>
      <c r="E5" s="825"/>
      <c r="F5" s="825"/>
      <c r="G5" s="825"/>
      <c r="H5" s="825"/>
      <c r="I5" s="825"/>
      <c r="J5" s="825"/>
      <c r="K5" s="825"/>
      <c r="L5" s="825"/>
      <c r="M5" s="825"/>
      <c r="N5" s="826"/>
      <c r="O5" s="824" t="s">
        <v>659</v>
      </c>
      <c r="P5" s="825"/>
      <c r="Q5" s="825"/>
      <c r="R5" s="825"/>
      <c r="S5" s="825"/>
      <c r="T5" s="825"/>
      <c r="U5" s="825"/>
      <c r="V5" s="825"/>
      <c r="W5" s="825"/>
      <c r="X5" s="825"/>
      <c r="Y5" s="825"/>
      <c r="Z5" s="826"/>
      <c r="AA5" s="824" t="s">
        <v>660</v>
      </c>
      <c r="AB5" s="825"/>
      <c r="AC5" s="825"/>
      <c r="AD5" s="825"/>
      <c r="AE5" s="825"/>
      <c r="AF5" s="825"/>
      <c r="AG5" s="825"/>
      <c r="AH5" s="825"/>
      <c r="AI5" s="825"/>
      <c r="AJ5" s="825"/>
      <c r="AK5" s="825"/>
      <c r="AL5" s="826"/>
      <c r="AM5" s="824" t="s">
        <v>661</v>
      </c>
      <c r="AN5" s="825"/>
      <c r="AO5" s="825"/>
      <c r="AP5" s="825"/>
      <c r="AQ5" s="825"/>
      <c r="AR5" s="825"/>
      <c r="AS5" s="825"/>
      <c r="AT5" s="825"/>
      <c r="AU5" s="825"/>
      <c r="AV5" s="825"/>
      <c r="AW5" s="825"/>
      <c r="AX5" s="826"/>
      <c r="AY5" s="824" t="s">
        <v>662</v>
      </c>
      <c r="AZ5" s="825"/>
      <c r="BA5" s="825"/>
      <c r="BB5" s="825"/>
      <c r="BC5" s="825"/>
      <c r="BD5" s="825"/>
      <c r="BE5" s="825"/>
      <c r="BF5" s="825"/>
      <c r="BG5" s="825"/>
      <c r="BH5" s="825"/>
      <c r="BI5" s="825"/>
      <c r="BJ5" s="826"/>
      <c r="BK5" s="823"/>
    </row>
    <row r="6" spans="1:63">
      <c r="C6" s="827" t="s">
        <v>751</v>
      </c>
      <c r="D6" s="828" t="s">
        <v>752</v>
      </c>
      <c r="E6" s="828" t="s">
        <v>753</v>
      </c>
      <c r="F6" s="828" t="s">
        <v>754</v>
      </c>
      <c r="G6" s="828" t="s">
        <v>755</v>
      </c>
      <c r="H6" s="828" t="s">
        <v>756</v>
      </c>
      <c r="I6" s="828" t="s">
        <v>757</v>
      </c>
      <c r="J6" s="828" t="s">
        <v>758</v>
      </c>
      <c r="K6" s="828" t="s">
        <v>759</v>
      </c>
      <c r="L6" s="828" t="s">
        <v>760</v>
      </c>
      <c r="M6" s="828" t="s">
        <v>761</v>
      </c>
      <c r="N6" s="829" t="s">
        <v>762</v>
      </c>
      <c r="O6" s="827" t="s">
        <v>763</v>
      </c>
      <c r="P6" s="828" t="s">
        <v>764</v>
      </c>
      <c r="Q6" s="828" t="s">
        <v>765</v>
      </c>
      <c r="R6" s="828" t="s">
        <v>766</v>
      </c>
      <c r="S6" s="828" t="s">
        <v>767</v>
      </c>
      <c r="T6" s="828" t="s">
        <v>768</v>
      </c>
      <c r="U6" s="828" t="s">
        <v>769</v>
      </c>
      <c r="V6" s="828" t="s">
        <v>770</v>
      </c>
      <c r="W6" s="828" t="s">
        <v>771</v>
      </c>
      <c r="X6" s="828" t="s">
        <v>772</v>
      </c>
      <c r="Y6" s="828" t="s">
        <v>773</v>
      </c>
      <c r="Z6" s="829" t="s">
        <v>774</v>
      </c>
      <c r="AA6" s="827" t="s">
        <v>775</v>
      </c>
      <c r="AB6" s="828" t="s">
        <v>776</v>
      </c>
      <c r="AC6" s="828" t="s">
        <v>777</v>
      </c>
      <c r="AD6" s="828" t="s">
        <v>778</v>
      </c>
      <c r="AE6" s="828" t="s">
        <v>779</v>
      </c>
      <c r="AF6" s="828" t="s">
        <v>780</v>
      </c>
      <c r="AG6" s="828" t="s">
        <v>781</v>
      </c>
      <c r="AH6" s="828" t="s">
        <v>782</v>
      </c>
      <c r="AI6" s="828" t="s">
        <v>783</v>
      </c>
      <c r="AJ6" s="828" t="s">
        <v>784</v>
      </c>
      <c r="AK6" s="828" t="s">
        <v>785</v>
      </c>
      <c r="AL6" s="829" t="s">
        <v>786</v>
      </c>
      <c r="AM6" s="827" t="s">
        <v>787</v>
      </c>
      <c r="AN6" s="828" t="s">
        <v>788</v>
      </c>
      <c r="AO6" s="828" t="s">
        <v>789</v>
      </c>
      <c r="AP6" s="828" t="s">
        <v>790</v>
      </c>
      <c r="AQ6" s="828" t="s">
        <v>791</v>
      </c>
      <c r="AR6" s="828" t="s">
        <v>792</v>
      </c>
      <c r="AS6" s="828" t="s">
        <v>793</v>
      </c>
      <c r="AT6" s="828" t="s">
        <v>794</v>
      </c>
      <c r="AU6" s="828" t="s">
        <v>795</v>
      </c>
      <c r="AV6" s="828" t="s">
        <v>796</v>
      </c>
      <c r="AW6" s="828" t="s">
        <v>797</v>
      </c>
      <c r="AX6" s="829" t="s">
        <v>798</v>
      </c>
      <c r="AY6" s="827" t="s">
        <v>799</v>
      </c>
      <c r="AZ6" s="828" t="s">
        <v>800</v>
      </c>
      <c r="BA6" s="828" t="s">
        <v>801</v>
      </c>
      <c r="BB6" s="828" t="s">
        <v>802</v>
      </c>
      <c r="BC6" s="828" t="s">
        <v>803</v>
      </c>
      <c r="BD6" s="828" t="s">
        <v>804</v>
      </c>
      <c r="BE6" s="828" t="s">
        <v>805</v>
      </c>
      <c r="BF6" s="828" t="s">
        <v>806</v>
      </c>
      <c r="BG6" s="828" t="s">
        <v>807</v>
      </c>
      <c r="BH6" s="828" t="s">
        <v>808</v>
      </c>
      <c r="BI6" s="828" t="s">
        <v>809</v>
      </c>
      <c r="BJ6" s="829" t="s">
        <v>810</v>
      </c>
    </row>
    <row r="7" spans="1:63" ht="15" thickBot="1">
      <c r="C7" s="830">
        <v>45961</v>
      </c>
      <c r="D7" s="831">
        <v>45991</v>
      </c>
      <c r="E7" s="831">
        <v>46022</v>
      </c>
      <c r="F7" s="831">
        <v>46053</v>
      </c>
      <c r="G7" s="831">
        <v>46081</v>
      </c>
      <c r="H7" s="831">
        <v>46112</v>
      </c>
      <c r="I7" s="831">
        <v>46142</v>
      </c>
      <c r="J7" s="831">
        <v>46173</v>
      </c>
      <c r="K7" s="831">
        <v>46203</v>
      </c>
      <c r="L7" s="831">
        <v>46234</v>
      </c>
      <c r="M7" s="831">
        <v>46265</v>
      </c>
      <c r="N7" s="832">
        <v>46295</v>
      </c>
      <c r="O7" s="830">
        <v>46326</v>
      </c>
      <c r="P7" s="831">
        <v>46356</v>
      </c>
      <c r="Q7" s="831">
        <v>46387</v>
      </c>
      <c r="R7" s="831">
        <v>46418</v>
      </c>
      <c r="S7" s="831">
        <v>46446</v>
      </c>
      <c r="T7" s="831">
        <v>46477</v>
      </c>
      <c r="U7" s="831">
        <v>46507</v>
      </c>
      <c r="V7" s="831">
        <v>46538</v>
      </c>
      <c r="W7" s="831">
        <v>46568</v>
      </c>
      <c r="X7" s="831">
        <v>46599</v>
      </c>
      <c r="Y7" s="831">
        <v>46630</v>
      </c>
      <c r="Z7" s="832">
        <v>46660</v>
      </c>
      <c r="AA7" s="830">
        <v>46691</v>
      </c>
      <c r="AB7" s="831">
        <v>46721</v>
      </c>
      <c r="AC7" s="831">
        <v>46752</v>
      </c>
      <c r="AD7" s="831">
        <v>46783</v>
      </c>
      <c r="AE7" s="831">
        <v>46812</v>
      </c>
      <c r="AF7" s="831">
        <v>46843</v>
      </c>
      <c r="AG7" s="831">
        <v>46873</v>
      </c>
      <c r="AH7" s="831">
        <v>46904</v>
      </c>
      <c r="AI7" s="831">
        <v>46934</v>
      </c>
      <c r="AJ7" s="831">
        <v>46965</v>
      </c>
      <c r="AK7" s="831">
        <v>46996</v>
      </c>
      <c r="AL7" s="832">
        <v>47026</v>
      </c>
      <c r="AM7" s="830">
        <v>47057</v>
      </c>
      <c r="AN7" s="831">
        <v>47087</v>
      </c>
      <c r="AO7" s="831">
        <v>47118</v>
      </c>
      <c r="AP7" s="831">
        <v>47149</v>
      </c>
      <c r="AQ7" s="831">
        <v>47177</v>
      </c>
      <c r="AR7" s="831">
        <v>47208</v>
      </c>
      <c r="AS7" s="831">
        <v>47238</v>
      </c>
      <c r="AT7" s="831">
        <v>47269</v>
      </c>
      <c r="AU7" s="831">
        <v>47299</v>
      </c>
      <c r="AV7" s="831">
        <v>47330</v>
      </c>
      <c r="AW7" s="831">
        <v>47361</v>
      </c>
      <c r="AX7" s="832">
        <v>47391</v>
      </c>
      <c r="AY7" s="830">
        <v>47422</v>
      </c>
      <c r="AZ7" s="831">
        <v>47452</v>
      </c>
      <c r="BA7" s="831">
        <v>47483</v>
      </c>
      <c r="BB7" s="831">
        <v>47514</v>
      </c>
      <c r="BC7" s="831">
        <v>47542</v>
      </c>
      <c r="BD7" s="831">
        <v>47573</v>
      </c>
      <c r="BE7" s="831">
        <v>47603</v>
      </c>
      <c r="BF7" s="831">
        <v>47634</v>
      </c>
      <c r="BG7" s="831">
        <v>47664</v>
      </c>
      <c r="BH7" s="831">
        <v>47695</v>
      </c>
      <c r="BI7" s="831">
        <v>47726</v>
      </c>
      <c r="BJ7" s="832">
        <v>47756</v>
      </c>
    </row>
    <row r="8" spans="1:63" ht="15" thickBot="1"/>
    <row r="9" spans="1:63">
      <c r="B9" s="923"/>
      <c r="C9" s="924"/>
      <c r="D9" s="924"/>
      <c r="E9" s="924"/>
      <c r="F9" s="924"/>
      <c r="G9" s="924"/>
      <c r="H9" s="924"/>
      <c r="I9" s="924"/>
      <c r="J9" s="924"/>
      <c r="K9" s="924"/>
      <c r="L9" s="924"/>
      <c r="M9" s="924"/>
      <c r="N9" s="925"/>
      <c r="O9" s="924"/>
      <c r="P9" s="924"/>
      <c r="Q9" s="924"/>
      <c r="R9" s="924"/>
      <c r="S9" s="924"/>
      <c r="T9" s="924"/>
      <c r="U9" s="924"/>
      <c r="V9" s="924"/>
      <c r="W9" s="924"/>
      <c r="X9" s="924"/>
      <c r="Y9" s="924"/>
      <c r="Z9" s="925"/>
      <c r="AA9" s="924"/>
      <c r="AB9" s="924"/>
      <c r="AC9" s="924"/>
      <c r="AD9" s="924"/>
      <c r="AE9" s="924"/>
      <c r="AF9" s="924"/>
      <c r="AG9" s="924"/>
      <c r="AH9" s="924"/>
      <c r="AI9" s="924"/>
      <c r="AJ9" s="924"/>
      <c r="AK9" s="924"/>
      <c r="AL9" s="925"/>
      <c r="AM9" s="924"/>
      <c r="AN9" s="924"/>
      <c r="AO9" s="924"/>
      <c r="AP9" s="924"/>
      <c r="AQ9" s="924"/>
      <c r="AR9" s="924"/>
      <c r="AS9" s="924"/>
      <c r="AT9" s="924"/>
      <c r="AU9" s="924"/>
      <c r="AV9" s="924"/>
      <c r="AW9" s="924"/>
      <c r="AX9" s="925"/>
      <c r="AY9" s="924"/>
      <c r="AZ9" s="924"/>
      <c r="BA9" s="924"/>
      <c r="BB9" s="924"/>
      <c r="BC9" s="924"/>
      <c r="BD9" s="924"/>
      <c r="BE9" s="924"/>
      <c r="BF9" s="924"/>
      <c r="BG9" s="924"/>
      <c r="BH9" s="924"/>
      <c r="BI9" s="924"/>
      <c r="BJ9" s="926"/>
    </row>
    <row r="10" spans="1:63" ht="16">
      <c r="B10" s="927" t="s">
        <v>709</v>
      </c>
      <c r="C10" s="928"/>
      <c r="D10" s="928"/>
      <c r="E10" s="928"/>
      <c r="F10" s="928"/>
      <c r="G10" s="928"/>
      <c r="H10" s="928"/>
      <c r="I10" s="928"/>
      <c r="J10" s="928"/>
      <c r="K10" s="928"/>
      <c r="L10" s="928"/>
      <c r="M10" s="928"/>
      <c r="N10" s="929"/>
      <c r="O10" s="928"/>
      <c r="P10" s="928"/>
      <c r="Q10" s="928"/>
      <c r="R10" s="928"/>
      <c r="S10" s="928"/>
      <c r="T10" s="928"/>
      <c r="U10" s="928"/>
      <c r="V10" s="928"/>
      <c r="W10" s="928"/>
      <c r="X10" s="928"/>
      <c r="Y10" s="928"/>
      <c r="Z10" s="929"/>
      <c r="AA10" s="928"/>
      <c r="AB10" s="928"/>
      <c r="AC10" s="928"/>
      <c r="AD10" s="928"/>
      <c r="AE10" s="928"/>
      <c r="AF10" s="928"/>
      <c r="AG10" s="928"/>
      <c r="AH10" s="928"/>
      <c r="AI10" s="928"/>
      <c r="AJ10" s="928"/>
      <c r="AK10" s="928"/>
      <c r="AL10" s="929"/>
      <c r="AM10" s="928"/>
      <c r="AN10" s="928"/>
      <c r="AO10" s="928"/>
      <c r="AP10" s="928"/>
      <c r="AQ10" s="928"/>
      <c r="AR10" s="928"/>
      <c r="AS10" s="928"/>
      <c r="AT10" s="928"/>
      <c r="AU10" s="928"/>
      <c r="AV10" s="928"/>
      <c r="AW10" s="928"/>
      <c r="AX10" s="929"/>
      <c r="AY10" s="928"/>
      <c r="AZ10" s="928"/>
      <c r="BA10" s="928"/>
      <c r="BB10" s="928"/>
      <c r="BC10" s="928"/>
      <c r="BD10" s="928"/>
      <c r="BE10" s="928"/>
      <c r="BF10" s="928"/>
      <c r="BG10" s="928"/>
      <c r="BH10" s="928"/>
      <c r="BI10" s="928"/>
      <c r="BJ10" s="930"/>
    </row>
    <row r="11" spans="1:63">
      <c r="B11" s="931"/>
      <c r="C11" s="928"/>
      <c r="D11" s="928"/>
      <c r="E11" s="928"/>
      <c r="F11" s="928"/>
      <c r="G11" s="928"/>
      <c r="H11" s="928"/>
      <c r="I11" s="928"/>
      <c r="J11" s="928"/>
      <c r="K11" s="928"/>
      <c r="L11" s="928"/>
      <c r="M11" s="928"/>
      <c r="N11" s="929"/>
      <c r="O11" s="928"/>
      <c r="P11" s="928"/>
      <c r="Q11" s="928"/>
      <c r="R11" s="928"/>
      <c r="S11" s="928"/>
      <c r="T11" s="928"/>
      <c r="U11" s="928"/>
      <c r="V11" s="928"/>
      <c r="W11" s="928"/>
      <c r="X11" s="928"/>
      <c r="Y11" s="928"/>
      <c r="Z11" s="929"/>
      <c r="AA11" s="928"/>
      <c r="AB11" s="928"/>
      <c r="AC11" s="928"/>
      <c r="AD11" s="928"/>
      <c r="AE11" s="928"/>
      <c r="AF11" s="928"/>
      <c r="AG11" s="928"/>
      <c r="AH11" s="928"/>
      <c r="AI11" s="928"/>
      <c r="AJ11" s="928"/>
      <c r="AK11" s="928"/>
      <c r="AL11" s="929"/>
      <c r="AM11" s="928"/>
      <c r="AN11" s="928"/>
      <c r="AO11" s="928"/>
      <c r="AP11" s="928"/>
      <c r="AQ11" s="928"/>
      <c r="AR11" s="928"/>
      <c r="AS11" s="928"/>
      <c r="AT11" s="928"/>
      <c r="AU11" s="928"/>
      <c r="AV11" s="928"/>
      <c r="AW11" s="928"/>
      <c r="AX11" s="929"/>
      <c r="AY11" s="928"/>
      <c r="AZ11" s="928"/>
      <c r="BA11" s="928"/>
      <c r="BB11" s="928"/>
      <c r="BC11" s="928"/>
      <c r="BD11" s="928"/>
      <c r="BE11" s="928"/>
      <c r="BF11" s="928"/>
      <c r="BG11" s="928"/>
      <c r="BH11" s="928"/>
      <c r="BI11" s="928"/>
      <c r="BJ11" s="930"/>
    </row>
    <row r="12" spans="1:63">
      <c r="B12" s="931" t="s">
        <v>710</v>
      </c>
      <c r="C12" s="932">
        <f>C41</f>
        <v>71686</v>
      </c>
      <c r="D12" s="932">
        <v>51589</v>
      </c>
      <c r="E12" s="932">
        <v>51589</v>
      </c>
      <c r="F12" s="932">
        <v>51589</v>
      </c>
      <c r="G12" s="932">
        <v>51589</v>
      </c>
      <c r="H12" s="932">
        <v>51589</v>
      </c>
      <c r="I12" s="932">
        <v>51589</v>
      </c>
      <c r="J12" s="932">
        <v>51589</v>
      </c>
      <c r="K12" s="932">
        <v>51589</v>
      </c>
      <c r="L12" s="932">
        <v>51589</v>
      </c>
      <c r="M12" s="932">
        <v>51589</v>
      </c>
      <c r="N12" s="933">
        <v>51589</v>
      </c>
      <c r="O12" s="932">
        <v>51589</v>
      </c>
      <c r="P12" s="932">
        <v>51589</v>
      </c>
      <c r="Q12" s="932">
        <v>51589</v>
      </c>
      <c r="R12" s="932">
        <v>51589</v>
      </c>
      <c r="S12" s="932">
        <v>51589</v>
      </c>
      <c r="T12" s="932">
        <v>51589</v>
      </c>
      <c r="U12" s="932">
        <v>51589</v>
      </c>
      <c r="V12" s="932">
        <v>51589</v>
      </c>
      <c r="W12" s="932">
        <v>51589</v>
      </c>
      <c r="X12" s="932">
        <v>51589</v>
      </c>
      <c r="Y12" s="932">
        <v>51589</v>
      </c>
      <c r="Z12" s="933">
        <v>51589</v>
      </c>
      <c r="AA12" s="932">
        <v>51589</v>
      </c>
      <c r="AB12" s="932">
        <v>51589</v>
      </c>
      <c r="AC12" s="932">
        <v>51589</v>
      </c>
      <c r="AD12" s="932">
        <v>51589</v>
      </c>
      <c r="AE12" s="932">
        <v>51589</v>
      </c>
      <c r="AF12" s="932">
        <v>51589</v>
      </c>
      <c r="AG12" s="932">
        <v>51589</v>
      </c>
      <c r="AH12" s="932">
        <v>51589</v>
      </c>
      <c r="AI12" s="932">
        <v>51589</v>
      </c>
      <c r="AJ12" s="932">
        <v>51589</v>
      </c>
      <c r="AK12" s="932">
        <v>51589</v>
      </c>
      <c r="AL12" s="933">
        <v>51589</v>
      </c>
      <c r="AM12" s="932">
        <v>51589</v>
      </c>
      <c r="AN12" s="932">
        <v>51589</v>
      </c>
      <c r="AO12" s="932">
        <v>51589</v>
      </c>
      <c r="AP12" s="932">
        <v>51589</v>
      </c>
      <c r="AQ12" s="932">
        <v>51589</v>
      </c>
      <c r="AR12" s="932">
        <v>51589</v>
      </c>
      <c r="AS12" s="932">
        <v>51589</v>
      </c>
      <c r="AT12" s="932">
        <v>51589</v>
      </c>
      <c r="AU12" s="932">
        <v>51589</v>
      </c>
      <c r="AV12" s="932">
        <v>51589</v>
      </c>
      <c r="AW12" s="932">
        <v>51589</v>
      </c>
      <c r="AX12" s="933">
        <v>51589</v>
      </c>
      <c r="AY12" s="932">
        <v>51589</v>
      </c>
      <c r="AZ12" s="932">
        <v>51589</v>
      </c>
      <c r="BA12" s="932">
        <v>51589</v>
      </c>
      <c r="BB12" s="932">
        <v>51589</v>
      </c>
      <c r="BC12" s="932">
        <v>51589</v>
      </c>
      <c r="BD12" s="932">
        <v>51589</v>
      </c>
      <c r="BE12" s="932">
        <v>51589</v>
      </c>
      <c r="BF12" s="932">
        <v>51589</v>
      </c>
      <c r="BG12" s="932">
        <v>51589</v>
      </c>
      <c r="BH12" s="932">
        <v>51589</v>
      </c>
      <c r="BI12" s="932">
        <v>51589</v>
      </c>
      <c r="BJ12" s="934">
        <v>51589</v>
      </c>
    </row>
    <row r="13" spans="1:63">
      <c r="B13" s="931" t="s">
        <v>711</v>
      </c>
      <c r="C13" s="932">
        <f>C42</f>
        <v>873</v>
      </c>
      <c r="D13" s="932">
        <v>641</v>
      </c>
      <c r="E13" s="932">
        <v>641</v>
      </c>
      <c r="F13" s="932">
        <v>641</v>
      </c>
      <c r="G13" s="932">
        <v>641</v>
      </c>
      <c r="H13" s="932">
        <v>641</v>
      </c>
      <c r="I13" s="932">
        <v>641</v>
      </c>
      <c r="J13" s="932">
        <v>641</v>
      </c>
      <c r="K13" s="932">
        <v>641</v>
      </c>
      <c r="L13" s="932">
        <v>641</v>
      </c>
      <c r="M13" s="932">
        <v>641</v>
      </c>
      <c r="N13" s="933">
        <v>641</v>
      </c>
      <c r="O13" s="932">
        <v>641</v>
      </c>
      <c r="P13" s="932">
        <v>641</v>
      </c>
      <c r="Q13" s="932">
        <v>641</v>
      </c>
      <c r="R13" s="932">
        <v>641</v>
      </c>
      <c r="S13" s="932">
        <v>641</v>
      </c>
      <c r="T13" s="932">
        <v>641</v>
      </c>
      <c r="U13" s="932">
        <v>641</v>
      </c>
      <c r="V13" s="932">
        <v>641</v>
      </c>
      <c r="W13" s="932">
        <v>641</v>
      </c>
      <c r="X13" s="932">
        <v>641</v>
      </c>
      <c r="Y13" s="932">
        <v>641</v>
      </c>
      <c r="Z13" s="933">
        <v>641</v>
      </c>
      <c r="AA13" s="932">
        <v>641</v>
      </c>
      <c r="AB13" s="932">
        <v>641</v>
      </c>
      <c r="AC13" s="932">
        <v>641</v>
      </c>
      <c r="AD13" s="932">
        <v>641</v>
      </c>
      <c r="AE13" s="932">
        <v>641</v>
      </c>
      <c r="AF13" s="932">
        <v>641</v>
      </c>
      <c r="AG13" s="932">
        <v>641</v>
      </c>
      <c r="AH13" s="932">
        <v>641</v>
      </c>
      <c r="AI13" s="932">
        <v>641</v>
      </c>
      <c r="AJ13" s="932">
        <v>641</v>
      </c>
      <c r="AK13" s="932">
        <v>641</v>
      </c>
      <c r="AL13" s="933">
        <v>641</v>
      </c>
      <c r="AM13" s="932">
        <v>641</v>
      </c>
      <c r="AN13" s="932">
        <v>641</v>
      </c>
      <c r="AO13" s="932">
        <v>641</v>
      </c>
      <c r="AP13" s="932">
        <v>641</v>
      </c>
      <c r="AQ13" s="932">
        <v>641</v>
      </c>
      <c r="AR13" s="932">
        <v>641</v>
      </c>
      <c r="AS13" s="932">
        <v>641</v>
      </c>
      <c r="AT13" s="932">
        <v>641</v>
      </c>
      <c r="AU13" s="932">
        <v>641</v>
      </c>
      <c r="AV13" s="932">
        <v>641</v>
      </c>
      <c r="AW13" s="932">
        <v>641</v>
      </c>
      <c r="AX13" s="933">
        <v>641</v>
      </c>
      <c r="AY13" s="932">
        <v>641</v>
      </c>
      <c r="AZ13" s="932">
        <v>641</v>
      </c>
      <c r="BA13" s="932">
        <v>641</v>
      </c>
      <c r="BB13" s="932">
        <v>641</v>
      </c>
      <c r="BC13" s="932">
        <v>641</v>
      </c>
      <c r="BD13" s="932">
        <v>641</v>
      </c>
      <c r="BE13" s="932">
        <v>641</v>
      </c>
      <c r="BF13" s="932">
        <v>641</v>
      </c>
      <c r="BG13" s="932">
        <v>641</v>
      </c>
      <c r="BH13" s="932">
        <v>641</v>
      </c>
      <c r="BI13" s="932">
        <v>641</v>
      </c>
      <c r="BJ13" s="934">
        <v>641</v>
      </c>
    </row>
    <row r="14" spans="1:63">
      <c r="B14" s="931"/>
      <c r="C14" s="928"/>
      <c r="D14" s="928"/>
      <c r="E14" s="928"/>
      <c r="F14" s="928"/>
      <c r="G14" s="928"/>
      <c r="H14" s="928"/>
      <c r="I14" s="928"/>
      <c r="J14" s="928"/>
      <c r="K14" s="928"/>
      <c r="L14" s="928"/>
      <c r="M14" s="928"/>
      <c r="N14" s="929"/>
      <c r="O14" s="928"/>
      <c r="P14" s="928"/>
      <c r="Q14" s="928"/>
      <c r="R14" s="928"/>
      <c r="S14" s="928"/>
      <c r="T14" s="928"/>
      <c r="U14" s="928"/>
      <c r="V14" s="928"/>
      <c r="W14" s="928"/>
      <c r="X14" s="928"/>
      <c r="Y14" s="928"/>
      <c r="Z14" s="929"/>
      <c r="AA14" s="928"/>
      <c r="AB14" s="928"/>
      <c r="AC14" s="928"/>
      <c r="AD14" s="928"/>
      <c r="AE14" s="928"/>
      <c r="AF14" s="928"/>
      <c r="AG14" s="928"/>
      <c r="AH14" s="928"/>
      <c r="AI14" s="928"/>
      <c r="AJ14" s="928"/>
      <c r="AK14" s="928"/>
      <c r="AL14" s="929"/>
      <c r="AM14" s="928"/>
      <c r="AN14" s="928"/>
      <c r="AO14" s="928"/>
      <c r="AP14" s="928"/>
      <c r="AQ14" s="928"/>
      <c r="AR14" s="928"/>
      <c r="AS14" s="928"/>
      <c r="AT14" s="928"/>
      <c r="AU14" s="928"/>
      <c r="AV14" s="928"/>
      <c r="AW14" s="928"/>
      <c r="AX14" s="929"/>
      <c r="AY14" s="928"/>
      <c r="AZ14" s="928"/>
      <c r="BA14" s="928"/>
      <c r="BB14" s="928"/>
      <c r="BC14" s="928"/>
      <c r="BD14" s="928"/>
      <c r="BE14" s="928"/>
      <c r="BF14" s="928"/>
      <c r="BG14" s="928"/>
      <c r="BH14" s="928"/>
      <c r="BI14" s="928"/>
      <c r="BJ14" s="930"/>
    </row>
    <row r="15" spans="1:63">
      <c r="B15" s="931" t="s">
        <v>712</v>
      </c>
      <c r="C15" s="932">
        <f>C47</f>
        <v>3226.5578320959894</v>
      </c>
      <c r="D15" s="932">
        <v>2805.151875</v>
      </c>
      <c r="E15" s="932">
        <v>2643.9362499999997</v>
      </c>
      <c r="F15" s="932">
        <v>2740.6656250000001</v>
      </c>
      <c r="G15" s="932">
        <v>2901.8812499999999</v>
      </c>
      <c r="H15" s="932">
        <v>2966.3675000000003</v>
      </c>
      <c r="I15" s="932">
        <v>3127.5831250000001</v>
      </c>
      <c r="J15" s="932">
        <v>3353.2850000000003</v>
      </c>
      <c r="K15" s="932">
        <v>3830.4832499999998</v>
      </c>
      <c r="L15" s="932">
        <v>4152.914499999999</v>
      </c>
      <c r="M15" s="932">
        <v>4643.01</v>
      </c>
      <c r="N15" s="933">
        <v>3869.1749999999997</v>
      </c>
      <c r="O15" s="932">
        <v>3482.2575000000002</v>
      </c>
      <c r="P15" s="932">
        <v>3366.1822500000003</v>
      </c>
      <c r="Q15" s="932">
        <v>3172.7234999999996</v>
      </c>
      <c r="R15" s="932">
        <v>3288.7987499999999</v>
      </c>
      <c r="S15" s="932">
        <v>3482.2575000000002</v>
      </c>
      <c r="T15" s="932">
        <v>3559.6410000000001</v>
      </c>
      <c r="U15" s="932">
        <v>3753.0997499999999</v>
      </c>
      <c r="V15" s="932">
        <v>3869.1749999999997</v>
      </c>
      <c r="W15" s="932">
        <v>4256.0925000000007</v>
      </c>
      <c r="X15" s="932">
        <v>4449.5512499999995</v>
      </c>
      <c r="Y15" s="932">
        <v>4643.01</v>
      </c>
      <c r="Z15" s="933">
        <v>2824.49775</v>
      </c>
      <c r="AA15" s="932">
        <v>2669.7307499999997</v>
      </c>
      <c r="AB15" s="932">
        <v>2476.2719999999999</v>
      </c>
      <c r="AC15" s="932">
        <v>2282.8132499999997</v>
      </c>
      <c r="AD15" s="932">
        <v>2747.1142500000001</v>
      </c>
      <c r="AE15" s="932">
        <v>3095.3399999999997</v>
      </c>
      <c r="AF15" s="932">
        <v>3172.7234999999996</v>
      </c>
      <c r="AG15" s="932">
        <v>3250.107</v>
      </c>
      <c r="AH15" s="932">
        <v>3327.4904999999999</v>
      </c>
      <c r="AI15" s="932">
        <v>3542.4685731769641</v>
      </c>
      <c r="AJ15" s="932">
        <v>3033.1107687499998</v>
      </c>
      <c r="AK15" s="932">
        <v>3037.56032</v>
      </c>
      <c r="AL15" s="933">
        <v>2824.49775</v>
      </c>
      <c r="AM15" s="932">
        <v>2669.7307499999997</v>
      </c>
      <c r="AN15" s="932">
        <v>2476.2719999999999</v>
      </c>
      <c r="AO15" s="932">
        <v>2282.8132499999997</v>
      </c>
      <c r="AP15" s="932">
        <v>2747.1142500000001</v>
      </c>
      <c r="AQ15" s="932">
        <v>3095.3399999999997</v>
      </c>
      <c r="AR15" s="932">
        <v>3172.7234999999996</v>
      </c>
      <c r="AS15" s="932">
        <v>3250.107</v>
      </c>
      <c r="AT15" s="932">
        <v>3327.4904999999999</v>
      </c>
      <c r="AU15" s="932">
        <v>3297.6392645409123</v>
      </c>
      <c r="AV15" s="932">
        <v>3033.1107687499998</v>
      </c>
      <c r="AW15" s="932">
        <v>3037.56032</v>
      </c>
      <c r="AX15" s="933">
        <v>2824.49775</v>
      </c>
      <c r="AY15" s="932">
        <v>2669.7307499999997</v>
      </c>
      <c r="AZ15" s="932">
        <v>2476.2719999999999</v>
      </c>
      <c r="BA15" s="932">
        <v>2282.8132499999997</v>
      </c>
      <c r="BB15" s="932">
        <v>2747.1142500000001</v>
      </c>
      <c r="BC15" s="932">
        <v>3095.3399999999997</v>
      </c>
      <c r="BD15" s="932">
        <v>3172.7234999999996</v>
      </c>
      <c r="BE15" s="932">
        <v>3250.107</v>
      </c>
      <c r="BF15" s="932">
        <v>3327.4904999999999</v>
      </c>
      <c r="BG15" s="932">
        <v>3297.6392645409123</v>
      </c>
      <c r="BH15" s="932">
        <v>3033.1107687499998</v>
      </c>
      <c r="BI15" s="932">
        <v>3037.56032</v>
      </c>
      <c r="BJ15" s="934">
        <v>2824.49775</v>
      </c>
    </row>
    <row r="16" spans="1:63">
      <c r="B16" s="931" t="s">
        <v>713</v>
      </c>
      <c r="C16" s="932">
        <f>C49</f>
        <v>96.7761</v>
      </c>
      <c r="D16" s="932">
        <v>164.35288106250002</v>
      </c>
      <c r="E16" s="932">
        <v>244.93934055296876</v>
      </c>
      <c r="F16" s="932">
        <v>326.05044479749728</v>
      </c>
      <c r="G16" s="932">
        <v>409.76494596657858</v>
      </c>
      <c r="H16" s="932">
        <v>492.85452897266481</v>
      </c>
      <c r="I16" s="932">
        <v>578.4832083435532</v>
      </c>
      <c r="J16" s="932">
        <v>720.09997938564834</v>
      </c>
      <c r="K16" s="932">
        <v>888.17506484694695</v>
      </c>
      <c r="L16" s="932">
        <v>1077.9763132428657</v>
      </c>
      <c r="M16" s="932">
        <v>1373.1498683022949</v>
      </c>
      <c r="N16" s="933">
        <v>1551.4919325277447</v>
      </c>
      <c r="O16" s="932">
        <v>1677.1791464159394</v>
      </c>
      <c r="P16" s="932">
        <v>1758.2512953879743</v>
      </c>
      <c r="Q16" s="932">
        <v>1864.1906687345463</v>
      </c>
      <c r="R16" s="932">
        <v>1973.4657803230139</v>
      </c>
      <c r="S16" s="932">
        <v>2048.905366306863</v>
      </c>
      <c r="T16" s="932">
        <v>2230.664255391096</v>
      </c>
      <c r="U16" s="932">
        <v>2310.5921188580637</v>
      </c>
      <c r="V16" s="932">
        <v>2506.3423734569687</v>
      </c>
      <c r="W16" s="932">
        <v>2602.5786304168355</v>
      </c>
      <c r="X16" s="932">
        <v>2827.078584698178</v>
      </c>
      <c r="Y16" s="932">
        <v>2931.4946410780326</v>
      </c>
      <c r="Z16" s="933">
        <v>2925.342319841046</v>
      </c>
      <c r="AA16" s="932">
        <v>2910.644654575186</v>
      </c>
      <c r="AB16" s="932">
        <v>2885.6682269371126</v>
      </c>
      <c r="AC16" s="932">
        <v>2851.0040657632285</v>
      </c>
      <c r="AD16" s="932">
        <v>2845.0304013568425</v>
      </c>
      <c r="AE16" s="932">
        <v>2859.4232032788236</v>
      </c>
      <c r="AF16" s="932">
        <v>2877.4379703402915</v>
      </c>
      <c r="AG16" s="932">
        <v>2898.8664395457249</v>
      </c>
      <c r="AH16" s="932">
        <v>2923.5123230218455</v>
      </c>
      <c r="AI16" s="932">
        <v>2968.9888244480899</v>
      </c>
      <c r="AJ16" s="932">
        <v>3033.1107687499998</v>
      </c>
      <c r="AK16" s="932">
        <v>3037.56032</v>
      </c>
      <c r="AL16" s="933">
        <v>2950.7940706250001</v>
      </c>
      <c r="AM16" s="932">
        <v>2934.6329296890626</v>
      </c>
      <c r="AN16" s="932">
        <v>2908.2771762319412</v>
      </c>
      <c r="AO16" s="932">
        <v>2872.3130004736049</v>
      </c>
      <c r="AP16" s="932">
        <v>2865.1140723213725</v>
      </c>
      <c r="AQ16" s="932">
        <v>2878.352063162893</v>
      </c>
      <c r="AR16" s="932">
        <v>2895.2784207810269</v>
      </c>
      <c r="AS16" s="932">
        <v>2915.6810640861181</v>
      </c>
      <c r="AT16" s="932">
        <v>2939.3601066511665</v>
      </c>
      <c r="AU16" s="932">
        <v>2983.9253605187241</v>
      </c>
      <c r="AV16" s="932">
        <v>3033.1107687499998</v>
      </c>
      <c r="AW16" s="932">
        <v>3037.56032</v>
      </c>
      <c r="AX16" s="933">
        <v>2950.7940706250001</v>
      </c>
      <c r="AY16" s="932">
        <v>2934.6329296890626</v>
      </c>
      <c r="AZ16" s="932">
        <v>2908.2771762319412</v>
      </c>
      <c r="BA16" s="932">
        <v>2872.3130004736049</v>
      </c>
      <c r="BB16" s="932">
        <v>2865.1140723213725</v>
      </c>
      <c r="BC16" s="932">
        <v>2878.352063162893</v>
      </c>
      <c r="BD16" s="932">
        <v>2895.2784207810269</v>
      </c>
      <c r="BE16" s="932">
        <v>2915.6810640861181</v>
      </c>
      <c r="BF16" s="932">
        <v>2939.3601066511665</v>
      </c>
      <c r="BG16" s="932">
        <v>2983.9253605187241</v>
      </c>
      <c r="BH16" s="932">
        <v>3033.1107687499998</v>
      </c>
      <c r="BI16" s="932">
        <v>3037.56032</v>
      </c>
      <c r="BJ16" s="934">
        <v>2950.7940706250001</v>
      </c>
    </row>
    <row r="17" spans="2:62">
      <c r="B17" s="931" t="s">
        <v>714</v>
      </c>
      <c r="C17" s="932">
        <f>C51</f>
        <v>3129.0939000000008</v>
      </c>
      <c r="D17" s="932">
        <v>4892.6588439375</v>
      </c>
      <c r="E17" s="932">
        <v>7291.6557533845307</v>
      </c>
      <c r="F17" s="932">
        <v>9706.2709335870331</v>
      </c>
      <c r="G17" s="932">
        <v>12198.387237620454</v>
      </c>
      <c r="H17" s="932">
        <v>14671.90020864779</v>
      </c>
      <c r="I17" s="932">
        <v>17221.000125304236</v>
      </c>
      <c r="J17" s="932">
        <v>19854.185145918585</v>
      </c>
      <c r="K17" s="932">
        <v>22796.493331071641</v>
      </c>
      <c r="L17" s="932">
        <v>25871.431517828772</v>
      </c>
      <c r="M17" s="932">
        <v>29141.29164952648</v>
      </c>
      <c r="N17" s="933">
        <v>31458.974716998739</v>
      </c>
      <c r="O17" s="932">
        <v>33264.053070582799</v>
      </c>
      <c r="P17" s="932">
        <v>34871.984025194819</v>
      </c>
      <c r="Q17" s="932">
        <v>36180.516856460272</v>
      </c>
      <c r="R17" s="932">
        <v>37495.849826137259</v>
      </c>
      <c r="S17" s="932">
        <v>38929.201959830396</v>
      </c>
      <c r="T17" s="932">
        <v>40258.178704439306</v>
      </c>
      <c r="U17" s="932">
        <v>41700.686335581246</v>
      </c>
      <c r="V17" s="932">
        <v>43063.518962124283</v>
      </c>
      <c r="W17" s="932">
        <v>44717.032831707445</v>
      </c>
      <c r="X17" s="932">
        <v>46339.505497009261</v>
      </c>
      <c r="Y17" s="932">
        <v>48051.02085593123</v>
      </c>
      <c r="Z17" s="933">
        <v>47950.176286090187</v>
      </c>
      <c r="AA17" s="932">
        <v>47709.262381515</v>
      </c>
      <c r="AB17" s="932">
        <v>47299.866154577881</v>
      </c>
      <c r="AC17" s="932">
        <v>46731.675338814654</v>
      </c>
      <c r="AD17" s="932">
        <v>46633.759187457807</v>
      </c>
      <c r="AE17" s="932">
        <v>46869.675984178983</v>
      </c>
      <c r="AF17" s="932">
        <v>47164.961513838694</v>
      </c>
      <c r="AG17" s="932">
        <v>47516.202074292967</v>
      </c>
      <c r="AH17" s="932">
        <v>47920.180251271122</v>
      </c>
      <c r="AI17" s="932">
        <v>48493.659999999996</v>
      </c>
      <c r="AJ17" s="932">
        <v>48493.659999999996</v>
      </c>
      <c r="AK17" s="932">
        <v>48493.659999999996</v>
      </c>
      <c r="AL17" s="933">
        <v>48367.363679374997</v>
      </c>
      <c r="AM17" s="932">
        <v>48102.461499685938</v>
      </c>
      <c r="AN17" s="932">
        <v>47670.456323453996</v>
      </c>
      <c r="AO17" s="932">
        <v>47080.956572980387</v>
      </c>
      <c r="AP17" s="932">
        <v>46962.95675065901</v>
      </c>
      <c r="AQ17" s="932">
        <v>47179.944687496114</v>
      </c>
      <c r="AR17" s="932">
        <v>47457.389766715089</v>
      </c>
      <c r="AS17" s="932">
        <v>47791.815702628977</v>
      </c>
      <c r="AT17" s="932">
        <v>48179.946095977808</v>
      </c>
      <c r="AU17" s="932">
        <v>48493.659999999996</v>
      </c>
      <c r="AV17" s="932">
        <v>48493.659999999996</v>
      </c>
      <c r="AW17" s="932">
        <v>48493.659999999996</v>
      </c>
      <c r="AX17" s="933">
        <v>48367.363679374997</v>
      </c>
      <c r="AY17" s="932">
        <v>48102.461499685938</v>
      </c>
      <c r="AZ17" s="932">
        <v>47670.456323453996</v>
      </c>
      <c r="BA17" s="932">
        <v>47080.956572980387</v>
      </c>
      <c r="BB17" s="932">
        <v>46962.95675065901</v>
      </c>
      <c r="BC17" s="932">
        <v>47179.944687496114</v>
      </c>
      <c r="BD17" s="932">
        <v>47457.389766715089</v>
      </c>
      <c r="BE17" s="932">
        <v>47791.815702628977</v>
      </c>
      <c r="BF17" s="932">
        <v>48179.946095977808</v>
      </c>
      <c r="BG17" s="932">
        <v>48493.659999999996</v>
      </c>
      <c r="BH17" s="932">
        <v>48493.659999999996</v>
      </c>
      <c r="BI17" s="932">
        <v>48493.659999999996</v>
      </c>
      <c r="BJ17" s="934">
        <v>48367.363679374997</v>
      </c>
    </row>
    <row r="18" spans="2:62">
      <c r="B18" s="931" t="s">
        <v>715</v>
      </c>
      <c r="C18" s="935">
        <f>C17/C12</f>
        <v>4.3650000000000008E-2</v>
      </c>
      <c r="D18" s="935">
        <v>9.4839187500000005E-2</v>
      </c>
      <c r="E18" s="935">
        <v>0.14134128890625</v>
      </c>
      <c r="F18" s="935">
        <v>0.18814613451679685</v>
      </c>
      <c r="G18" s="935">
        <v>0.23645326014500095</v>
      </c>
      <c r="H18" s="935">
        <v>0.28439977919028842</v>
      </c>
      <c r="I18" s="935">
        <v>0.33381147386660404</v>
      </c>
      <c r="J18" s="935">
        <v>0.38485307228127286</v>
      </c>
      <c r="K18" s="935">
        <v>0.44188670707072519</v>
      </c>
      <c r="L18" s="935">
        <v>0.50149123878789614</v>
      </c>
      <c r="M18" s="935">
        <v>0.56487413304244083</v>
      </c>
      <c r="N18" s="936">
        <v>0.60980004878944616</v>
      </c>
      <c r="O18" s="935">
        <v>0.64478964644755277</v>
      </c>
      <c r="P18" s="935">
        <v>0.67595774341807013</v>
      </c>
      <c r="Q18" s="935">
        <v>0.70132231399058464</v>
      </c>
      <c r="R18" s="935">
        <v>0.72681869829105539</v>
      </c>
      <c r="S18" s="935">
        <v>0.75460276337650267</v>
      </c>
      <c r="T18" s="935">
        <v>0.78036361829923639</v>
      </c>
      <c r="U18" s="935">
        <v>0.8083251533385265</v>
      </c>
      <c r="V18" s="935">
        <v>0.83474226990490763</v>
      </c>
      <c r="W18" s="935">
        <v>0.86679394506013774</v>
      </c>
      <c r="X18" s="935">
        <v>0.8982439182191797</v>
      </c>
      <c r="Y18" s="935">
        <v>0.9314198929215769</v>
      </c>
      <c r="Z18" s="936">
        <v>0.92946512407858628</v>
      </c>
      <c r="AA18" s="935">
        <v>0.92479525444406752</v>
      </c>
      <c r="AB18" s="935">
        <v>0.91685952731353348</v>
      </c>
      <c r="AC18" s="935">
        <v>0.90584572949300535</v>
      </c>
      <c r="AD18" s="935">
        <v>0.90394772504715748</v>
      </c>
      <c r="AE18" s="935">
        <v>0.90852073085694596</v>
      </c>
      <c r="AF18" s="935">
        <v>0.91424453883267154</v>
      </c>
      <c r="AG18" s="935">
        <v>0.9210529778497929</v>
      </c>
      <c r="AH18" s="935">
        <v>0.92888368162342982</v>
      </c>
      <c r="AI18" s="935">
        <v>0.94</v>
      </c>
      <c r="AJ18" s="935">
        <v>0.94</v>
      </c>
      <c r="AK18" s="935">
        <v>0.94</v>
      </c>
      <c r="AL18" s="936">
        <v>0.93755187499999992</v>
      </c>
      <c r="AM18" s="935">
        <v>0.93241701718750003</v>
      </c>
      <c r="AN18" s="935">
        <v>0.92404303869921878</v>
      </c>
      <c r="AO18" s="935">
        <v>0.91261618897401364</v>
      </c>
      <c r="AP18" s="935">
        <v>0.91032888310800775</v>
      </c>
      <c r="AQ18" s="935">
        <v>0.91453497232929726</v>
      </c>
      <c r="AR18" s="935">
        <v>0.91991296142036261</v>
      </c>
      <c r="AS18" s="935">
        <v>0.92639546613869195</v>
      </c>
      <c r="AT18" s="935">
        <v>0.93391897683571712</v>
      </c>
      <c r="AU18" s="935">
        <v>0.94</v>
      </c>
      <c r="AV18" s="935">
        <v>0.94</v>
      </c>
      <c r="AW18" s="935">
        <v>0.94</v>
      </c>
      <c r="AX18" s="936">
        <v>0.93755187499999992</v>
      </c>
      <c r="AY18" s="935">
        <v>0.93241701718750003</v>
      </c>
      <c r="AZ18" s="935">
        <v>0.92404303869921878</v>
      </c>
      <c r="BA18" s="935">
        <v>0.91261618897401364</v>
      </c>
      <c r="BB18" s="935">
        <v>0.91032888310800775</v>
      </c>
      <c r="BC18" s="935">
        <v>0.91453497232929726</v>
      </c>
      <c r="BD18" s="935">
        <v>0.91991296142036261</v>
      </c>
      <c r="BE18" s="935">
        <v>0.92639546613869195</v>
      </c>
      <c r="BF18" s="935">
        <v>0.93391897683571712</v>
      </c>
      <c r="BG18" s="935">
        <v>0.94</v>
      </c>
      <c r="BH18" s="935">
        <v>0.94</v>
      </c>
      <c r="BI18" s="935">
        <v>0.94</v>
      </c>
      <c r="BJ18" s="937">
        <v>0.93755187499999992</v>
      </c>
    </row>
    <row r="19" spans="2:62">
      <c r="B19" s="931"/>
      <c r="C19" s="928"/>
      <c r="D19" s="928"/>
      <c r="E19" s="928"/>
      <c r="F19" s="928"/>
      <c r="G19" s="928"/>
      <c r="H19" s="928"/>
      <c r="I19" s="928"/>
      <c r="J19" s="928"/>
      <c r="K19" s="928"/>
      <c r="L19" s="928"/>
      <c r="M19" s="928"/>
      <c r="N19" s="929"/>
      <c r="O19" s="928"/>
      <c r="P19" s="928"/>
      <c r="Q19" s="928"/>
      <c r="R19" s="928"/>
      <c r="S19" s="928"/>
      <c r="T19" s="928"/>
      <c r="U19" s="928"/>
      <c r="V19" s="928"/>
      <c r="W19" s="928"/>
      <c r="X19" s="928"/>
      <c r="Y19" s="928"/>
      <c r="Z19" s="929"/>
      <c r="AA19" s="928"/>
      <c r="AB19" s="928"/>
      <c r="AC19" s="928"/>
      <c r="AD19" s="928"/>
      <c r="AE19" s="928"/>
      <c r="AF19" s="928"/>
      <c r="AG19" s="928"/>
      <c r="AH19" s="928"/>
      <c r="AI19" s="928"/>
      <c r="AJ19" s="928"/>
      <c r="AK19" s="928"/>
      <c r="AL19" s="929"/>
      <c r="AM19" s="928"/>
      <c r="AN19" s="928"/>
      <c r="AO19" s="928"/>
      <c r="AP19" s="928"/>
      <c r="AQ19" s="928"/>
      <c r="AR19" s="928"/>
      <c r="AS19" s="928"/>
      <c r="AT19" s="928"/>
      <c r="AU19" s="928"/>
      <c r="AV19" s="928"/>
      <c r="AW19" s="928"/>
      <c r="AX19" s="929"/>
      <c r="AY19" s="928"/>
      <c r="AZ19" s="928"/>
      <c r="BA19" s="928"/>
      <c r="BB19" s="928"/>
      <c r="BC19" s="928"/>
      <c r="BD19" s="928"/>
      <c r="BE19" s="928"/>
      <c r="BF19" s="928"/>
      <c r="BG19" s="928"/>
      <c r="BH19" s="928"/>
      <c r="BI19" s="928"/>
      <c r="BJ19" s="930"/>
    </row>
    <row r="20" spans="2:62">
      <c r="B20" s="931" t="s">
        <v>716</v>
      </c>
      <c r="C20" s="932">
        <f>C56</f>
        <v>39.293376494989239</v>
      </c>
      <c r="D20" s="932">
        <v>35</v>
      </c>
      <c r="E20" s="932">
        <v>33</v>
      </c>
      <c r="F20" s="932">
        <v>34</v>
      </c>
      <c r="G20" s="932">
        <v>36</v>
      </c>
      <c r="H20" s="932">
        <v>37</v>
      </c>
      <c r="I20" s="932">
        <v>39</v>
      </c>
      <c r="J20" s="932">
        <v>42</v>
      </c>
      <c r="K20" s="932">
        <v>47</v>
      </c>
      <c r="L20" s="932">
        <v>52</v>
      </c>
      <c r="M20" s="932">
        <v>57</v>
      </c>
      <c r="N20" s="933">
        <v>49</v>
      </c>
      <c r="O20" s="932">
        <v>43</v>
      </c>
      <c r="P20" s="932">
        <v>42</v>
      </c>
      <c r="Q20" s="932">
        <v>39</v>
      </c>
      <c r="R20" s="932">
        <v>41</v>
      </c>
      <c r="S20" s="932">
        <v>43</v>
      </c>
      <c r="T20" s="932">
        <v>44</v>
      </c>
      <c r="U20" s="932">
        <v>47</v>
      </c>
      <c r="V20" s="932">
        <v>48</v>
      </c>
      <c r="W20" s="932">
        <v>53</v>
      </c>
      <c r="X20" s="932">
        <v>55</v>
      </c>
      <c r="Y20" s="932">
        <v>58</v>
      </c>
      <c r="Z20" s="933">
        <v>35</v>
      </c>
      <c r="AA20" s="932">
        <v>33</v>
      </c>
      <c r="AB20" s="932">
        <v>31</v>
      </c>
      <c r="AC20" s="932">
        <v>28</v>
      </c>
      <c r="AD20" s="932">
        <v>34</v>
      </c>
      <c r="AE20" s="932">
        <v>39</v>
      </c>
      <c r="AF20" s="932">
        <v>39</v>
      </c>
      <c r="AG20" s="932">
        <v>41</v>
      </c>
      <c r="AH20" s="932">
        <v>41</v>
      </c>
      <c r="AI20" s="932">
        <v>44</v>
      </c>
      <c r="AJ20" s="932">
        <v>38</v>
      </c>
      <c r="AK20" s="932">
        <v>38</v>
      </c>
      <c r="AL20" s="933">
        <v>35</v>
      </c>
      <c r="AM20" s="932">
        <v>33</v>
      </c>
      <c r="AN20" s="932">
        <v>31</v>
      </c>
      <c r="AO20" s="932">
        <v>28</v>
      </c>
      <c r="AP20" s="932">
        <v>34</v>
      </c>
      <c r="AQ20" s="932">
        <v>39</v>
      </c>
      <c r="AR20" s="932">
        <v>39</v>
      </c>
      <c r="AS20" s="932">
        <v>40</v>
      </c>
      <c r="AT20" s="932">
        <v>42</v>
      </c>
      <c r="AU20" s="932">
        <v>41</v>
      </c>
      <c r="AV20" s="932">
        <v>37</v>
      </c>
      <c r="AW20" s="932">
        <v>38</v>
      </c>
      <c r="AX20" s="933">
        <v>35</v>
      </c>
      <c r="AY20" s="932">
        <v>33</v>
      </c>
      <c r="AZ20" s="932">
        <v>31</v>
      </c>
      <c r="BA20" s="932">
        <v>28</v>
      </c>
      <c r="BB20" s="932">
        <v>35</v>
      </c>
      <c r="BC20" s="932">
        <v>38</v>
      </c>
      <c r="BD20" s="932">
        <v>39</v>
      </c>
      <c r="BE20" s="932">
        <v>41</v>
      </c>
      <c r="BF20" s="932">
        <v>41</v>
      </c>
      <c r="BG20" s="932">
        <v>41</v>
      </c>
      <c r="BH20" s="932">
        <v>38</v>
      </c>
      <c r="BI20" s="932">
        <v>38</v>
      </c>
      <c r="BJ20" s="934">
        <v>35</v>
      </c>
    </row>
    <row r="21" spans="2:62">
      <c r="B21" s="931" t="s">
        <v>717</v>
      </c>
      <c r="C21" s="932">
        <f>C57</f>
        <v>1.17855</v>
      </c>
      <c r="D21" s="932">
        <v>2</v>
      </c>
      <c r="E21" s="932">
        <v>3</v>
      </c>
      <c r="F21" s="932">
        <v>5</v>
      </c>
      <c r="G21" s="932">
        <v>5</v>
      </c>
      <c r="H21" s="932">
        <v>6</v>
      </c>
      <c r="I21" s="932">
        <v>7</v>
      </c>
      <c r="J21" s="932">
        <v>9</v>
      </c>
      <c r="K21" s="932">
        <v>11</v>
      </c>
      <c r="L21" s="932">
        <v>13</v>
      </c>
      <c r="M21" s="932">
        <v>17</v>
      </c>
      <c r="N21" s="933">
        <v>20</v>
      </c>
      <c r="O21" s="932">
        <v>20</v>
      </c>
      <c r="P21" s="932">
        <v>22</v>
      </c>
      <c r="Q21" s="932">
        <v>23</v>
      </c>
      <c r="R21" s="932">
        <v>25</v>
      </c>
      <c r="S21" s="932">
        <v>25</v>
      </c>
      <c r="T21" s="932">
        <v>28</v>
      </c>
      <c r="U21" s="932">
        <v>29</v>
      </c>
      <c r="V21" s="932">
        <v>31</v>
      </c>
      <c r="W21" s="932">
        <v>32</v>
      </c>
      <c r="X21" s="932">
        <v>35</v>
      </c>
      <c r="Y21" s="932">
        <v>37</v>
      </c>
      <c r="Z21" s="933">
        <v>36</v>
      </c>
      <c r="AA21" s="932">
        <v>36</v>
      </c>
      <c r="AB21" s="932">
        <v>36</v>
      </c>
      <c r="AC21" s="932">
        <v>36</v>
      </c>
      <c r="AD21" s="932">
        <v>35</v>
      </c>
      <c r="AE21" s="932">
        <v>36</v>
      </c>
      <c r="AF21" s="932">
        <v>35</v>
      </c>
      <c r="AG21" s="932">
        <v>36</v>
      </c>
      <c r="AH21" s="932">
        <v>37</v>
      </c>
      <c r="AI21" s="932">
        <v>37</v>
      </c>
      <c r="AJ21" s="932">
        <v>37</v>
      </c>
      <c r="AK21" s="932">
        <v>38</v>
      </c>
      <c r="AL21" s="933">
        <v>37</v>
      </c>
      <c r="AM21" s="932">
        <v>36</v>
      </c>
      <c r="AN21" s="932">
        <v>36</v>
      </c>
      <c r="AO21" s="932">
        <v>36</v>
      </c>
      <c r="AP21" s="932">
        <v>36</v>
      </c>
      <c r="AQ21" s="932">
        <v>35</v>
      </c>
      <c r="AR21" s="932">
        <v>36</v>
      </c>
      <c r="AS21" s="932">
        <v>37</v>
      </c>
      <c r="AT21" s="932">
        <v>36</v>
      </c>
      <c r="AU21" s="932">
        <v>37</v>
      </c>
      <c r="AV21" s="932">
        <v>38</v>
      </c>
      <c r="AW21" s="932">
        <v>38</v>
      </c>
      <c r="AX21" s="933">
        <v>36</v>
      </c>
      <c r="AY21" s="932">
        <v>37</v>
      </c>
      <c r="AZ21" s="932">
        <v>36</v>
      </c>
      <c r="BA21" s="932">
        <v>35</v>
      </c>
      <c r="BB21" s="932">
        <v>36</v>
      </c>
      <c r="BC21" s="932">
        <v>36</v>
      </c>
      <c r="BD21" s="932">
        <v>36</v>
      </c>
      <c r="BE21" s="932">
        <v>36</v>
      </c>
      <c r="BF21" s="932">
        <v>37</v>
      </c>
      <c r="BG21" s="932">
        <v>37</v>
      </c>
      <c r="BH21" s="932">
        <v>37</v>
      </c>
      <c r="BI21" s="932">
        <v>38</v>
      </c>
      <c r="BJ21" s="934">
        <v>37</v>
      </c>
    </row>
    <row r="22" spans="2:62">
      <c r="B22" s="931" t="s">
        <v>718</v>
      </c>
      <c r="C22" s="932">
        <f>C20-C21</f>
        <v>38.114826494989238</v>
      </c>
      <c r="D22" s="932">
        <v>61</v>
      </c>
      <c r="E22" s="932">
        <v>91</v>
      </c>
      <c r="F22" s="932">
        <v>120</v>
      </c>
      <c r="G22" s="932">
        <v>151</v>
      </c>
      <c r="H22" s="932">
        <v>182</v>
      </c>
      <c r="I22" s="932">
        <v>214</v>
      </c>
      <c r="J22" s="932">
        <v>247</v>
      </c>
      <c r="K22" s="932">
        <v>283</v>
      </c>
      <c r="L22" s="932">
        <v>322</v>
      </c>
      <c r="M22" s="932">
        <v>362</v>
      </c>
      <c r="N22" s="933">
        <v>391</v>
      </c>
      <c r="O22" s="932">
        <v>414</v>
      </c>
      <c r="P22" s="932">
        <v>434</v>
      </c>
      <c r="Q22" s="932">
        <v>450</v>
      </c>
      <c r="R22" s="932">
        <v>466</v>
      </c>
      <c r="S22" s="932">
        <v>484</v>
      </c>
      <c r="T22" s="932">
        <v>500</v>
      </c>
      <c r="U22" s="932">
        <v>518</v>
      </c>
      <c r="V22" s="932">
        <v>535</v>
      </c>
      <c r="W22" s="932">
        <v>556</v>
      </c>
      <c r="X22" s="932">
        <v>576</v>
      </c>
      <c r="Y22" s="932">
        <v>597</v>
      </c>
      <c r="Z22" s="933">
        <v>596</v>
      </c>
      <c r="AA22" s="932">
        <v>593</v>
      </c>
      <c r="AB22" s="932">
        <v>588</v>
      </c>
      <c r="AC22" s="932">
        <v>580</v>
      </c>
      <c r="AD22" s="932">
        <v>579</v>
      </c>
      <c r="AE22" s="932">
        <v>582</v>
      </c>
      <c r="AF22" s="932">
        <v>586</v>
      </c>
      <c r="AG22" s="932">
        <v>591</v>
      </c>
      <c r="AH22" s="932">
        <v>595</v>
      </c>
      <c r="AI22" s="932">
        <v>602</v>
      </c>
      <c r="AJ22" s="932">
        <v>603</v>
      </c>
      <c r="AK22" s="932">
        <v>603</v>
      </c>
      <c r="AL22" s="933">
        <v>601</v>
      </c>
      <c r="AM22" s="932">
        <v>598</v>
      </c>
      <c r="AN22" s="932">
        <v>593</v>
      </c>
      <c r="AO22" s="932">
        <v>585</v>
      </c>
      <c r="AP22" s="932">
        <v>583</v>
      </c>
      <c r="AQ22" s="932">
        <v>587</v>
      </c>
      <c r="AR22" s="932">
        <v>590</v>
      </c>
      <c r="AS22" s="932">
        <v>593</v>
      </c>
      <c r="AT22" s="932">
        <v>599</v>
      </c>
      <c r="AU22" s="932">
        <v>603</v>
      </c>
      <c r="AV22" s="932">
        <v>602</v>
      </c>
      <c r="AW22" s="932">
        <v>602</v>
      </c>
      <c r="AX22" s="933">
        <v>601</v>
      </c>
      <c r="AY22" s="932">
        <v>597</v>
      </c>
      <c r="AZ22" s="932">
        <v>592</v>
      </c>
      <c r="BA22" s="932">
        <v>585</v>
      </c>
      <c r="BB22" s="932">
        <v>584</v>
      </c>
      <c r="BC22" s="932">
        <v>586</v>
      </c>
      <c r="BD22" s="932">
        <v>589</v>
      </c>
      <c r="BE22" s="932">
        <v>594</v>
      </c>
      <c r="BF22" s="932">
        <v>598</v>
      </c>
      <c r="BG22" s="932">
        <v>602</v>
      </c>
      <c r="BH22" s="932">
        <v>603</v>
      </c>
      <c r="BI22" s="932">
        <v>603</v>
      </c>
      <c r="BJ22" s="934">
        <v>601</v>
      </c>
    </row>
    <row r="23" spans="2:62">
      <c r="B23" s="931" t="s">
        <v>719</v>
      </c>
      <c r="C23" s="935">
        <f>C22/C13</f>
        <v>4.3659595068716195E-2</v>
      </c>
      <c r="D23" s="935">
        <v>9.5163806552262087E-2</v>
      </c>
      <c r="E23" s="935">
        <v>0.1419656786271451</v>
      </c>
      <c r="F23" s="935">
        <v>0.18720748829953199</v>
      </c>
      <c r="G23" s="935">
        <v>0.23556942277691106</v>
      </c>
      <c r="H23" s="935">
        <v>0.2839313572542902</v>
      </c>
      <c r="I23" s="935">
        <v>0.33385335413416539</v>
      </c>
      <c r="J23" s="935">
        <v>0.38533541341653665</v>
      </c>
      <c r="K23" s="935">
        <v>0.44149765990639628</v>
      </c>
      <c r="L23" s="935">
        <v>0.5023400936037441</v>
      </c>
      <c r="M23" s="935">
        <v>0.56474258970358815</v>
      </c>
      <c r="N23" s="936">
        <v>0.60998439937597504</v>
      </c>
      <c r="O23" s="935">
        <v>0.64586583463338532</v>
      </c>
      <c r="P23" s="935">
        <v>0.67706708268330729</v>
      </c>
      <c r="Q23" s="935">
        <v>0.70202808112324488</v>
      </c>
      <c r="R23" s="935">
        <v>0.72698907956318248</v>
      </c>
      <c r="S23" s="935">
        <v>0.75507020280811232</v>
      </c>
      <c r="T23" s="935">
        <v>0.78003120124804992</v>
      </c>
      <c r="U23" s="935">
        <v>0.80811232449297976</v>
      </c>
      <c r="V23" s="935">
        <v>0.83463338533541342</v>
      </c>
      <c r="W23" s="935">
        <v>0.86739469578783146</v>
      </c>
      <c r="X23" s="935">
        <v>0.89859594383775354</v>
      </c>
      <c r="Y23" s="935">
        <v>0.93135725429017158</v>
      </c>
      <c r="Z23" s="936">
        <v>0.92979719188767551</v>
      </c>
      <c r="AA23" s="935">
        <v>0.9251170046801872</v>
      </c>
      <c r="AB23" s="935">
        <v>0.91731669266770666</v>
      </c>
      <c r="AC23" s="935">
        <v>0.90483619344773791</v>
      </c>
      <c r="AD23" s="935">
        <v>0.90327613104524185</v>
      </c>
      <c r="AE23" s="935">
        <v>0.90795631825273015</v>
      </c>
      <c r="AF23" s="935">
        <v>0.91419656786271453</v>
      </c>
      <c r="AG23" s="935">
        <v>0.92199687987519496</v>
      </c>
      <c r="AH23" s="935">
        <v>0.92823712948517945</v>
      </c>
      <c r="AI23" s="935">
        <v>0.93915756630265212</v>
      </c>
      <c r="AJ23" s="935">
        <v>0.94071762870514819</v>
      </c>
      <c r="AK23" s="935">
        <v>0.94071762870514819</v>
      </c>
      <c r="AL23" s="936">
        <v>0.93759750390015606</v>
      </c>
      <c r="AM23" s="935">
        <v>0.93291731669266775</v>
      </c>
      <c r="AN23" s="935">
        <v>0.9251170046801872</v>
      </c>
      <c r="AO23" s="935">
        <v>0.91263650546021846</v>
      </c>
      <c r="AP23" s="935">
        <v>0.90951638065522622</v>
      </c>
      <c r="AQ23" s="935">
        <v>0.91575663026521059</v>
      </c>
      <c r="AR23" s="935">
        <v>0.9204368174726989</v>
      </c>
      <c r="AS23" s="935">
        <v>0.9251170046801872</v>
      </c>
      <c r="AT23" s="935">
        <v>0.93447737909516382</v>
      </c>
      <c r="AU23" s="935">
        <v>0.94071762870514819</v>
      </c>
      <c r="AV23" s="935">
        <v>0.93915756630265212</v>
      </c>
      <c r="AW23" s="935">
        <v>0.93915756630265212</v>
      </c>
      <c r="AX23" s="936">
        <v>0.93759750390015606</v>
      </c>
      <c r="AY23" s="935">
        <v>0.93135725429017158</v>
      </c>
      <c r="AZ23" s="935">
        <v>0.92355694227769114</v>
      </c>
      <c r="BA23" s="935">
        <v>0.91263650546021846</v>
      </c>
      <c r="BB23" s="935">
        <v>0.91107644305772228</v>
      </c>
      <c r="BC23" s="935">
        <v>0.91419656786271453</v>
      </c>
      <c r="BD23" s="935">
        <v>0.91887675507020283</v>
      </c>
      <c r="BE23" s="935">
        <v>0.92667706708268327</v>
      </c>
      <c r="BF23" s="935">
        <v>0.93291731669266775</v>
      </c>
      <c r="BG23" s="935">
        <v>0.93915756630265212</v>
      </c>
      <c r="BH23" s="935">
        <v>0.94071762870514819</v>
      </c>
      <c r="BI23" s="935">
        <v>0.94071762870514819</v>
      </c>
      <c r="BJ23" s="937">
        <v>0.93759750390015606</v>
      </c>
    </row>
    <row r="24" spans="2:62">
      <c r="B24" s="931"/>
      <c r="C24" s="928"/>
      <c r="D24" s="928"/>
      <c r="E24" s="928"/>
      <c r="F24" s="928"/>
      <c r="G24" s="928"/>
      <c r="H24" s="928"/>
      <c r="I24" s="928"/>
      <c r="J24" s="928"/>
      <c r="K24" s="928"/>
      <c r="L24" s="928"/>
      <c r="M24" s="928"/>
      <c r="N24" s="929"/>
      <c r="O24" s="928"/>
      <c r="P24" s="928"/>
      <c r="Q24" s="928"/>
      <c r="R24" s="928"/>
      <c r="S24" s="928"/>
      <c r="T24" s="928"/>
      <c r="U24" s="928"/>
      <c r="V24" s="928"/>
      <c r="W24" s="928"/>
      <c r="X24" s="928"/>
      <c r="Y24" s="928"/>
      <c r="Z24" s="929"/>
      <c r="AA24" s="928"/>
      <c r="AB24" s="928"/>
      <c r="AC24" s="928"/>
      <c r="AD24" s="928"/>
      <c r="AE24" s="928"/>
      <c r="AF24" s="928"/>
      <c r="AG24" s="928"/>
      <c r="AH24" s="928"/>
      <c r="AI24" s="928"/>
      <c r="AJ24" s="928"/>
      <c r="AK24" s="928"/>
      <c r="AL24" s="929"/>
      <c r="AM24" s="928"/>
      <c r="AN24" s="928"/>
      <c r="AO24" s="928"/>
      <c r="AP24" s="928"/>
      <c r="AQ24" s="928"/>
      <c r="AR24" s="928"/>
      <c r="AS24" s="928"/>
      <c r="AT24" s="928"/>
      <c r="AU24" s="928"/>
      <c r="AV24" s="928"/>
      <c r="AW24" s="928"/>
      <c r="AX24" s="929"/>
      <c r="AY24" s="928"/>
      <c r="AZ24" s="928"/>
      <c r="BA24" s="928"/>
      <c r="BB24" s="928"/>
      <c r="BC24" s="928"/>
      <c r="BD24" s="928"/>
      <c r="BE24" s="928"/>
      <c r="BF24" s="928"/>
      <c r="BG24" s="928"/>
      <c r="BH24" s="928"/>
      <c r="BI24" s="928"/>
      <c r="BJ24" s="930"/>
    </row>
    <row r="25" spans="2:62">
      <c r="B25" s="931" t="s">
        <v>720</v>
      </c>
      <c r="C25" s="938">
        <f>C79</f>
        <v>2.0530008753380269</v>
      </c>
      <c r="D25" s="938">
        <f t="shared" ref="D25:BJ25" si="0">D79</f>
        <v>2.0332778193765626</v>
      </c>
      <c r="E25" s="938">
        <f t="shared" si="0"/>
        <v>2.0225943572344516</v>
      </c>
      <c r="F25" s="938">
        <f t="shared" si="0"/>
        <v>2.0284521470405559</v>
      </c>
      <c r="G25" s="938">
        <f t="shared" si="0"/>
        <v>2.050101598081151</v>
      </c>
      <c r="H25" s="938">
        <f t="shared" si="0"/>
        <v>2.0833135242400309</v>
      </c>
      <c r="I25" s="938">
        <f t="shared" si="0"/>
        <v>2.1673083200422041</v>
      </c>
      <c r="J25" s="938">
        <f t="shared" si="0"/>
        <v>2.2528932066653464</v>
      </c>
      <c r="K25" s="938">
        <f t="shared" si="0"/>
        <v>2.3339288383889416</v>
      </c>
      <c r="L25" s="938">
        <f t="shared" si="0"/>
        <v>2.4088611495214081</v>
      </c>
      <c r="M25" s="938">
        <f t="shared" si="0"/>
        <v>2.4861341996092015</v>
      </c>
      <c r="N25" s="938">
        <f t="shared" si="0"/>
        <v>2.5422466446354943</v>
      </c>
      <c r="O25" s="938">
        <f t="shared" si="0"/>
        <v>2.5847261096703549</v>
      </c>
      <c r="P25" s="938">
        <f t="shared" si="0"/>
        <v>2.619977984829061</v>
      </c>
      <c r="Q25" s="938">
        <f t="shared" si="0"/>
        <v>2.6570264064207123</v>
      </c>
      <c r="R25" s="938">
        <f t="shared" si="0"/>
        <v>2.7013976215423758</v>
      </c>
      <c r="S25" s="938">
        <f t="shared" si="0"/>
        <v>2.7473055073397865</v>
      </c>
      <c r="T25" s="938">
        <f t="shared" si="0"/>
        <v>2.7841775511562274</v>
      </c>
      <c r="U25" s="938">
        <f t="shared" si="0"/>
        <v>2.8164558021833002</v>
      </c>
      <c r="V25" s="938">
        <f t="shared" si="0"/>
        <v>2.8534273161078465</v>
      </c>
      <c r="W25" s="938">
        <f t="shared" si="0"/>
        <v>2.8930398193099842</v>
      </c>
      <c r="X25" s="938">
        <f t="shared" si="0"/>
        <v>2.9369487379824024</v>
      </c>
      <c r="Y25" s="938">
        <f t="shared" si="0"/>
        <v>2.9812347458027495</v>
      </c>
      <c r="Z25" s="938">
        <f t="shared" si="0"/>
        <v>3.0058729519673184</v>
      </c>
      <c r="AA25" s="938">
        <f t="shared" si="0"/>
        <v>3.0349669278093092</v>
      </c>
      <c r="AB25" s="938">
        <f t="shared" si="0"/>
        <v>3.0657789841265801</v>
      </c>
      <c r="AC25" s="938">
        <f t="shared" si="0"/>
        <v>3.0948002769083751</v>
      </c>
      <c r="AD25" s="938">
        <f t="shared" si="0"/>
        <v>3.1266777033156488</v>
      </c>
      <c r="AE25" s="938">
        <f t="shared" si="0"/>
        <v>3.1607443771112886</v>
      </c>
      <c r="AF25" s="938">
        <f t="shared" si="0"/>
        <v>3.1852638978309638</v>
      </c>
      <c r="AG25" s="938">
        <f t="shared" si="0"/>
        <v>3.2096149449030849</v>
      </c>
      <c r="AH25" s="938">
        <f t="shared" si="0"/>
        <v>3.234578786030859</v>
      </c>
      <c r="AI25" s="938">
        <f t="shared" si="0"/>
        <v>3.2620643799297397</v>
      </c>
      <c r="AJ25" s="938">
        <f t="shared" si="0"/>
        <v>3.2873943463686675</v>
      </c>
      <c r="AK25" s="938">
        <f t="shared" si="0"/>
        <v>3.3153095837368727</v>
      </c>
      <c r="AL25" s="938">
        <f t="shared" si="0"/>
        <v>3.3427005092135222</v>
      </c>
      <c r="AM25" s="938">
        <f t="shared" si="0"/>
        <v>3.3685863348189535</v>
      </c>
      <c r="AN25" s="938">
        <f t="shared" si="0"/>
        <v>3.3898729452316889</v>
      </c>
      <c r="AO25" s="938">
        <f t="shared" si="0"/>
        <v>3.4116697668487972</v>
      </c>
      <c r="AP25" s="938">
        <f t="shared" si="0"/>
        <v>3.433920942595369</v>
      </c>
      <c r="AQ25" s="938">
        <f t="shared" si="0"/>
        <v>3.4562026385802187</v>
      </c>
      <c r="AR25" s="938">
        <f t="shared" si="0"/>
        <v>3.4789538734216552</v>
      </c>
      <c r="AS25" s="938">
        <f t="shared" si="0"/>
        <v>3.50230984579493</v>
      </c>
      <c r="AT25" s="938">
        <f t="shared" si="0"/>
        <v>3.5263891978626107</v>
      </c>
      <c r="AU25" s="938">
        <f t="shared" si="0"/>
        <v>3.550732692485389</v>
      </c>
      <c r="AV25" s="938">
        <f t="shared" si="0"/>
        <v>3.5738124549865447</v>
      </c>
      <c r="AW25" s="938">
        <f t="shared" si="0"/>
        <v>3.5970422359439569</v>
      </c>
      <c r="AX25" s="938">
        <f t="shared" si="0"/>
        <v>3.6200561718982445</v>
      </c>
      <c r="AY25" s="938">
        <f t="shared" si="0"/>
        <v>3.6436879109286533</v>
      </c>
      <c r="AZ25" s="938">
        <f t="shared" si="0"/>
        <v>3.668331900839668</v>
      </c>
      <c r="BA25" s="938">
        <f t="shared" si="0"/>
        <v>3.6941592143775588</v>
      </c>
      <c r="BB25" s="938">
        <f t="shared" si="0"/>
        <v>3.7187043940526738</v>
      </c>
      <c r="BC25" s="938">
        <f t="shared" si="0"/>
        <v>3.7419946155472918</v>
      </c>
      <c r="BD25" s="938">
        <f t="shared" si="0"/>
        <v>3.7655405293994417</v>
      </c>
      <c r="BE25" s="938">
        <f t="shared" si="0"/>
        <v>3.789498229126794</v>
      </c>
      <c r="BF25" s="938">
        <f t="shared" si="0"/>
        <v>3.814007075563818</v>
      </c>
      <c r="BG25" s="938">
        <f t="shared" si="0"/>
        <v>3.8390788343521267</v>
      </c>
      <c r="BH25" s="938">
        <f t="shared" si="0"/>
        <v>3.8640328467754155</v>
      </c>
      <c r="BI25" s="938">
        <f t="shared" si="0"/>
        <v>3.889149060279455</v>
      </c>
      <c r="BJ25" s="939">
        <f t="shared" si="0"/>
        <v>3.9145347811204232</v>
      </c>
    </row>
    <row r="26" spans="2:62">
      <c r="B26" s="931" t="s">
        <v>721</v>
      </c>
      <c r="C26" s="940">
        <f>C82</f>
        <v>6424.0325157148818</v>
      </c>
      <c r="D26" s="940">
        <f t="shared" ref="D26:BJ26" si="1">D82</f>
        <v>13823.527970569683</v>
      </c>
      <c r="E26" s="940">
        <f t="shared" si="1"/>
        <v>20493.313630470635</v>
      </c>
      <c r="F26" s="940">
        <f t="shared" si="1"/>
        <v>27358.634332111757</v>
      </c>
      <c r="G26" s="940">
        <f t="shared" si="1"/>
        <v>34750.018360783688</v>
      </c>
      <c r="H26" s="940">
        <f t="shared" si="1"/>
        <v>42473.518165445166</v>
      </c>
      <c r="I26" s="940">
        <f t="shared" si="1"/>
        <v>51862.841365062297</v>
      </c>
      <c r="J26" s="940">
        <f t="shared" si="1"/>
        <v>62154.118469845707</v>
      </c>
      <c r="K26" s="940">
        <f t="shared" si="1"/>
        <v>73932.074994697643</v>
      </c>
      <c r="L26" s="940">
        <f t="shared" si="1"/>
        <v>86598.319712540266</v>
      </c>
      <c r="M26" s="940">
        <f t="shared" si="1"/>
        <v>100672.44203466328</v>
      </c>
      <c r="N26" s="940">
        <f t="shared" si="1"/>
        <v>111132.09090304306</v>
      </c>
      <c r="O26" s="940">
        <f t="shared" si="1"/>
        <v>119472.2198228964</v>
      </c>
      <c r="P26" s="940">
        <f t="shared" si="1"/>
        <v>126955.50501934635</v>
      </c>
      <c r="Q26" s="940">
        <f t="shared" si="1"/>
        <v>133581.97973431132</v>
      </c>
      <c r="R26" s="940">
        <f t="shared" si="1"/>
        <v>140750.17794653398</v>
      </c>
      <c r="S26" s="940">
        <f t="shared" si="1"/>
        <v>148613.99055393139</v>
      </c>
      <c r="T26" s="940">
        <f t="shared" si="1"/>
        <v>155750.08382966858</v>
      </c>
      <c r="U26" s="940">
        <f t="shared" si="1"/>
        <v>163201.2127189062</v>
      </c>
      <c r="V26" s="940">
        <f t="shared" si="1"/>
        <v>170747.19124168536</v>
      </c>
      <c r="W26" s="940">
        <f t="shared" si="1"/>
        <v>179764.78847906191</v>
      </c>
      <c r="X26" s="940">
        <f t="shared" si="1"/>
        <v>189114.57437362909</v>
      </c>
      <c r="Y26" s="940">
        <f t="shared" si="1"/>
        <v>199056.34769191622</v>
      </c>
      <c r="Z26" s="940">
        <f t="shared" si="1"/>
        <v>200280.22331111631</v>
      </c>
      <c r="AA26" s="940">
        <f t="shared" si="1"/>
        <v>201202.7458549162</v>
      </c>
      <c r="AB26" s="940">
        <f t="shared" si="1"/>
        <v>201501.36521439892</v>
      </c>
      <c r="AC26" s="940">
        <f t="shared" si="1"/>
        <v>200965.364994984</v>
      </c>
      <c r="AD26" s="940">
        <f t="shared" si="1"/>
        <v>202609.95527066884</v>
      </c>
      <c r="AE26" s="940">
        <f t="shared" si="1"/>
        <v>205853.64602870421</v>
      </c>
      <c r="AF26" s="940">
        <f t="shared" si="1"/>
        <v>208757.52630123703</v>
      </c>
      <c r="AG26" s="940">
        <f t="shared" si="1"/>
        <v>211919.97422183651</v>
      </c>
      <c r="AH26" s="940">
        <f t="shared" si="1"/>
        <v>215383.98859169742</v>
      </c>
      <c r="AI26" s="940">
        <f t="shared" si="1"/>
        <v>219813.68631126473</v>
      </c>
      <c r="AJ26" s="940">
        <f t="shared" si="1"/>
        <v>221520.54204695721</v>
      </c>
      <c r="AK26" s="940">
        <f t="shared" si="1"/>
        <v>223401.60585057575</v>
      </c>
      <c r="AL26" s="940">
        <f t="shared" si="1"/>
        <v>224660.70744750201</v>
      </c>
      <c r="AM26" s="940">
        <f t="shared" si="1"/>
        <v>225160.5088685838</v>
      </c>
      <c r="AN26" s="940">
        <f t="shared" si="1"/>
        <v>224548.40180426906</v>
      </c>
      <c r="AO26" s="940">
        <f t="shared" si="1"/>
        <v>223197.59121843055</v>
      </c>
      <c r="AP26" s="940">
        <f t="shared" si="1"/>
        <v>224090.25078875566</v>
      </c>
      <c r="AQ26" s="940">
        <f t="shared" si="1"/>
        <v>226586.41236965149</v>
      </c>
      <c r="AR26" s="940">
        <f t="shared" si="1"/>
        <v>229419.19763003118</v>
      </c>
      <c r="AS26" s="940">
        <f t="shared" si="1"/>
        <v>232586.94475120996</v>
      </c>
      <c r="AT26" s="940">
        <f t="shared" si="1"/>
        <v>236087.93339209096</v>
      </c>
      <c r="AU26" s="940">
        <f t="shared" si="1"/>
        <v>239265.55436589714</v>
      </c>
      <c r="AV26" s="940">
        <f t="shared" si="1"/>
        <v>240820.78046927549</v>
      </c>
      <c r="AW26" s="940">
        <f t="shared" si="1"/>
        <v>242386.11554232577</v>
      </c>
      <c r="AX26" s="940">
        <f t="shared" si="1"/>
        <v>243301.59951114102</v>
      </c>
      <c r="AY26" s="940">
        <f t="shared" si="1"/>
        <v>243548.64107322821</v>
      </c>
      <c r="AZ26" s="940">
        <f t="shared" si="1"/>
        <v>242993.78735708483</v>
      </c>
      <c r="BA26" s="940">
        <f t="shared" si="1"/>
        <v>241678.56052141267</v>
      </c>
      <c r="BB26" s="940">
        <f t="shared" si="1"/>
        <v>242674.60264902932</v>
      </c>
      <c r="BC26" s="940">
        <f t="shared" si="1"/>
        <v>245322.74976554004</v>
      </c>
      <c r="BD26" s="940">
        <f t="shared" si="1"/>
        <v>248318.12042639236</v>
      </c>
      <c r="BE26" s="940">
        <f t="shared" si="1"/>
        <v>251659.00621584503</v>
      </c>
      <c r="BF26" s="940">
        <f t="shared" si="1"/>
        <v>255343.63846124616</v>
      </c>
      <c r="BG26" s="940">
        <f t="shared" si="1"/>
        <v>258695.71300020456</v>
      </c>
      <c r="BH26" s="940">
        <f t="shared" si="1"/>
        <v>260377.23513470587</v>
      </c>
      <c r="BI26" s="940">
        <f t="shared" si="1"/>
        <v>262069.68716308143</v>
      </c>
      <c r="BJ26" s="941">
        <f t="shared" si="1"/>
        <v>263093.31357396528</v>
      </c>
    </row>
    <row r="27" spans="2:62">
      <c r="B27" s="931" t="s">
        <v>722</v>
      </c>
      <c r="C27" s="1000">
        <f>C83</f>
        <v>-6384.485975195721</v>
      </c>
      <c r="D27" s="1000">
        <f t="shared" ref="D27:BJ27" si="2">D83</f>
        <v>-7812.5414008641364</v>
      </c>
      <c r="E27" s="1000">
        <f t="shared" si="2"/>
        <v>-7306.0344081508229</v>
      </c>
      <c r="F27" s="1000">
        <f t="shared" si="2"/>
        <v>-7745.9809249463069</v>
      </c>
      <c r="G27" s="1000">
        <f t="shared" si="2"/>
        <v>-8557.6023091623738</v>
      </c>
      <c r="H27" s="1000">
        <f t="shared" si="2"/>
        <v>-9212.2317151128445</v>
      </c>
      <c r="I27" s="1000">
        <f t="shared" si="2"/>
        <v>-10216.100726027</v>
      </c>
      <c r="J27" s="1000">
        <f t="shared" si="2"/>
        <v>-11507.436418246662</v>
      </c>
      <c r="K27" s="1000">
        <f t="shared" si="2"/>
        <v>-13794.735267112474</v>
      </c>
      <c r="L27" s="1000">
        <f t="shared" si="2"/>
        <v>-15531.405650536524</v>
      </c>
      <c r="M27" s="1000">
        <f t="shared" si="2"/>
        <v>-18292.684973493589</v>
      </c>
      <c r="N27" s="1000">
        <f t="shared" si="2"/>
        <v>-15354.925550099999</v>
      </c>
      <c r="O27" s="1000">
        <f t="shared" si="2"/>
        <v>-12270.327666713185</v>
      </c>
      <c r="P27" s="1000">
        <f t="shared" si="2"/>
        <v>-11651.320833634416</v>
      </c>
      <c r="Q27" s="1000">
        <f t="shared" si="2"/>
        <v>-9853.7871073636488</v>
      </c>
      <c r="R27" s="1000">
        <f t="shared" si="2"/>
        <v>-8966.9462516104577</v>
      </c>
      <c r="S27" s="1000">
        <f t="shared" si="2"/>
        <v>-9617.9083584644686</v>
      </c>
      <c r="T27" s="1000">
        <f t="shared" si="2"/>
        <v>-8671.2540308625994</v>
      </c>
      <c r="U27" s="1000">
        <f t="shared" si="2"/>
        <v>-9350.5721950918596</v>
      </c>
      <c r="V27" s="1000">
        <f t="shared" si="2"/>
        <v>-8671.5850107553433</v>
      </c>
      <c r="W27" s="1000">
        <f t="shared" si="2"/>
        <v>-9748.5933074575514</v>
      </c>
      <c r="X27" s="1000">
        <f t="shared" si="2"/>
        <v>-8687.7979114736445</v>
      </c>
      <c r="Y27" s="1000">
        <f t="shared" si="2"/>
        <v>-9087.6250428350777</v>
      </c>
      <c r="Z27" s="1000">
        <f t="shared" si="2"/>
        <v>-4159.7561785022399</v>
      </c>
      <c r="AA27" s="1000">
        <f t="shared" si="2"/>
        <v>-3789.4707725711123</v>
      </c>
      <c r="AB27" s="1000">
        <f t="shared" si="2"/>
        <v>-3452.6862546155949</v>
      </c>
      <c r="AC27" s="1000">
        <f t="shared" si="2"/>
        <v>-3158.3863700071638</v>
      </c>
      <c r="AD27" s="1000">
        <f t="shared" si="2"/>
        <v>-3770.6284439822825</v>
      </c>
      <c r="AE27" s="1000">
        <f t="shared" si="2"/>
        <v>-4303.3532816541983</v>
      </c>
      <c r="AF27" s="1000">
        <f t="shared" si="2"/>
        <v>-4513.7715893465056</v>
      </c>
      <c r="AG27" s="1000">
        <f t="shared" si="2"/>
        <v>-4728.8425558392873</v>
      </c>
      <c r="AH27" s="1000">
        <f t="shared" si="2"/>
        <v>-4950.2705908397838</v>
      </c>
      <c r="AI27" s="1000">
        <f t="shared" si="2"/>
        <v>-5385.9174679536272</v>
      </c>
      <c r="AJ27" s="1000">
        <f t="shared" si="2"/>
        <v>-4666.9466028356246</v>
      </c>
      <c r="AK27" s="1000">
        <f t="shared" si="2"/>
        <v>-4685.3814078350479</v>
      </c>
      <c r="AL27" s="1000">
        <f t="shared" si="2"/>
        <v>-4284.9778494966185</v>
      </c>
      <c r="AM27" s="1000">
        <f t="shared" si="2"/>
        <v>-3903.5593472785272</v>
      </c>
      <c r="AN27" s="1000">
        <f t="shared" si="2"/>
        <v>-3556.6468800779876</v>
      </c>
      <c r="AO27" s="1000">
        <f t="shared" si="2"/>
        <v>-3253.4810773635095</v>
      </c>
      <c r="AP27" s="1000">
        <f t="shared" si="2"/>
        <v>-3884.1640158753066</v>
      </c>
      <c r="AQ27" s="1000">
        <f t="shared" si="2"/>
        <v>-4432.9320543520125</v>
      </c>
      <c r="AR27" s="1000">
        <f t="shared" si="2"/>
        <v>-4649.6626704784794</v>
      </c>
      <c r="AS27" s="1000">
        <f t="shared" si="2"/>
        <v>-4871.6274373965844</v>
      </c>
      <c r="AT27" s="1000">
        <f t="shared" si="2"/>
        <v>-5098.8642801949782</v>
      </c>
      <c r="AU27" s="1000">
        <f t="shared" si="2"/>
        <v>-5164.5780146219104</v>
      </c>
      <c r="AV27" s="1000">
        <f t="shared" si="2"/>
        <v>-4807.8377559226792</v>
      </c>
      <c r="AW27" s="1000">
        <f t="shared" si="2"/>
        <v>-4826.4086962125457</v>
      </c>
      <c r="AX27" s="1000">
        <f t="shared" si="2"/>
        <v>-4413.9561706256172</v>
      </c>
      <c r="AY27" s="1000">
        <f t="shared" si="2"/>
        <v>-4021.0705792361714</v>
      </c>
      <c r="AZ27" s="1000">
        <f t="shared" si="2"/>
        <v>-3663.7263242918657</v>
      </c>
      <c r="BA27" s="1000">
        <f t="shared" si="2"/>
        <v>-3351.4286259601499</v>
      </c>
      <c r="BB27" s="1000">
        <f t="shared" si="2"/>
        <v>-4000.6887575198807</v>
      </c>
      <c r="BC27" s="1000">
        <f t="shared" si="2"/>
        <v>-4566.8150872373562</v>
      </c>
      <c r="BD27" s="1000">
        <f t="shared" si="2"/>
        <v>-4789.6304840664689</v>
      </c>
      <c r="BE27" s="1000">
        <f t="shared" si="2"/>
        <v>-5017.8495653147857</v>
      </c>
      <c r="BF27" s="1000">
        <f t="shared" si="2"/>
        <v>-5252.7620790287829</v>
      </c>
      <c r="BG27" s="1000">
        <f t="shared" si="2"/>
        <v>-5320.0179154907155</v>
      </c>
      <c r="BH27" s="1000">
        <f t="shared" si="2"/>
        <v>-4952.10934669368</v>
      </c>
      <c r="BI27" s="1000">
        <f t="shared" si="2"/>
        <v>-4971.6668032289281</v>
      </c>
      <c r="BJ27" s="1001">
        <f t="shared" si="2"/>
        <v>-4546.8038413931317</v>
      </c>
    </row>
    <row r="28" spans="2:62">
      <c r="B28" s="931" t="s">
        <v>723</v>
      </c>
      <c r="C28" s="932">
        <f>C85</f>
        <v>-1.1863962155748231</v>
      </c>
      <c r="D28" s="932">
        <f t="shared" ref="D28:BJ28" si="3">D85</f>
        <v>-180.32959709116639</v>
      </c>
      <c r="E28" s="932">
        <f t="shared" si="3"/>
        <v>-395.61837666959434</v>
      </c>
      <c r="F28" s="932">
        <f t="shared" si="3"/>
        <v>-588.37960221496348</v>
      </c>
      <c r="G28" s="932">
        <f t="shared" si="3"/>
        <v>-785.77248154863946</v>
      </c>
      <c r="H28" s="932">
        <f t="shared" si="3"/>
        <v>-997.83859350996966</v>
      </c>
      <c r="I28" s="932">
        <f t="shared" si="3"/>
        <v>-1249.402219171059</v>
      </c>
      <c r="J28" s="932">
        <f t="shared" si="3"/>
        <v>-1519.4004615479714</v>
      </c>
      <c r="K28" s="932">
        <f t="shared" si="3"/>
        <v>-1804.1201918275549</v>
      </c>
      <c r="L28" s="932">
        <f t="shared" si="3"/>
        <v>-2132.0074218601121</v>
      </c>
      <c r="M28" s="932">
        <f t="shared" si="3"/>
        <v>-2471.3927118350907</v>
      </c>
      <c r="N28" s="932">
        <f t="shared" si="3"/>
        <v>-2873.3149605882918</v>
      </c>
      <c r="O28" s="932">
        <f t="shared" si="3"/>
        <v>-3216.0567646854961</v>
      </c>
      <c r="P28" s="932">
        <f t="shared" si="3"/>
        <v>-3459.1255255713581</v>
      </c>
      <c r="Q28" s="932">
        <f t="shared" si="3"/>
        <v>-3711.8457788084297</v>
      </c>
      <c r="R28" s="932">
        <f t="shared" si="3"/>
        <v>-3953.4969508477052</v>
      </c>
      <c r="S28" s="932">
        <f t="shared" si="3"/>
        <v>-4169.8824658640069</v>
      </c>
      <c r="T28" s="932">
        <f t="shared" si="3"/>
        <v>-4412.3648939641798</v>
      </c>
      <c r="U28" s="932">
        <f t="shared" si="3"/>
        <v>-4615.5192157144302</v>
      </c>
      <c r="V28" s="932">
        <f t="shared" si="3"/>
        <v>-4862.2681869279004</v>
      </c>
      <c r="W28" s="932">
        <f t="shared" si="3"/>
        <v>-5100.4858551481311</v>
      </c>
      <c r="X28" s="932">
        <f t="shared" si="3"/>
        <v>-5412.8032938646629</v>
      </c>
      <c r="Y28" s="932">
        <f t="shared" si="3"/>
        <v>-5699.0616794724338</v>
      </c>
      <c r="Z28" s="932">
        <f t="shared" si="3"/>
        <v>-5883.614013978422</v>
      </c>
      <c r="AA28" s="932">
        <f t="shared" si="3"/>
        <v>-5922.3982524703524</v>
      </c>
      <c r="AB28" s="932">
        <f t="shared" si="3"/>
        <v>-5941.4603687934996</v>
      </c>
      <c r="AC28" s="932">
        <f t="shared" si="3"/>
        <v>-5934.2093587493055</v>
      </c>
      <c r="AD28" s="932">
        <f t="shared" si="3"/>
        <v>-5965.1798048005967</v>
      </c>
      <c r="AE28" s="932">
        <f t="shared" si="3"/>
        <v>-6046.5087824115008</v>
      </c>
      <c r="AF28" s="932">
        <f t="shared" si="3"/>
        <v>-6127.3126413567161</v>
      </c>
      <c r="AG28" s="932">
        <f t="shared" si="3"/>
        <v>-6215.7339499799173</v>
      </c>
      <c r="AH28" s="932">
        <f t="shared" si="3"/>
        <v>-6313.0115400257282</v>
      </c>
      <c r="AI28" s="932">
        <f t="shared" si="3"/>
        <v>-6432.8330652993327</v>
      </c>
      <c r="AJ28" s="932">
        <f t="shared" si="3"/>
        <v>-6505.6078633236475</v>
      </c>
      <c r="AK28" s="932">
        <f t="shared" si="3"/>
        <v>-6561.4867332822205</v>
      </c>
      <c r="AL28" s="932">
        <f t="shared" si="3"/>
        <v>-6611.2718879401618</v>
      </c>
      <c r="AM28" s="932">
        <f t="shared" si="3"/>
        <v>-6637.7084856391575</v>
      </c>
      <c r="AN28" s="932">
        <f t="shared" si="3"/>
        <v>-6629.7526477257315</v>
      </c>
      <c r="AO28" s="932">
        <f t="shared" si="3"/>
        <v>-6598.3233042320107</v>
      </c>
      <c r="AP28" s="932">
        <f t="shared" si="3"/>
        <v>-6606.1826031864102</v>
      </c>
      <c r="AQ28" s="932">
        <f t="shared" si="3"/>
        <v>-6664.6044094589843</v>
      </c>
      <c r="AR28" s="932">
        <f t="shared" si="3"/>
        <v>-6743.0860487865802</v>
      </c>
      <c r="AS28" s="932">
        <f t="shared" si="3"/>
        <v>-6831.4595194144013</v>
      </c>
      <c r="AT28" s="932">
        <f t="shared" si="3"/>
        <v>-6929.6720733568791</v>
      </c>
      <c r="AU28" s="932">
        <f t="shared" si="3"/>
        <v>-7023.0292905382566</v>
      </c>
      <c r="AV28" s="932">
        <f t="shared" si="3"/>
        <v>-7080.3882814005838</v>
      </c>
      <c r="AW28" s="932">
        <f t="shared" si="3"/>
        <v>-7126.791205383397</v>
      </c>
      <c r="AX28" s="932">
        <f t="shared" si="3"/>
        <v>-7166.6293002154616</v>
      </c>
      <c r="AY28" s="932">
        <f t="shared" si="3"/>
        <v>-7185.8271148197609</v>
      </c>
      <c r="AZ28" s="932">
        <f t="shared" si="3"/>
        <v>-7179.9018309837884</v>
      </c>
      <c r="BA28" s="932">
        <f t="shared" si="3"/>
        <v>-7149.8139568635761</v>
      </c>
      <c r="BB28" s="932">
        <f t="shared" si="3"/>
        <v>-7160.2174167452831</v>
      </c>
      <c r="BC28" s="932">
        <f t="shared" si="3"/>
        <v>-7222.6780403490802</v>
      </c>
      <c r="BD28" s="932">
        <f t="shared" si="3"/>
        <v>-7305.8546982697762</v>
      </c>
      <c r="BE28" s="932">
        <f t="shared" si="3"/>
        <v>-7399.2346995159069</v>
      </c>
      <c r="BF28" s="932">
        <f t="shared" si="3"/>
        <v>-7502.7262914665207</v>
      </c>
      <c r="BG28" s="932">
        <f t="shared" si="3"/>
        <v>-7601.2708525414146</v>
      </c>
      <c r="BH28" s="932">
        <f t="shared" si="3"/>
        <v>-7662.7537736403656</v>
      </c>
      <c r="BI28" s="932">
        <f t="shared" si="3"/>
        <v>-7712.9406107955747</v>
      </c>
      <c r="BJ28" s="934">
        <f t="shared" si="3"/>
        <v>-7756.3952919771646</v>
      </c>
    </row>
    <row r="29" spans="2:62">
      <c r="B29" s="931"/>
      <c r="C29" s="928"/>
      <c r="D29" s="928"/>
      <c r="E29" s="928"/>
      <c r="F29" s="928"/>
      <c r="G29" s="928"/>
      <c r="H29" s="928"/>
      <c r="I29" s="928"/>
      <c r="J29" s="928"/>
      <c r="K29" s="928"/>
      <c r="L29" s="928"/>
      <c r="M29" s="928"/>
      <c r="N29" s="929"/>
      <c r="O29" s="928"/>
      <c r="P29" s="928"/>
      <c r="Q29" s="928"/>
      <c r="R29" s="928"/>
      <c r="S29" s="928"/>
      <c r="T29" s="928"/>
      <c r="U29" s="928"/>
      <c r="V29" s="928"/>
      <c r="W29" s="928"/>
      <c r="X29" s="928"/>
      <c r="Y29" s="928"/>
      <c r="Z29" s="929"/>
      <c r="AA29" s="928"/>
      <c r="AB29" s="928"/>
      <c r="AC29" s="928"/>
      <c r="AD29" s="928"/>
      <c r="AE29" s="928"/>
      <c r="AF29" s="928"/>
      <c r="AG29" s="928"/>
      <c r="AH29" s="928"/>
      <c r="AI29" s="928"/>
      <c r="AJ29" s="928"/>
      <c r="AK29" s="928"/>
      <c r="AL29" s="929"/>
      <c r="AM29" s="928"/>
      <c r="AN29" s="928"/>
      <c r="AO29" s="928"/>
      <c r="AP29" s="928"/>
      <c r="AQ29" s="928"/>
      <c r="AR29" s="928"/>
      <c r="AS29" s="928"/>
      <c r="AT29" s="928"/>
      <c r="AU29" s="928"/>
      <c r="AV29" s="928"/>
      <c r="AW29" s="928"/>
      <c r="AX29" s="929"/>
      <c r="AY29" s="928"/>
      <c r="AZ29" s="928"/>
      <c r="BA29" s="928"/>
      <c r="BB29" s="928"/>
      <c r="BC29" s="928"/>
      <c r="BD29" s="928"/>
      <c r="BE29" s="928"/>
      <c r="BF29" s="928"/>
      <c r="BG29" s="928"/>
      <c r="BH29" s="928"/>
      <c r="BI29" s="928"/>
      <c r="BJ29" s="930"/>
    </row>
    <row r="30" spans="2:62" ht="16">
      <c r="B30" s="927" t="s">
        <v>390</v>
      </c>
      <c r="C30" s="942">
        <f>SUM(C26:C28)</f>
        <v>38.360144303585948</v>
      </c>
      <c r="D30" s="942">
        <f t="shared" ref="D30:BJ30" si="4">SUM(D26:D28)</f>
        <v>5830.6569726143798</v>
      </c>
      <c r="E30" s="942">
        <f t="shared" si="4"/>
        <v>12791.660845650218</v>
      </c>
      <c r="F30" s="942">
        <f t="shared" si="4"/>
        <v>19024.273804950488</v>
      </c>
      <c r="G30" s="942">
        <f t="shared" si="4"/>
        <v>25406.643570072676</v>
      </c>
      <c r="H30" s="942">
        <f t="shared" si="4"/>
        <v>32263.447856822353</v>
      </c>
      <c r="I30" s="942">
        <f t="shared" si="4"/>
        <v>40397.338419864238</v>
      </c>
      <c r="J30" s="942">
        <f t="shared" si="4"/>
        <v>49127.281590051076</v>
      </c>
      <c r="K30" s="942">
        <f t="shared" si="4"/>
        <v>58333.219535757613</v>
      </c>
      <c r="L30" s="942">
        <f t="shared" si="4"/>
        <v>68934.906640143628</v>
      </c>
      <c r="M30" s="942">
        <f t="shared" si="4"/>
        <v>79908.364349334603</v>
      </c>
      <c r="N30" s="942">
        <f t="shared" si="4"/>
        <v>92903.850392354769</v>
      </c>
      <c r="O30" s="942">
        <f t="shared" si="4"/>
        <v>103985.83539149772</v>
      </c>
      <c r="P30" s="942">
        <f t="shared" si="4"/>
        <v>111845.05866014058</v>
      </c>
      <c r="Q30" s="942">
        <f t="shared" si="4"/>
        <v>120016.34684813923</v>
      </c>
      <c r="R30" s="942">
        <f t="shared" si="4"/>
        <v>127829.7347440758</v>
      </c>
      <c r="S30" s="942">
        <f t="shared" si="4"/>
        <v>134826.1997296029</v>
      </c>
      <c r="T30" s="942">
        <f t="shared" si="4"/>
        <v>142666.46490484182</v>
      </c>
      <c r="U30" s="942">
        <f t="shared" si="4"/>
        <v>149235.12130809992</v>
      </c>
      <c r="V30" s="942">
        <f t="shared" si="4"/>
        <v>157213.33804400213</v>
      </c>
      <c r="W30" s="942">
        <f t="shared" si="4"/>
        <v>164915.70931645622</v>
      </c>
      <c r="X30" s="942">
        <f t="shared" si="4"/>
        <v>175013.9731682908</v>
      </c>
      <c r="Y30" s="942">
        <f t="shared" si="4"/>
        <v>184269.6609696087</v>
      </c>
      <c r="Z30" s="942">
        <f t="shared" si="4"/>
        <v>190236.85311863566</v>
      </c>
      <c r="AA30" s="942">
        <f t="shared" si="4"/>
        <v>191490.87682987473</v>
      </c>
      <c r="AB30" s="942">
        <f t="shared" si="4"/>
        <v>192107.21859098983</v>
      </c>
      <c r="AC30" s="942">
        <f t="shared" si="4"/>
        <v>191872.76926622755</v>
      </c>
      <c r="AD30" s="942">
        <f t="shared" si="4"/>
        <v>192874.14702188596</v>
      </c>
      <c r="AE30" s="942">
        <f t="shared" si="4"/>
        <v>195503.78396463854</v>
      </c>
      <c r="AF30" s="942">
        <f t="shared" si="4"/>
        <v>198116.44207053381</v>
      </c>
      <c r="AG30" s="942">
        <f t="shared" si="4"/>
        <v>200975.39771601732</v>
      </c>
      <c r="AH30" s="942">
        <f t="shared" si="4"/>
        <v>204120.70646083189</v>
      </c>
      <c r="AI30" s="942">
        <f t="shared" si="4"/>
        <v>207994.93577801174</v>
      </c>
      <c r="AJ30" s="942">
        <f t="shared" si="4"/>
        <v>210347.98758079796</v>
      </c>
      <c r="AK30" s="942">
        <f t="shared" si="4"/>
        <v>212154.73770945848</v>
      </c>
      <c r="AL30" s="942">
        <f t="shared" si="4"/>
        <v>213764.45771006524</v>
      </c>
      <c r="AM30" s="942">
        <f t="shared" si="4"/>
        <v>214619.24103566611</v>
      </c>
      <c r="AN30" s="942">
        <f t="shared" si="4"/>
        <v>214362.00227646535</v>
      </c>
      <c r="AO30" s="942">
        <f t="shared" si="4"/>
        <v>213345.78683683503</v>
      </c>
      <c r="AP30" s="942">
        <f t="shared" si="4"/>
        <v>213599.90416969394</v>
      </c>
      <c r="AQ30" s="942">
        <f t="shared" si="4"/>
        <v>215488.87590584048</v>
      </c>
      <c r="AR30" s="942">
        <f t="shared" si="4"/>
        <v>218026.44891076611</v>
      </c>
      <c r="AS30" s="942">
        <f t="shared" si="4"/>
        <v>220883.85779439897</v>
      </c>
      <c r="AT30" s="942">
        <f t="shared" si="4"/>
        <v>224059.39703853911</v>
      </c>
      <c r="AU30" s="942">
        <f t="shared" si="4"/>
        <v>227077.94706073697</v>
      </c>
      <c r="AV30" s="942">
        <f t="shared" si="4"/>
        <v>228932.55443195222</v>
      </c>
      <c r="AW30" s="942">
        <f t="shared" si="4"/>
        <v>230432.91564072983</v>
      </c>
      <c r="AX30" s="942">
        <f t="shared" si="4"/>
        <v>231721.01404029995</v>
      </c>
      <c r="AY30" s="942">
        <f t="shared" si="4"/>
        <v>232341.74337917229</v>
      </c>
      <c r="AZ30" s="942">
        <f t="shared" si="4"/>
        <v>232150.15920180918</v>
      </c>
      <c r="BA30" s="942">
        <f t="shared" si="4"/>
        <v>231177.31793858897</v>
      </c>
      <c r="BB30" s="942">
        <f t="shared" si="4"/>
        <v>231513.69647476415</v>
      </c>
      <c r="BC30" s="942">
        <f t="shared" si="4"/>
        <v>233533.2566379536</v>
      </c>
      <c r="BD30" s="942">
        <f t="shared" si="4"/>
        <v>236222.63524405612</v>
      </c>
      <c r="BE30" s="942">
        <f t="shared" si="4"/>
        <v>239241.92195101432</v>
      </c>
      <c r="BF30" s="942">
        <f t="shared" si="4"/>
        <v>242588.15009075083</v>
      </c>
      <c r="BG30" s="942">
        <f t="shared" si="4"/>
        <v>245774.42423217243</v>
      </c>
      <c r="BH30" s="942">
        <f t="shared" si="4"/>
        <v>247762.37201437182</v>
      </c>
      <c r="BI30" s="942">
        <f t="shared" si="4"/>
        <v>249385.07974905692</v>
      </c>
      <c r="BJ30" s="943">
        <f t="shared" si="4"/>
        <v>250790.114440595</v>
      </c>
    </row>
    <row r="31" spans="2:62" ht="15" thickBot="1">
      <c r="B31" s="944"/>
      <c r="C31" s="945"/>
      <c r="D31" s="945"/>
      <c r="E31" s="945"/>
      <c r="F31" s="945"/>
      <c r="G31" s="945"/>
      <c r="H31" s="945"/>
      <c r="I31" s="945"/>
      <c r="J31" s="945"/>
      <c r="K31" s="945"/>
      <c r="L31" s="945"/>
      <c r="M31" s="945"/>
      <c r="N31" s="946"/>
      <c r="O31" s="945"/>
      <c r="P31" s="945"/>
      <c r="Q31" s="945"/>
      <c r="R31" s="945"/>
      <c r="S31" s="945"/>
      <c r="T31" s="945"/>
      <c r="U31" s="945"/>
      <c r="V31" s="945"/>
      <c r="W31" s="945"/>
      <c r="X31" s="945"/>
      <c r="Y31" s="945"/>
      <c r="Z31" s="946"/>
      <c r="AA31" s="945"/>
      <c r="AB31" s="945"/>
      <c r="AC31" s="945"/>
      <c r="AD31" s="945"/>
      <c r="AE31" s="945"/>
      <c r="AF31" s="945"/>
      <c r="AG31" s="945"/>
      <c r="AH31" s="945"/>
      <c r="AI31" s="945"/>
      <c r="AJ31" s="945"/>
      <c r="AK31" s="945"/>
      <c r="AL31" s="946"/>
      <c r="AM31" s="945"/>
      <c r="AN31" s="945"/>
      <c r="AO31" s="945"/>
      <c r="AP31" s="945"/>
      <c r="AQ31" s="945"/>
      <c r="AR31" s="945"/>
      <c r="AS31" s="945"/>
      <c r="AT31" s="945"/>
      <c r="AU31" s="945"/>
      <c r="AV31" s="945"/>
      <c r="AW31" s="945"/>
      <c r="AX31" s="946"/>
      <c r="AY31" s="945"/>
      <c r="AZ31" s="945"/>
      <c r="BA31" s="945"/>
      <c r="BB31" s="945"/>
      <c r="BC31" s="945"/>
      <c r="BD31" s="945"/>
      <c r="BE31" s="945"/>
      <c r="BF31" s="945"/>
      <c r="BG31" s="945"/>
      <c r="BH31" s="945"/>
      <c r="BI31" s="945"/>
      <c r="BJ31" s="947"/>
    </row>
    <row r="32" spans="2:62">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row>
    <row r="33" spans="2:62" ht="16">
      <c r="B33" s="948" t="s">
        <v>724</v>
      </c>
      <c r="C33" s="948"/>
      <c r="D33" s="948"/>
      <c r="E33" s="948"/>
      <c r="F33" s="948"/>
      <c r="G33" s="948"/>
      <c r="H33" s="948"/>
      <c r="I33" s="948"/>
      <c r="J33" s="948"/>
      <c r="K33" s="948"/>
      <c r="L33" s="948"/>
      <c r="M33" s="948"/>
      <c r="N33" s="948"/>
      <c r="O33" s="948"/>
      <c r="P33" s="948"/>
      <c r="Q33" s="948"/>
      <c r="R33" s="948"/>
      <c r="S33" s="948"/>
      <c r="T33" s="948"/>
      <c r="U33" s="948"/>
      <c r="V33" s="948"/>
      <c r="W33" s="948"/>
      <c r="X33" s="948"/>
      <c r="Y33" s="948"/>
      <c r="Z33" s="948"/>
      <c r="AA33" s="948"/>
      <c r="AB33" s="948"/>
      <c r="AC33" s="948"/>
      <c r="AD33" s="948"/>
      <c r="AE33" s="948"/>
      <c r="AF33" s="948"/>
      <c r="AG33" s="948"/>
      <c r="AH33" s="948"/>
      <c r="AI33" s="948"/>
      <c r="AJ33" s="948"/>
      <c r="AK33" s="948"/>
      <c r="AL33" s="948"/>
      <c r="AM33" s="948"/>
      <c r="AN33" s="948"/>
      <c r="AO33" s="948"/>
      <c r="AP33" s="948"/>
      <c r="AQ33" s="948"/>
      <c r="AR33" s="948"/>
      <c r="AS33" s="948"/>
      <c r="AT33" s="948"/>
      <c r="AU33" s="948"/>
      <c r="AV33" s="948"/>
      <c r="AW33" s="948"/>
      <c r="AX33" s="948"/>
      <c r="AY33" s="948"/>
      <c r="AZ33" s="948"/>
      <c r="BA33" s="948"/>
      <c r="BB33" s="948"/>
      <c r="BC33" s="948"/>
      <c r="BD33" s="948"/>
      <c r="BE33" s="948"/>
      <c r="BF33" s="948"/>
      <c r="BG33" s="948"/>
      <c r="BH33" s="948"/>
      <c r="BI33" s="948"/>
      <c r="BJ33" s="948"/>
    </row>
    <row r="35" spans="2:62">
      <c r="B35" s="949" t="s">
        <v>725</v>
      </c>
      <c r="C35" s="950"/>
      <c r="D35" s="951"/>
      <c r="E35" s="951"/>
      <c r="F35" s="951"/>
      <c r="G35" s="951"/>
      <c r="H35" s="951"/>
      <c r="I35" s="952">
        <v>0.1</v>
      </c>
      <c r="J35" s="951"/>
      <c r="K35" s="951"/>
      <c r="L35" s="951"/>
      <c r="M35" s="951"/>
      <c r="N35" s="951"/>
      <c r="O35" s="953"/>
      <c r="P35" s="951"/>
      <c r="Q35" s="951"/>
      <c r="R35" s="952">
        <v>0.1</v>
      </c>
      <c r="S35" s="951"/>
      <c r="T35" s="951"/>
      <c r="U35" s="951"/>
      <c r="V35" s="951"/>
      <c r="W35" s="951"/>
      <c r="X35" s="951"/>
      <c r="Y35" s="951"/>
      <c r="Z35" s="954"/>
      <c r="AA35" s="952">
        <v>0.1</v>
      </c>
      <c r="AB35" s="951"/>
      <c r="AC35" s="951"/>
      <c r="AD35" s="951"/>
      <c r="AE35" s="951"/>
      <c r="AF35" s="951"/>
      <c r="AG35" s="951"/>
      <c r="AH35" s="951"/>
      <c r="AI35" s="951"/>
      <c r="AJ35" s="951"/>
      <c r="AK35" s="951"/>
      <c r="AL35" s="951"/>
      <c r="AM35" s="953"/>
      <c r="AN35" s="951"/>
      <c r="AO35" s="951"/>
      <c r="AP35" s="951"/>
      <c r="AQ35" s="951"/>
      <c r="AR35" s="951"/>
      <c r="AS35" s="951"/>
      <c r="AT35" s="951"/>
      <c r="AU35" s="951"/>
      <c r="AV35" s="951"/>
      <c r="AW35" s="951"/>
      <c r="AX35" s="954"/>
      <c r="AY35" s="950"/>
      <c r="AZ35" s="950"/>
      <c r="BA35" s="950"/>
      <c r="BB35" s="950"/>
      <c r="BC35" s="950"/>
      <c r="BD35" s="950"/>
      <c r="BE35" s="950"/>
      <c r="BF35" s="950"/>
      <c r="BG35" s="950"/>
      <c r="BH35" s="950"/>
      <c r="BI35" s="950"/>
      <c r="BJ35" s="955"/>
    </row>
    <row r="36" spans="2:62">
      <c r="B36" s="956" t="s">
        <v>726</v>
      </c>
      <c r="C36" s="957"/>
      <c r="D36" s="957"/>
      <c r="E36" s="957"/>
      <c r="F36" s="957"/>
      <c r="G36" s="957"/>
      <c r="H36" s="957"/>
      <c r="I36" s="958">
        <v>0.28000000000000003</v>
      </c>
      <c r="J36" s="958">
        <v>0.28000000000000003</v>
      </c>
      <c r="K36" s="958">
        <v>0.28000000000000003</v>
      </c>
      <c r="L36" s="958">
        <v>0.26</v>
      </c>
      <c r="M36" s="958">
        <v>0.24</v>
      </c>
      <c r="N36" s="958">
        <v>0.24</v>
      </c>
      <c r="O36" s="959">
        <v>0.22</v>
      </c>
      <c r="P36" s="958">
        <v>0.2</v>
      </c>
      <c r="Q36" s="958">
        <v>0.2</v>
      </c>
      <c r="R36" s="958">
        <v>0.18</v>
      </c>
      <c r="S36" s="958">
        <v>0.16</v>
      </c>
      <c r="T36" s="958">
        <v>0.14000000000000001</v>
      </c>
      <c r="U36" s="958">
        <v>0.12</v>
      </c>
      <c r="V36" s="958">
        <v>0.12</v>
      </c>
      <c r="W36" s="958">
        <v>0.12</v>
      </c>
      <c r="X36" s="958">
        <v>0.11</v>
      </c>
      <c r="Y36" s="958">
        <v>0.11</v>
      </c>
      <c r="Z36" s="960">
        <v>0.11</v>
      </c>
      <c r="AA36" s="958">
        <v>0.11</v>
      </c>
      <c r="AB36" s="958">
        <v>0.1</v>
      </c>
      <c r="AC36" s="958">
        <v>0.1</v>
      </c>
      <c r="AD36" s="958">
        <v>0.1</v>
      </c>
      <c r="AE36" s="958">
        <v>0.1</v>
      </c>
      <c r="AF36" s="958">
        <v>0.08</v>
      </c>
      <c r="AG36" s="958">
        <v>0.08</v>
      </c>
      <c r="AH36" s="958">
        <v>0.08</v>
      </c>
      <c r="AI36" s="958">
        <v>0.08</v>
      </c>
      <c r="AJ36" s="958">
        <v>0.08</v>
      </c>
      <c r="AK36" s="958">
        <v>0.08</v>
      </c>
      <c r="AL36" s="958">
        <v>0.08</v>
      </c>
      <c r="AM36" s="959">
        <v>0.08</v>
      </c>
      <c r="AN36" s="957"/>
      <c r="AO36" s="957"/>
      <c r="AP36" s="957"/>
      <c r="AQ36" s="957"/>
      <c r="AR36" s="957"/>
      <c r="AS36" s="957"/>
      <c r="AT36" s="957"/>
      <c r="AU36" s="957"/>
      <c r="AV36" s="957"/>
      <c r="AW36" s="957"/>
      <c r="AX36" s="961"/>
      <c r="AY36" s="957"/>
      <c r="AZ36" s="957"/>
      <c r="BA36" s="957"/>
      <c r="BB36" s="957"/>
      <c r="BC36" s="957"/>
      <c r="BD36" s="957"/>
      <c r="BE36" s="957"/>
      <c r="BF36" s="957"/>
      <c r="BG36" s="957"/>
      <c r="BH36" s="957"/>
      <c r="BI36" s="957"/>
      <c r="BJ36" s="962"/>
    </row>
    <row r="37" spans="2:62">
      <c r="B37" s="956" t="s">
        <v>727</v>
      </c>
      <c r="C37" s="957"/>
      <c r="D37" s="957"/>
      <c r="E37" s="957"/>
      <c r="F37" s="957"/>
      <c r="G37" s="957"/>
      <c r="H37" s="957"/>
      <c r="I37" s="957"/>
      <c r="J37" s="957"/>
      <c r="K37" s="957"/>
      <c r="L37" s="957"/>
      <c r="M37" s="957"/>
      <c r="N37" s="957"/>
      <c r="O37" s="963"/>
      <c r="P37" s="957"/>
      <c r="Q37" s="957"/>
      <c r="R37" s="964">
        <v>0.19</v>
      </c>
      <c r="S37" s="964">
        <v>0.19</v>
      </c>
      <c r="T37" s="964">
        <v>0.19</v>
      </c>
      <c r="U37" s="964">
        <v>0.18</v>
      </c>
      <c r="V37" s="964">
        <v>0.17</v>
      </c>
      <c r="W37" s="964">
        <v>0.17</v>
      </c>
      <c r="X37" s="964">
        <v>0.16</v>
      </c>
      <c r="Y37" s="964">
        <v>0.16</v>
      </c>
      <c r="Z37" s="965">
        <v>0.16</v>
      </c>
      <c r="AA37" s="964">
        <v>0.15</v>
      </c>
      <c r="AB37" s="964">
        <v>0.14000000000000001</v>
      </c>
      <c r="AC37" s="964">
        <v>0.13</v>
      </c>
      <c r="AD37" s="964">
        <v>0.12</v>
      </c>
      <c r="AE37" s="964">
        <v>0.12</v>
      </c>
      <c r="AF37" s="964">
        <v>0.12</v>
      </c>
      <c r="AG37" s="964">
        <v>0.11</v>
      </c>
      <c r="AH37" s="964">
        <v>0.11</v>
      </c>
      <c r="AI37" s="964">
        <v>0.11</v>
      </c>
      <c r="AJ37" s="964">
        <v>0.11</v>
      </c>
      <c r="AK37" s="964">
        <v>0.1</v>
      </c>
      <c r="AL37" s="964">
        <v>0.1</v>
      </c>
      <c r="AM37" s="966">
        <v>0.08</v>
      </c>
      <c r="AN37" s="957"/>
      <c r="AO37" s="957"/>
      <c r="AP37" s="957"/>
      <c r="AQ37" s="957"/>
      <c r="AR37" s="957"/>
      <c r="AS37" s="957"/>
      <c r="AT37" s="957"/>
      <c r="AU37" s="957"/>
      <c r="AV37" s="957"/>
      <c r="AW37" s="957"/>
      <c r="AX37" s="961"/>
      <c r="AY37" s="957"/>
      <c r="AZ37" s="957"/>
      <c r="BA37" s="957"/>
      <c r="BB37" s="957"/>
      <c r="BC37" s="957"/>
      <c r="BD37" s="957"/>
      <c r="BE37" s="957"/>
      <c r="BF37" s="957"/>
      <c r="BG37" s="957"/>
      <c r="BH37" s="957"/>
      <c r="BI37" s="957"/>
      <c r="BJ37" s="962"/>
    </row>
    <row r="38" spans="2:62">
      <c r="B38" s="956" t="s">
        <v>728</v>
      </c>
      <c r="C38" s="957"/>
      <c r="D38" s="957"/>
      <c r="E38" s="957"/>
      <c r="F38" s="957"/>
      <c r="G38" s="957"/>
      <c r="H38" s="957"/>
      <c r="I38" s="957"/>
      <c r="J38" s="957"/>
      <c r="K38" s="957"/>
      <c r="L38" s="957"/>
      <c r="M38" s="957"/>
      <c r="N38" s="957"/>
      <c r="O38" s="963"/>
      <c r="P38" s="957"/>
      <c r="Q38" s="957"/>
      <c r="R38" s="957"/>
      <c r="S38" s="957"/>
      <c r="T38" s="957"/>
      <c r="U38" s="957"/>
      <c r="V38" s="957"/>
      <c r="W38" s="957"/>
      <c r="X38" s="957"/>
      <c r="Y38" s="957"/>
      <c r="Z38" s="961"/>
      <c r="AA38" s="964">
        <v>0.12</v>
      </c>
      <c r="AB38" s="964">
        <v>0.12</v>
      </c>
      <c r="AC38" s="964">
        <v>0.12</v>
      </c>
      <c r="AD38" s="964">
        <v>0.12</v>
      </c>
      <c r="AE38" s="964">
        <v>0.12</v>
      </c>
      <c r="AF38" s="964">
        <v>0.12</v>
      </c>
      <c r="AG38" s="964">
        <v>0.12</v>
      </c>
      <c r="AH38" s="964">
        <v>0.11</v>
      </c>
      <c r="AI38" s="964">
        <v>0.11</v>
      </c>
      <c r="AJ38" s="964">
        <v>0.11</v>
      </c>
      <c r="AK38" s="964">
        <v>0.11</v>
      </c>
      <c r="AL38" s="964">
        <v>0.11</v>
      </c>
      <c r="AM38" s="966">
        <v>0.11</v>
      </c>
      <c r="AN38" s="957"/>
      <c r="AO38" s="957"/>
      <c r="AP38" s="957"/>
      <c r="AQ38" s="957"/>
      <c r="AR38" s="957"/>
      <c r="AS38" s="957"/>
      <c r="AT38" s="957"/>
      <c r="AU38" s="957"/>
      <c r="AV38" s="957"/>
      <c r="AW38" s="957"/>
      <c r="AX38" s="961"/>
      <c r="AY38" s="957"/>
      <c r="AZ38" s="957"/>
      <c r="BA38" s="957"/>
      <c r="BB38" s="957"/>
      <c r="BC38" s="957"/>
      <c r="BD38" s="957"/>
      <c r="BE38" s="957"/>
      <c r="BF38" s="957"/>
      <c r="BG38" s="957"/>
      <c r="BH38" s="957"/>
      <c r="BI38" s="957"/>
      <c r="BJ38" s="962"/>
    </row>
    <row r="39" spans="2:62">
      <c r="B39" s="967" t="s">
        <v>729</v>
      </c>
      <c r="C39" s="968"/>
      <c r="D39" s="969"/>
      <c r="E39" s="969"/>
      <c r="F39" s="969"/>
      <c r="G39" s="969"/>
      <c r="H39" s="969"/>
      <c r="I39" s="969"/>
      <c r="J39" s="969"/>
      <c r="K39" s="969"/>
      <c r="L39" s="969"/>
      <c r="M39" s="969"/>
      <c r="N39" s="969"/>
      <c r="O39" s="970"/>
      <c r="P39" s="969"/>
      <c r="Q39" s="969"/>
      <c r="R39" s="969"/>
      <c r="S39" s="969"/>
      <c r="T39" s="969"/>
      <c r="U39" s="969"/>
      <c r="V39" s="969"/>
      <c r="W39" s="969"/>
      <c r="X39" s="969"/>
      <c r="Y39" s="969"/>
      <c r="Z39" s="971"/>
      <c r="AA39" s="969"/>
      <c r="AB39" s="969"/>
      <c r="AC39" s="969"/>
      <c r="AD39" s="969"/>
      <c r="AE39" s="969"/>
      <c r="AF39" s="969"/>
      <c r="AG39" s="969"/>
      <c r="AH39" s="969"/>
      <c r="AI39" s="969"/>
      <c r="AJ39" s="969"/>
      <c r="AK39" s="969"/>
      <c r="AL39" s="969"/>
      <c r="AM39" s="970"/>
      <c r="AN39" s="972">
        <v>6.4999999999999997E-3</v>
      </c>
      <c r="AO39" s="972">
        <v>6.4999999999999997E-3</v>
      </c>
      <c r="AP39" s="972">
        <v>6.4999999999999997E-3</v>
      </c>
      <c r="AQ39" s="972">
        <v>6.4999999999999997E-3</v>
      </c>
      <c r="AR39" s="972">
        <v>6.4999999999999997E-3</v>
      </c>
      <c r="AS39" s="972">
        <v>6.4999999999999997E-3</v>
      </c>
      <c r="AT39" s="972">
        <v>6.4999999999999997E-3</v>
      </c>
      <c r="AU39" s="972">
        <v>6.4999999999999997E-3</v>
      </c>
      <c r="AV39" s="972">
        <v>6.4999999999999997E-3</v>
      </c>
      <c r="AW39" s="972">
        <v>6.4999999999999997E-3</v>
      </c>
      <c r="AX39" s="973">
        <v>6.4999999999999997E-3</v>
      </c>
      <c r="AY39" s="972">
        <v>6.4999999999999997E-3</v>
      </c>
      <c r="AZ39" s="972">
        <v>6.4999999999999997E-3</v>
      </c>
      <c r="BA39" s="972">
        <v>6.4999999999999997E-3</v>
      </c>
      <c r="BB39" s="972">
        <v>6.4999999999999997E-3</v>
      </c>
      <c r="BC39" s="972">
        <v>6.4999999999999997E-3</v>
      </c>
      <c r="BD39" s="972">
        <v>6.4999999999999997E-3</v>
      </c>
      <c r="BE39" s="972">
        <v>6.4999999999999997E-3</v>
      </c>
      <c r="BF39" s="972">
        <v>6.4999999999999997E-3</v>
      </c>
      <c r="BG39" s="972">
        <v>6.4999999999999997E-3</v>
      </c>
      <c r="BH39" s="972">
        <v>6.4999999999999997E-3</v>
      </c>
      <c r="BI39" s="972">
        <v>6.4999999999999997E-3</v>
      </c>
      <c r="BJ39" s="974">
        <v>6.4999999999999997E-3</v>
      </c>
    </row>
    <row r="40" spans="2:62">
      <c r="O40" s="839"/>
      <c r="Z40" s="840"/>
      <c r="AM40" s="839"/>
      <c r="AX40" s="840"/>
    </row>
    <row r="41" spans="2:62">
      <c r="B41" t="s">
        <v>710</v>
      </c>
      <c r="C41" s="843">
        <f>'Property Data'!D9</f>
        <v>71686</v>
      </c>
      <c r="D41" s="843">
        <f>C41</f>
        <v>71686</v>
      </c>
      <c r="E41" s="843">
        <f t="shared" ref="E41:BJ41" si="5">D41</f>
        <v>71686</v>
      </c>
      <c r="F41" s="843">
        <f t="shared" si="5"/>
        <v>71686</v>
      </c>
      <c r="G41" s="843">
        <f t="shared" si="5"/>
        <v>71686</v>
      </c>
      <c r="H41" s="843">
        <f t="shared" si="5"/>
        <v>71686</v>
      </c>
      <c r="I41" s="843">
        <f t="shared" si="5"/>
        <v>71686</v>
      </c>
      <c r="J41" s="843">
        <f t="shared" si="5"/>
        <v>71686</v>
      </c>
      <c r="K41" s="843">
        <f t="shared" si="5"/>
        <v>71686</v>
      </c>
      <c r="L41" s="843">
        <f t="shared" si="5"/>
        <v>71686</v>
      </c>
      <c r="M41" s="843">
        <f t="shared" si="5"/>
        <v>71686</v>
      </c>
      <c r="N41" s="843">
        <f t="shared" si="5"/>
        <v>71686</v>
      </c>
      <c r="O41" s="843">
        <f t="shared" si="5"/>
        <v>71686</v>
      </c>
      <c r="P41" s="843">
        <f t="shared" si="5"/>
        <v>71686</v>
      </c>
      <c r="Q41" s="843">
        <f t="shared" si="5"/>
        <v>71686</v>
      </c>
      <c r="R41" s="843">
        <f t="shared" si="5"/>
        <v>71686</v>
      </c>
      <c r="S41" s="843">
        <f t="shared" si="5"/>
        <v>71686</v>
      </c>
      <c r="T41" s="843">
        <f t="shared" si="5"/>
        <v>71686</v>
      </c>
      <c r="U41" s="843">
        <f t="shared" si="5"/>
        <v>71686</v>
      </c>
      <c r="V41" s="843">
        <f t="shared" si="5"/>
        <v>71686</v>
      </c>
      <c r="W41" s="843">
        <f t="shared" si="5"/>
        <v>71686</v>
      </c>
      <c r="X41" s="843">
        <f t="shared" si="5"/>
        <v>71686</v>
      </c>
      <c r="Y41" s="843">
        <f t="shared" si="5"/>
        <v>71686</v>
      </c>
      <c r="Z41" s="843">
        <f t="shared" si="5"/>
        <v>71686</v>
      </c>
      <c r="AA41" s="843">
        <f t="shared" si="5"/>
        <v>71686</v>
      </c>
      <c r="AB41" s="843">
        <f t="shared" si="5"/>
        <v>71686</v>
      </c>
      <c r="AC41" s="843">
        <f t="shared" si="5"/>
        <v>71686</v>
      </c>
      <c r="AD41" s="843">
        <f t="shared" si="5"/>
        <v>71686</v>
      </c>
      <c r="AE41" s="843">
        <f t="shared" si="5"/>
        <v>71686</v>
      </c>
      <c r="AF41" s="843">
        <f t="shared" si="5"/>
        <v>71686</v>
      </c>
      <c r="AG41" s="843">
        <f t="shared" si="5"/>
        <v>71686</v>
      </c>
      <c r="AH41" s="843">
        <f t="shared" si="5"/>
        <v>71686</v>
      </c>
      <c r="AI41" s="843">
        <f t="shared" si="5"/>
        <v>71686</v>
      </c>
      <c r="AJ41" s="843">
        <f t="shared" si="5"/>
        <v>71686</v>
      </c>
      <c r="AK41" s="843">
        <f t="shared" si="5"/>
        <v>71686</v>
      </c>
      <c r="AL41" s="843">
        <f t="shared" si="5"/>
        <v>71686</v>
      </c>
      <c r="AM41" s="843">
        <f t="shared" si="5"/>
        <v>71686</v>
      </c>
      <c r="AN41" s="843">
        <f t="shared" si="5"/>
        <v>71686</v>
      </c>
      <c r="AO41" s="843">
        <f t="shared" si="5"/>
        <v>71686</v>
      </c>
      <c r="AP41" s="843">
        <f t="shared" si="5"/>
        <v>71686</v>
      </c>
      <c r="AQ41" s="843">
        <f t="shared" si="5"/>
        <v>71686</v>
      </c>
      <c r="AR41" s="843">
        <f t="shared" si="5"/>
        <v>71686</v>
      </c>
      <c r="AS41" s="843">
        <f t="shared" si="5"/>
        <v>71686</v>
      </c>
      <c r="AT41" s="843">
        <f t="shared" si="5"/>
        <v>71686</v>
      </c>
      <c r="AU41" s="843">
        <f t="shared" si="5"/>
        <v>71686</v>
      </c>
      <c r="AV41" s="843">
        <f t="shared" si="5"/>
        <v>71686</v>
      </c>
      <c r="AW41" s="843">
        <f t="shared" si="5"/>
        <v>71686</v>
      </c>
      <c r="AX41" s="843">
        <f t="shared" si="5"/>
        <v>71686</v>
      </c>
      <c r="AY41" s="843">
        <f t="shared" si="5"/>
        <v>71686</v>
      </c>
      <c r="AZ41" s="843">
        <f t="shared" si="5"/>
        <v>71686</v>
      </c>
      <c r="BA41" s="843">
        <f t="shared" si="5"/>
        <v>71686</v>
      </c>
      <c r="BB41" s="843">
        <f t="shared" si="5"/>
        <v>71686</v>
      </c>
      <c r="BC41" s="843">
        <f t="shared" si="5"/>
        <v>71686</v>
      </c>
      <c r="BD41" s="843">
        <f t="shared" si="5"/>
        <v>71686</v>
      </c>
      <c r="BE41" s="843">
        <f t="shared" si="5"/>
        <v>71686</v>
      </c>
      <c r="BF41" s="843">
        <f t="shared" si="5"/>
        <v>71686</v>
      </c>
      <c r="BG41" s="843">
        <f t="shared" si="5"/>
        <v>71686</v>
      </c>
      <c r="BH41" s="843">
        <f t="shared" si="5"/>
        <v>71686</v>
      </c>
      <c r="BI41" s="843">
        <f t="shared" si="5"/>
        <v>71686</v>
      </c>
      <c r="BJ41" s="843">
        <f t="shared" si="5"/>
        <v>71686</v>
      </c>
    </row>
    <row r="42" spans="2:62">
      <c r="B42" t="s">
        <v>711</v>
      </c>
      <c r="C42" s="843">
        <f>'Property Data'!D8</f>
        <v>873</v>
      </c>
      <c r="D42" s="843">
        <f>C42</f>
        <v>873</v>
      </c>
      <c r="E42" s="843">
        <f t="shared" ref="E42:BJ42" si="6">D42</f>
        <v>873</v>
      </c>
      <c r="F42" s="843">
        <f t="shared" si="6"/>
        <v>873</v>
      </c>
      <c r="G42" s="843">
        <f t="shared" si="6"/>
        <v>873</v>
      </c>
      <c r="H42" s="843">
        <f t="shared" si="6"/>
        <v>873</v>
      </c>
      <c r="I42" s="843">
        <f t="shared" si="6"/>
        <v>873</v>
      </c>
      <c r="J42" s="843">
        <f t="shared" si="6"/>
        <v>873</v>
      </c>
      <c r="K42" s="843">
        <f t="shared" si="6"/>
        <v>873</v>
      </c>
      <c r="L42" s="843">
        <f t="shared" si="6"/>
        <v>873</v>
      </c>
      <c r="M42" s="843">
        <f t="shared" si="6"/>
        <v>873</v>
      </c>
      <c r="N42" s="843">
        <f t="shared" si="6"/>
        <v>873</v>
      </c>
      <c r="O42" s="843">
        <f t="shared" si="6"/>
        <v>873</v>
      </c>
      <c r="P42" s="843">
        <f t="shared" si="6"/>
        <v>873</v>
      </c>
      <c r="Q42" s="843">
        <f t="shared" si="6"/>
        <v>873</v>
      </c>
      <c r="R42" s="843">
        <f t="shared" si="6"/>
        <v>873</v>
      </c>
      <c r="S42" s="843">
        <f t="shared" si="6"/>
        <v>873</v>
      </c>
      <c r="T42" s="843">
        <f t="shared" si="6"/>
        <v>873</v>
      </c>
      <c r="U42" s="843">
        <f t="shared" si="6"/>
        <v>873</v>
      </c>
      <c r="V42" s="843">
        <f t="shared" si="6"/>
        <v>873</v>
      </c>
      <c r="W42" s="843">
        <f t="shared" si="6"/>
        <v>873</v>
      </c>
      <c r="X42" s="843">
        <f t="shared" si="6"/>
        <v>873</v>
      </c>
      <c r="Y42" s="843">
        <f t="shared" si="6"/>
        <v>873</v>
      </c>
      <c r="Z42" s="843">
        <f t="shared" si="6"/>
        <v>873</v>
      </c>
      <c r="AA42" s="843">
        <f t="shared" si="6"/>
        <v>873</v>
      </c>
      <c r="AB42" s="843">
        <f t="shared" si="6"/>
        <v>873</v>
      </c>
      <c r="AC42" s="843">
        <f t="shared" si="6"/>
        <v>873</v>
      </c>
      <c r="AD42" s="843">
        <f t="shared" si="6"/>
        <v>873</v>
      </c>
      <c r="AE42" s="843">
        <f t="shared" si="6"/>
        <v>873</v>
      </c>
      <c r="AF42" s="843">
        <f t="shared" si="6"/>
        <v>873</v>
      </c>
      <c r="AG42" s="843">
        <f t="shared" si="6"/>
        <v>873</v>
      </c>
      <c r="AH42" s="843">
        <f t="shared" si="6"/>
        <v>873</v>
      </c>
      <c r="AI42" s="843">
        <f t="shared" si="6"/>
        <v>873</v>
      </c>
      <c r="AJ42" s="843">
        <f t="shared" si="6"/>
        <v>873</v>
      </c>
      <c r="AK42" s="843">
        <f t="shared" si="6"/>
        <v>873</v>
      </c>
      <c r="AL42" s="843">
        <f t="shared" si="6"/>
        <v>873</v>
      </c>
      <c r="AM42" s="843">
        <f t="shared" si="6"/>
        <v>873</v>
      </c>
      <c r="AN42" s="843">
        <f t="shared" si="6"/>
        <v>873</v>
      </c>
      <c r="AO42" s="843">
        <f t="shared" si="6"/>
        <v>873</v>
      </c>
      <c r="AP42" s="843">
        <f t="shared" si="6"/>
        <v>873</v>
      </c>
      <c r="AQ42" s="843">
        <f t="shared" si="6"/>
        <v>873</v>
      </c>
      <c r="AR42" s="843">
        <f t="shared" si="6"/>
        <v>873</v>
      </c>
      <c r="AS42" s="843">
        <f t="shared" si="6"/>
        <v>873</v>
      </c>
      <c r="AT42" s="843">
        <f t="shared" si="6"/>
        <v>873</v>
      </c>
      <c r="AU42" s="843">
        <f t="shared" si="6"/>
        <v>873</v>
      </c>
      <c r="AV42" s="843">
        <f t="shared" si="6"/>
        <v>873</v>
      </c>
      <c r="AW42" s="843">
        <f t="shared" si="6"/>
        <v>873</v>
      </c>
      <c r="AX42" s="843">
        <f t="shared" si="6"/>
        <v>873</v>
      </c>
      <c r="AY42" s="843">
        <f t="shared" si="6"/>
        <v>873</v>
      </c>
      <c r="AZ42" s="843">
        <f t="shared" si="6"/>
        <v>873</v>
      </c>
      <c r="BA42" s="843">
        <f t="shared" si="6"/>
        <v>873</v>
      </c>
      <c r="BB42" s="843">
        <f t="shared" si="6"/>
        <v>873</v>
      </c>
      <c r="BC42" s="843">
        <f t="shared" si="6"/>
        <v>873</v>
      </c>
      <c r="BD42" s="843">
        <f t="shared" si="6"/>
        <v>873</v>
      </c>
      <c r="BE42" s="843">
        <f t="shared" si="6"/>
        <v>873</v>
      </c>
      <c r="BF42" s="843">
        <f t="shared" si="6"/>
        <v>873</v>
      </c>
      <c r="BG42" s="843">
        <f t="shared" si="6"/>
        <v>873</v>
      </c>
      <c r="BH42" s="843">
        <f t="shared" si="6"/>
        <v>873</v>
      </c>
      <c r="BI42" s="843">
        <f t="shared" si="6"/>
        <v>873</v>
      </c>
      <c r="BJ42" s="843">
        <f t="shared" si="6"/>
        <v>873</v>
      </c>
    </row>
    <row r="43" spans="2:62">
      <c r="B43" t="s">
        <v>730</v>
      </c>
      <c r="C43" s="975">
        <f>C41/C42</f>
        <v>82.114547537227949</v>
      </c>
      <c r="D43" s="975">
        <f t="shared" ref="D43:BJ43" si="7">D41/D42</f>
        <v>82.114547537227949</v>
      </c>
      <c r="E43" s="975">
        <f t="shared" si="7"/>
        <v>82.114547537227949</v>
      </c>
      <c r="F43" s="975">
        <f t="shared" si="7"/>
        <v>82.114547537227949</v>
      </c>
      <c r="G43" s="975">
        <f t="shared" si="7"/>
        <v>82.114547537227949</v>
      </c>
      <c r="H43" s="975">
        <f t="shared" si="7"/>
        <v>82.114547537227949</v>
      </c>
      <c r="I43" s="975">
        <f t="shared" si="7"/>
        <v>82.114547537227949</v>
      </c>
      <c r="J43" s="975">
        <f t="shared" si="7"/>
        <v>82.114547537227949</v>
      </c>
      <c r="K43" s="975">
        <f t="shared" si="7"/>
        <v>82.114547537227949</v>
      </c>
      <c r="L43" s="975">
        <f t="shared" si="7"/>
        <v>82.114547537227949</v>
      </c>
      <c r="M43" s="975">
        <f t="shared" si="7"/>
        <v>82.114547537227949</v>
      </c>
      <c r="N43" s="975">
        <f t="shared" si="7"/>
        <v>82.114547537227949</v>
      </c>
      <c r="O43" s="975">
        <f t="shared" si="7"/>
        <v>82.114547537227949</v>
      </c>
      <c r="P43" s="975">
        <f t="shared" si="7"/>
        <v>82.114547537227949</v>
      </c>
      <c r="Q43" s="975">
        <f t="shared" si="7"/>
        <v>82.114547537227949</v>
      </c>
      <c r="R43" s="975">
        <f t="shared" si="7"/>
        <v>82.114547537227949</v>
      </c>
      <c r="S43" s="975">
        <f t="shared" si="7"/>
        <v>82.114547537227949</v>
      </c>
      <c r="T43" s="975">
        <f t="shared" si="7"/>
        <v>82.114547537227949</v>
      </c>
      <c r="U43" s="975">
        <f t="shared" si="7"/>
        <v>82.114547537227949</v>
      </c>
      <c r="V43" s="975">
        <f t="shared" si="7"/>
        <v>82.114547537227949</v>
      </c>
      <c r="W43" s="975">
        <f t="shared" si="7"/>
        <v>82.114547537227949</v>
      </c>
      <c r="X43" s="975">
        <f t="shared" si="7"/>
        <v>82.114547537227949</v>
      </c>
      <c r="Y43" s="975">
        <f t="shared" si="7"/>
        <v>82.114547537227949</v>
      </c>
      <c r="Z43" s="975">
        <f t="shared" si="7"/>
        <v>82.114547537227949</v>
      </c>
      <c r="AA43" s="975">
        <f t="shared" si="7"/>
        <v>82.114547537227949</v>
      </c>
      <c r="AB43" s="975">
        <f t="shared" si="7"/>
        <v>82.114547537227949</v>
      </c>
      <c r="AC43" s="975">
        <f t="shared" si="7"/>
        <v>82.114547537227949</v>
      </c>
      <c r="AD43" s="975">
        <f t="shared" si="7"/>
        <v>82.114547537227949</v>
      </c>
      <c r="AE43" s="975">
        <f t="shared" si="7"/>
        <v>82.114547537227949</v>
      </c>
      <c r="AF43" s="975">
        <f t="shared" si="7"/>
        <v>82.114547537227949</v>
      </c>
      <c r="AG43" s="975">
        <f t="shared" si="7"/>
        <v>82.114547537227949</v>
      </c>
      <c r="AH43" s="975">
        <f t="shared" si="7"/>
        <v>82.114547537227949</v>
      </c>
      <c r="AI43" s="975">
        <f t="shared" si="7"/>
        <v>82.114547537227949</v>
      </c>
      <c r="AJ43" s="975">
        <f t="shared" si="7"/>
        <v>82.114547537227949</v>
      </c>
      <c r="AK43" s="975">
        <f t="shared" si="7"/>
        <v>82.114547537227949</v>
      </c>
      <c r="AL43" s="975">
        <f t="shared" si="7"/>
        <v>82.114547537227949</v>
      </c>
      <c r="AM43" s="975">
        <f t="shared" si="7"/>
        <v>82.114547537227949</v>
      </c>
      <c r="AN43" s="975">
        <f t="shared" si="7"/>
        <v>82.114547537227949</v>
      </c>
      <c r="AO43" s="975">
        <f t="shared" si="7"/>
        <v>82.114547537227949</v>
      </c>
      <c r="AP43" s="975">
        <f t="shared" si="7"/>
        <v>82.114547537227949</v>
      </c>
      <c r="AQ43" s="975">
        <f t="shared" si="7"/>
        <v>82.114547537227949</v>
      </c>
      <c r="AR43" s="975">
        <f t="shared" si="7"/>
        <v>82.114547537227949</v>
      </c>
      <c r="AS43" s="975">
        <f t="shared" si="7"/>
        <v>82.114547537227949</v>
      </c>
      <c r="AT43" s="975">
        <f t="shared" si="7"/>
        <v>82.114547537227949</v>
      </c>
      <c r="AU43" s="975">
        <f t="shared" si="7"/>
        <v>82.114547537227949</v>
      </c>
      <c r="AV43" s="975">
        <f t="shared" si="7"/>
        <v>82.114547537227949</v>
      </c>
      <c r="AW43" s="975">
        <f t="shared" si="7"/>
        <v>82.114547537227949</v>
      </c>
      <c r="AX43" s="975">
        <f t="shared" si="7"/>
        <v>82.114547537227949</v>
      </c>
      <c r="AY43" s="975">
        <f t="shared" si="7"/>
        <v>82.114547537227949</v>
      </c>
      <c r="AZ43" s="975">
        <f t="shared" si="7"/>
        <v>82.114547537227949</v>
      </c>
      <c r="BA43" s="975">
        <f t="shared" si="7"/>
        <v>82.114547537227949</v>
      </c>
      <c r="BB43" s="975">
        <f t="shared" si="7"/>
        <v>82.114547537227949</v>
      </c>
      <c r="BC43" s="975">
        <f t="shared" si="7"/>
        <v>82.114547537227949</v>
      </c>
      <c r="BD43" s="975">
        <f t="shared" si="7"/>
        <v>82.114547537227949</v>
      </c>
      <c r="BE43" s="975">
        <f t="shared" si="7"/>
        <v>82.114547537227949</v>
      </c>
      <c r="BF43" s="975">
        <f t="shared" si="7"/>
        <v>82.114547537227949</v>
      </c>
      <c r="BG43" s="975">
        <f t="shared" si="7"/>
        <v>82.114547537227949</v>
      </c>
      <c r="BH43" s="975">
        <f t="shared" si="7"/>
        <v>82.114547537227949</v>
      </c>
      <c r="BI43" s="975">
        <f t="shared" si="7"/>
        <v>82.114547537227949</v>
      </c>
      <c r="BJ43" s="975">
        <f t="shared" si="7"/>
        <v>82.114547537227949</v>
      </c>
    </row>
    <row r="44" spans="2:62">
      <c r="O44" s="839"/>
      <c r="Z44" s="840"/>
      <c r="AM44" s="839"/>
      <c r="AX44" s="840"/>
    </row>
    <row r="45" spans="2:62">
      <c r="B45" s="4" t="s">
        <v>714</v>
      </c>
      <c r="C45" s="841"/>
      <c r="D45" s="841"/>
      <c r="E45" s="841"/>
      <c r="F45" s="841"/>
      <c r="G45" s="841"/>
      <c r="H45" s="841"/>
      <c r="I45" s="841"/>
      <c r="J45" s="841"/>
      <c r="K45" s="841"/>
      <c r="L45" s="841"/>
      <c r="M45" s="841"/>
      <c r="N45" s="841"/>
      <c r="O45" s="842"/>
      <c r="P45" s="843"/>
      <c r="Q45" s="843"/>
      <c r="R45" s="843"/>
      <c r="S45" s="843"/>
      <c r="T45" s="843"/>
      <c r="U45" s="843"/>
      <c r="V45" s="843"/>
      <c r="W45" s="843"/>
      <c r="X45" s="843"/>
      <c r="Y45" s="843"/>
      <c r="Z45" s="844"/>
      <c r="AA45" s="841"/>
      <c r="AB45" s="841"/>
      <c r="AC45" s="841"/>
      <c r="AD45" s="841"/>
      <c r="AE45" s="841"/>
      <c r="AF45" s="841"/>
      <c r="AG45" s="841"/>
      <c r="AH45" s="841"/>
      <c r="AI45" s="841"/>
      <c r="AJ45" s="841"/>
      <c r="AK45" s="841"/>
      <c r="AL45" s="841"/>
      <c r="AM45" s="842"/>
      <c r="AN45" s="843"/>
      <c r="AO45" s="843"/>
      <c r="AP45" s="843"/>
      <c r="AQ45" s="843"/>
      <c r="AR45" s="843"/>
      <c r="AS45" s="843"/>
      <c r="AT45" s="843"/>
      <c r="AU45" s="843"/>
      <c r="AV45" s="843"/>
      <c r="AW45" s="843"/>
      <c r="AX45" s="844"/>
      <c r="AY45" s="841"/>
      <c r="AZ45" s="841"/>
      <c r="BA45" s="841"/>
      <c r="BB45" s="841"/>
      <c r="BC45" s="841"/>
      <c r="BD45" s="841"/>
      <c r="BE45" s="976"/>
      <c r="BF45" s="976"/>
      <c r="BG45" s="976"/>
      <c r="BH45" s="976"/>
      <c r="BI45" s="976"/>
      <c r="BJ45" s="976"/>
    </row>
    <row r="46" spans="2:62">
      <c r="B46" s="401" t="s">
        <v>731</v>
      </c>
      <c r="C46" s="979">
        <v>0</v>
      </c>
      <c r="D46" s="975">
        <f>C51</f>
        <v>3129.0939000000008</v>
      </c>
      <c r="E46" s="975">
        <f t="shared" ref="E46:BJ46" si="8">D51</f>
        <v>6798.641995125</v>
      </c>
      <c r="F46" s="975">
        <f t="shared" si="8"/>
        <v>10132.191636533438</v>
      </c>
      <c r="G46" s="975">
        <f t="shared" si="8"/>
        <v>13487.443798971099</v>
      </c>
      <c r="H46" s="975">
        <f t="shared" si="8"/>
        <v>16950.388406754537</v>
      </c>
      <c r="I46" s="975">
        <f t="shared" si="8"/>
        <v>20387.482571035016</v>
      </c>
      <c r="J46" s="975">
        <f t="shared" si="8"/>
        <v>23929.609315601378</v>
      </c>
      <c r="K46" s="975">
        <f t="shared" si="8"/>
        <v>27588.577339555326</v>
      </c>
      <c r="L46" s="975">
        <f t="shared" si="8"/>
        <v>31677.090483072006</v>
      </c>
      <c r="M46" s="975">
        <f t="shared" si="8"/>
        <v>35949.900943749126</v>
      </c>
      <c r="N46" s="975">
        <f t="shared" si="8"/>
        <v>40493.567101280416</v>
      </c>
      <c r="O46" s="975">
        <f t="shared" si="8"/>
        <v>43714.126297520241</v>
      </c>
      <c r="P46" s="975">
        <f t="shared" si="8"/>
        <v>46222.390595239267</v>
      </c>
      <c r="Q46" s="975">
        <f t="shared" si="8"/>
        <v>48456.706794667778</v>
      </c>
      <c r="R46" s="975">
        <f t="shared" si="8"/>
        <v>50274.99140072905</v>
      </c>
      <c r="S46" s="975">
        <f t="shared" si="8"/>
        <v>52102.725205692594</v>
      </c>
      <c r="T46" s="975">
        <f t="shared" si="8"/>
        <v>54094.453695407974</v>
      </c>
      <c r="U46" s="975">
        <f t="shared" si="8"/>
        <v>55941.146341399057</v>
      </c>
      <c r="V46" s="975">
        <f t="shared" si="8"/>
        <v>57945.596942225609</v>
      </c>
      <c r="W46" s="975">
        <f t="shared" si="8"/>
        <v>59839.334360403205</v>
      </c>
      <c r="X46" s="975">
        <f t="shared" si="8"/>
        <v>62136.990745581032</v>
      </c>
      <c r="Y46" s="975">
        <f t="shared" si="8"/>
        <v>64391.513521460118</v>
      </c>
      <c r="Z46" s="975">
        <f t="shared" si="8"/>
        <v>66769.766443976157</v>
      </c>
      <c r="AA46" s="975">
        <f t="shared" si="8"/>
        <v>66629.636884697538</v>
      </c>
      <c r="AB46" s="975">
        <f t="shared" si="8"/>
        <v>66294.872610077422</v>
      </c>
      <c r="AC46" s="975">
        <f t="shared" si="8"/>
        <v>65725.992074997965</v>
      </c>
      <c r="AD46" s="975">
        <f t="shared" si="8"/>
        <v>64936.45696443558</v>
      </c>
      <c r="AE46" s="975">
        <f t="shared" si="8"/>
        <v>64800.396617730534</v>
      </c>
      <c r="AF46" s="975">
        <f t="shared" si="8"/>
        <v>65128.21711221103</v>
      </c>
      <c r="AG46" s="975">
        <f t="shared" si="8"/>
        <v>65538.534010758885</v>
      </c>
      <c r="AH46" s="975">
        <f t="shared" si="8"/>
        <v>66026.603770140253</v>
      </c>
      <c r="AI46" s="975">
        <f t="shared" si="8"/>
        <v>66587.955600857196</v>
      </c>
      <c r="AJ46" s="975">
        <f t="shared" si="8"/>
        <v>67384.84</v>
      </c>
      <c r="AK46" s="975">
        <f t="shared" si="8"/>
        <v>67384.84</v>
      </c>
      <c r="AL46" s="975">
        <f t="shared" si="8"/>
        <v>67384.84</v>
      </c>
      <c r="AM46" s="975">
        <f t="shared" si="8"/>
        <v>67209.343711249996</v>
      </c>
      <c r="AN46" s="975">
        <f t="shared" si="8"/>
        <v>66841.246294103126</v>
      </c>
      <c r="AO46" s="975">
        <f t="shared" si="8"/>
        <v>66240.9492721922</v>
      </c>
      <c r="AP46" s="975">
        <f t="shared" si="8"/>
        <v>65421.804122791145</v>
      </c>
      <c r="AQ46" s="975">
        <f t="shared" si="8"/>
        <v>65257.836314480643</v>
      </c>
      <c r="AR46" s="975">
        <f t="shared" si="8"/>
        <v>65559.35402639801</v>
      </c>
      <c r="AS46" s="975">
        <f t="shared" si="8"/>
        <v>65944.880552380113</v>
      </c>
      <c r="AT46" s="975">
        <f t="shared" si="8"/>
        <v>66409.585385618266</v>
      </c>
      <c r="AU46" s="975">
        <f t="shared" si="8"/>
        <v>66948.915773445216</v>
      </c>
      <c r="AV46" s="975">
        <f t="shared" si="8"/>
        <v>67384.84</v>
      </c>
      <c r="AW46" s="975">
        <f t="shared" si="8"/>
        <v>67384.84</v>
      </c>
      <c r="AX46" s="975">
        <f t="shared" si="8"/>
        <v>67384.84</v>
      </c>
      <c r="AY46" s="975">
        <f t="shared" si="8"/>
        <v>67209.343711249996</v>
      </c>
      <c r="AZ46" s="975">
        <f t="shared" si="8"/>
        <v>66841.246294103126</v>
      </c>
      <c r="BA46" s="975">
        <f t="shared" si="8"/>
        <v>66240.9492721922</v>
      </c>
      <c r="BB46" s="975">
        <f t="shared" si="8"/>
        <v>65421.804122791145</v>
      </c>
      <c r="BC46" s="975">
        <f t="shared" si="8"/>
        <v>65257.836314480643</v>
      </c>
      <c r="BD46" s="975">
        <f t="shared" si="8"/>
        <v>65559.35402639801</v>
      </c>
      <c r="BE46" s="975">
        <f t="shared" si="8"/>
        <v>65944.880552380113</v>
      </c>
      <c r="BF46" s="975">
        <f t="shared" si="8"/>
        <v>66409.585385618266</v>
      </c>
      <c r="BG46" s="975">
        <f t="shared" si="8"/>
        <v>66948.915773445216</v>
      </c>
      <c r="BH46" s="975">
        <f t="shared" si="8"/>
        <v>67384.84</v>
      </c>
      <c r="BI46" s="975">
        <f t="shared" si="8"/>
        <v>67384.84</v>
      </c>
      <c r="BJ46" s="975">
        <f t="shared" si="8"/>
        <v>67384.84</v>
      </c>
    </row>
    <row r="47" spans="2:62">
      <c r="B47" s="401" t="s">
        <v>712</v>
      </c>
      <c r="C47" s="975">
        <f>C41*C48</f>
        <v>3226.5578320959894</v>
      </c>
      <c r="D47" s="975">
        <f t="shared" ref="D47:BJ47" si="9">D41*D48</f>
        <v>3897.92625</v>
      </c>
      <c r="E47" s="975">
        <f t="shared" si="9"/>
        <v>3673.9074999999998</v>
      </c>
      <c r="F47" s="975">
        <f t="shared" si="9"/>
        <v>3808.3187499999999</v>
      </c>
      <c r="G47" s="975">
        <f t="shared" si="9"/>
        <v>4032.3375000000001</v>
      </c>
      <c r="H47" s="975">
        <f t="shared" si="9"/>
        <v>4121.9450000000006</v>
      </c>
      <c r="I47" s="975">
        <f t="shared" si="9"/>
        <v>4345.9637500000008</v>
      </c>
      <c r="J47" s="975">
        <f t="shared" si="9"/>
        <v>4659.59</v>
      </c>
      <c r="K47" s="975">
        <f t="shared" si="9"/>
        <v>5322.6854999999996</v>
      </c>
      <c r="L47" s="975">
        <f t="shared" si="9"/>
        <v>5770.7229999999981</v>
      </c>
      <c r="M47" s="975">
        <f t="shared" si="9"/>
        <v>6451.7400000000007</v>
      </c>
      <c r="N47" s="975">
        <f t="shared" si="9"/>
        <v>5376.45</v>
      </c>
      <c r="O47" s="975">
        <f t="shared" si="9"/>
        <v>4838.8050000000003</v>
      </c>
      <c r="P47" s="975">
        <f t="shared" si="9"/>
        <v>4677.5115000000005</v>
      </c>
      <c r="Q47" s="975">
        <f t="shared" si="9"/>
        <v>4408.6889999999994</v>
      </c>
      <c r="R47" s="975">
        <f t="shared" si="9"/>
        <v>4569.9825000000001</v>
      </c>
      <c r="S47" s="975">
        <f t="shared" si="9"/>
        <v>4838.8050000000003</v>
      </c>
      <c r="T47" s="975">
        <f t="shared" si="9"/>
        <v>4946.3340000000007</v>
      </c>
      <c r="U47" s="975">
        <f t="shared" si="9"/>
        <v>5215.1565000000001</v>
      </c>
      <c r="V47" s="975">
        <f t="shared" si="9"/>
        <v>5376.45</v>
      </c>
      <c r="W47" s="975">
        <f t="shared" si="9"/>
        <v>5914.0950000000012</v>
      </c>
      <c r="X47" s="975">
        <f t="shared" si="9"/>
        <v>6182.9174999999996</v>
      </c>
      <c r="Y47" s="975">
        <f t="shared" si="9"/>
        <v>6451.7400000000007</v>
      </c>
      <c r="Z47" s="975">
        <f t="shared" si="9"/>
        <v>3924.8085000000001</v>
      </c>
      <c r="AA47" s="975">
        <f t="shared" si="9"/>
        <v>3709.7504999999996</v>
      </c>
      <c r="AB47" s="975">
        <f t="shared" si="9"/>
        <v>3440.9279999999999</v>
      </c>
      <c r="AC47" s="975">
        <f t="shared" si="9"/>
        <v>3172.1054999999992</v>
      </c>
      <c r="AD47" s="975">
        <f t="shared" si="9"/>
        <v>3817.2795000000001</v>
      </c>
      <c r="AE47" s="975">
        <f t="shared" si="9"/>
        <v>4301.1599999999989</v>
      </c>
      <c r="AF47" s="975">
        <f t="shared" si="9"/>
        <v>4408.6889999999994</v>
      </c>
      <c r="AG47" s="975">
        <f t="shared" si="9"/>
        <v>4516.2179999999998</v>
      </c>
      <c r="AH47" s="975">
        <f t="shared" si="9"/>
        <v>4623.7470000000003</v>
      </c>
      <c r="AI47" s="975">
        <f t="shared" si="9"/>
        <v>4922.4718861920928</v>
      </c>
      <c r="AJ47" s="975">
        <f t="shared" si="9"/>
        <v>4214.6887624999999</v>
      </c>
      <c r="AK47" s="975">
        <f t="shared" si="9"/>
        <v>4220.8716800000002</v>
      </c>
      <c r="AL47" s="975">
        <f t="shared" si="9"/>
        <v>3924.8085000000001</v>
      </c>
      <c r="AM47" s="975">
        <f t="shared" si="9"/>
        <v>3709.7504999999996</v>
      </c>
      <c r="AN47" s="975">
        <f t="shared" si="9"/>
        <v>3440.9279999999999</v>
      </c>
      <c r="AO47" s="975">
        <f t="shared" si="9"/>
        <v>3172.1054999999992</v>
      </c>
      <c r="AP47" s="975">
        <f t="shared" si="9"/>
        <v>3817.2795000000001</v>
      </c>
      <c r="AQ47" s="975">
        <f t="shared" si="9"/>
        <v>4301.1599999999989</v>
      </c>
      <c r="AR47" s="975">
        <f t="shared" si="9"/>
        <v>4408.6889999999994</v>
      </c>
      <c r="AS47" s="975">
        <f t="shared" si="9"/>
        <v>4516.2179999999998</v>
      </c>
      <c r="AT47" s="975">
        <f t="shared" si="9"/>
        <v>4623.7470000000003</v>
      </c>
      <c r="AU47" s="975">
        <f t="shared" si="9"/>
        <v>4582.26692352788</v>
      </c>
      <c r="AV47" s="975">
        <f t="shared" si="9"/>
        <v>4214.6887624999999</v>
      </c>
      <c r="AW47" s="975">
        <f t="shared" si="9"/>
        <v>4220.8716800000002</v>
      </c>
      <c r="AX47" s="975">
        <f t="shared" si="9"/>
        <v>3924.8085000000001</v>
      </c>
      <c r="AY47" s="975">
        <f t="shared" si="9"/>
        <v>3709.7504999999996</v>
      </c>
      <c r="AZ47" s="975">
        <f t="shared" si="9"/>
        <v>3440.9279999999999</v>
      </c>
      <c r="BA47" s="975">
        <f t="shared" si="9"/>
        <v>3172.1054999999992</v>
      </c>
      <c r="BB47" s="975">
        <f t="shared" si="9"/>
        <v>3817.2795000000001</v>
      </c>
      <c r="BC47" s="975">
        <f t="shared" si="9"/>
        <v>4301.1599999999989</v>
      </c>
      <c r="BD47" s="975">
        <f t="shared" si="9"/>
        <v>4408.6889999999994</v>
      </c>
      <c r="BE47" s="975">
        <f t="shared" si="9"/>
        <v>4516.2179999999998</v>
      </c>
      <c r="BF47" s="975">
        <f t="shared" si="9"/>
        <v>4623.7470000000003</v>
      </c>
      <c r="BG47" s="975">
        <f t="shared" si="9"/>
        <v>4582.26692352788</v>
      </c>
      <c r="BH47" s="975">
        <f t="shared" si="9"/>
        <v>4214.6887624999999</v>
      </c>
      <c r="BI47" s="975">
        <f t="shared" si="9"/>
        <v>4220.8716800000002</v>
      </c>
      <c r="BJ47" s="975">
        <f t="shared" si="9"/>
        <v>3924.8085000000001</v>
      </c>
    </row>
    <row r="48" spans="2:62">
      <c r="B48" s="401"/>
      <c r="C48" s="994">
        <v>4.5009595068716199E-2</v>
      </c>
      <c r="D48" s="994">
        <v>5.4375E-2</v>
      </c>
      <c r="E48" s="994">
        <v>5.1249999999999997E-2</v>
      </c>
      <c r="F48" s="994">
        <v>5.3124999999999999E-2</v>
      </c>
      <c r="G48" s="994">
        <v>5.6250000000000001E-2</v>
      </c>
      <c r="H48" s="994">
        <v>5.7500000000000002E-2</v>
      </c>
      <c r="I48" s="994">
        <v>6.0625000000000005E-2</v>
      </c>
      <c r="J48" s="994">
        <v>6.5000000000000002E-2</v>
      </c>
      <c r="K48" s="994">
        <v>7.4249999999999997E-2</v>
      </c>
      <c r="L48" s="994">
        <v>8.0499999999999974E-2</v>
      </c>
      <c r="M48" s="994">
        <v>9.0000000000000011E-2</v>
      </c>
      <c r="N48" s="994">
        <v>7.4999999999999997E-2</v>
      </c>
      <c r="O48" s="994">
        <v>6.7500000000000004E-2</v>
      </c>
      <c r="P48" s="994">
        <v>6.5250000000000002E-2</v>
      </c>
      <c r="Q48" s="994">
        <v>6.1499999999999992E-2</v>
      </c>
      <c r="R48" s="994">
        <v>6.3750000000000001E-2</v>
      </c>
      <c r="S48" s="994">
        <v>6.7500000000000004E-2</v>
      </c>
      <c r="T48" s="994">
        <v>6.9000000000000006E-2</v>
      </c>
      <c r="U48" s="994">
        <v>7.2749999999999995E-2</v>
      </c>
      <c r="V48" s="994">
        <v>7.4999999999999997E-2</v>
      </c>
      <c r="W48" s="994">
        <v>8.2500000000000018E-2</v>
      </c>
      <c r="X48" s="994">
        <v>8.6249999999999993E-2</v>
      </c>
      <c r="Y48" s="994">
        <v>9.0000000000000011E-2</v>
      </c>
      <c r="Z48" s="994">
        <v>5.475E-2</v>
      </c>
      <c r="AA48" s="994">
        <v>5.1749999999999997E-2</v>
      </c>
      <c r="AB48" s="994">
        <v>4.8000000000000001E-2</v>
      </c>
      <c r="AC48" s="994">
        <v>4.4249999999999991E-2</v>
      </c>
      <c r="AD48" s="994">
        <v>5.3249999999999999E-2</v>
      </c>
      <c r="AE48" s="994">
        <v>5.9999999999999991E-2</v>
      </c>
      <c r="AF48" s="994">
        <v>6.1499999999999992E-2</v>
      </c>
      <c r="AG48" s="994">
        <v>6.3E-2</v>
      </c>
      <c r="AH48" s="994">
        <v>6.4500000000000002E-2</v>
      </c>
      <c r="AI48" s="994">
        <v>6.8667130069917315E-2</v>
      </c>
      <c r="AJ48" s="994">
        <v>5.8793749999999999E-2</v>
      </c>
      <c r="AK48" s="994">
        <v>5.8880000000000002E-2</v>
      </c>
      <c r="AL48" s="994">
        <v>5.475E-2</v>
      </c>
      <c r="AM48" s="994">
        <v>5.1749999999999997E-2</v>
      </c>
      <c r="AN48" s="994">
        <v>4.8000000000000001E-2</v>
      </c>
      <c r="AO48" s="994">
        <v>4.4249999999999991E-2</v>
      </c>
      <c r="AP48" s="994">
        <v>5.3249999999999999E-2</v>
      </c>
      <c r="AQ48" s="994">
        <v>5.9999999999999991E-2</v>
      </c>
      <c r="AR48" s="994">
        <v>6.1499999999999992E-2</v>
      </c>
      <c r="AS48" s="994">
        <v>6.3E-2</v>
      </c>
      <c r="AT48" s="994">
        <v>6.4500000000000002E-2</v>
      </c>
      <c r="AU48" s="994">
        <v>6.3921364332336583E-2</v>
      </c>
      <c r="AV48" s="994">
        <v>5.8793749999999999E-2</v>
      </c>
      <c r="AW48" s="994">
        <v>5.8880000000000002E-2</v>
      </c>
      <c r="AX48" s="994">
        <v>5.475E-2</v>
      </c>
      <c r="AY48" s="994">
        <v>5.1749999999999997E-2</v>
      </c>
      <c r="AZ48" s="994">
        <v>4.8000000000000001E-2</v>
      </c>
      <c r="BA48" s="994">
        <v>4.4249999999999991E-2</v>
      </c>
      <c r="BB48" s="994">
        <v>5.3249999999999999E-2</v>
      </c>
      <c r="BC48" s="994">
        <v>5.9999999999999991E-2</v>
      </c>
      <c r="BD48" s="994">
        <v>6.1499999999999992E-2</v>
      </c>
      <c r="BE48" s="994">
        <v>6.3E-2</v>
      </c>
      <c r="BF48" s="994">
        <v>6.4500000000000002E-2</v>
      </c>
      <c r="BG48" s="994">
        <v>6.3921364332336583E-2</v>
      </c>
      <c r="BH48" s="994">
        <v>5.8793749999999999E-2</v>
      </c>
      <c r="BI48" s="994">
        <v>5.8880000000000002E-2</v>
      </c>
      <c r="BJ48" s="994">
        <v>5.475E-2</v>
      </c>
    </row>
    <row r="49" spans="2:62">
      <c r="B49" s="401" t="s">
        <v>713</v>
      </c>
      <c r="C49" s="975">
        <f>C47*C50</f>
        <v>96.7761</v>
      </c>
      <c r="D49" s="975">
        <f t="shared" ref="D49:BJ49" si="10">D47*D50</f>
        <v>228.37815487500001</v>
      </c>
      <c r="E49" s="975">
        <f t="shared" si="10"/>
        <v>340.35785859156249</v>
      </c>
      <c r="F49" s="975">
        <f t="shared" si="10"/>
        <v>453.06658756233668</v>
      </c>
      <c r="G49" s="975">
        <f t="shared" si="10"/>
        <v>569.39289221656077</v>
      </c>
      <c r="H49" s="975">
        <f t="shared" si="10"/>
        <v>684.85083571952259</v>
      </c>
      <c r="I49" s="975">
        <f t="shared" si="10"/>
        <v>803.83700543363818</v>
      </c>
      <c r="J49" s="975">
        <f t="shared" si="10"/>
        <v>1000.6219760460483</v>
      </c>
      <c r="K49" s="975">
        <f t="shared" si="10"/>
        <v>1234.1723564833246</v>
      </c>
      <c r="L49" s="975">
        <f t="shared" si="10"/>
        <v>1497.9125393228803</v>
      </c>
      <c r="M49" s="975">
        <f t="shared" si="10"/>
        <v>1908.0738424687106</v>
      </c>
      <c r="N49" s="975">
        <f t="shared" si="10"/>
        <v>2155.8908037601796</v>
      </c>
      <c r="O49" s="975">
        <f t="shared" si="10"/>
        <v>2330.5407022809713</v>
      </c>
      <c r="P49" s="975">
        <f t="shared" si="10"/>
        <v>2443.1953005714845</v>
      </c>
      <c r="Q49" s="975">
        <f t="shared" si="10"/>
        <v>2590.4043939387211</v>
      </c>
      <c r="R49" s="975">
        <f t="shared" si="10"/>
        <v>2742.2486950364532</v>
      </c>
      <c r="S49" s="975">
        <f t="shared" si="10"/>
        <v>2847.0765102846303</v>
      </c>
      <c r="T49" s="975">
        <f t="shared" si="10"/>
        <v>3099.6413540089193</v>
      </c>
      <c r="U49" s="975">
        <f t="shared" si="10"/>
        <v>3210.7058991734511</v>
      </c>
      <c r="V49" s="975">
        <f t="shared" si="10"/>
        <v>3482.712581822409</v>
      </c>
      <c r="W49" s="975">
        <f t="shared" si="10"/>
        <v>3616.438614822177</v>
      </c>
      <c r="X49" s="975">
        <f t="shared" si="10"/>
        <v>3928.3947241209094</v>
      </c>
      <c r="Y49" s="975">
        <f t="shared" si="10"/>
        <v>4073.4870774839574</v>
      </c>
      <c r="Z49" s="975">
        <f t="shared" si="10"/>
        <v>4064.9380592786292</v>
      </c>
      <c r="AA49" s="975">
        <f t="shared" si="10"/>
        <v>4044.5147746201087</v>
      </c>
      <c r="AB49" s="975">
        <f t="shared" si="10"/>
        <v>4009.8085350794518</v>
      </c>
      <c r="AC49" s="975">
        <f t="shared" si="10"/>
        <v>3961.6406105623832</v>
      </c>
      <c r="AD49" s="975">
        <f t="shared" si="10"/>
        <v>3953.3398467050456</v>
      </c>
      <c r="AE49" s="975">
        <f t="shared" si="10"/>
        <v>3973.3395055195047</v>
      </c>
      <c r="AF49" s="975">
        <f t="shared" si="10"/>
        <v>3998.3721014521338</v>
      </c>
      <c r="AG49" s="975">
        <f t="shared" si="10"/>
        <v>4028.1482406186365</v>
      </c>
      <c r="AH49" s="975">
        <f t="shared" si="10"/>
        <v>4062.3951692830651</v>
      </c>
      <c r="AI49" s="975">
        <f t="shared" si="10"/>
        <v>4125.5874870492898</v>
      </c>
      <c r="AJ49" s="975">
        <f t="shared" si="10"/>
        <v>4214.6887624999999</v>
      </c>
      <c r="AK49" s="975">
        <f t="shared" si="10"/>
        <v>4220.8716800000002</v>
      </c>
      <c r="AL49" s="975">
        <f t="shared" si="10"/>
        <v>4100.3047887500006</v>
      </c>
      <c r="AM49" s="975">
        <f t="shared" si="10"/>
        <v>4077.8479171468753</v>
      </c>
      <c r="AN49" s="975">
        <f t="shared" si="10"/>
        <v>4041.2250219109296</v>
      </c>
      <c r="AO49" s="975">
        <f t="shared" si="10"/>
        <v>3991.2506494010509</v>
      </c>
      <c r="AP49" s="975">
        <f t="shared" si="10"/>
        <v>3981.247308310491</v>
      </c>
      <c r="AQ49" s="975">
        <f t="shared" si="10"/>
        <v>3999.6422880826362</v>
      </c>
      <c r="AR49" s="975">
        <f t="shared" si="10"/>
        <v>4023.162474017885</v>
      </c>
      <c r="AS49" s="975">
        <f t="shared" si="10"/>
        <v>4051.5131667618575</v>
      </c>
      <c r="AT49" s="975">
        <f t="shared" si="10"/>
        <v>4084.4166121730514</v>
      </c>
      <c r="AU49" s="975">
        <f t="shared" si="10"/>
        <v>4146.342696973099</v>
      </c>
      <c r="AV49" s="975">
        <f t="shared" si="10"/>
        <v>4214.6887624999999</v>
      </c>
      <c r="AW49" s="975">
        <f t="shared" si="10"/>
        <v>4220.8716800000002</v>
      </c>
      <c r="AX49" s="975">
        <f t="shared" si="10"/>
        <v>4100.3047887500006</v>
      </c>
      <c r="AY49" s="975">
        <f t="shared" si="10"/>
        <v>4077.8479171468753</v>
      </c>
      <c r="AZ49" s="975">
        <f t="shared" si="10"/>
        <v>4041.2250219109296</v>
      </c>
      <c r="BA49" s="975">
        <f t="shared" si="10"/>
        <v>3991.2506494010509</v>
      </c>
      <c r="BB49" s="975">
        <f t="shared" si="10"/>
        <v>3981.247308310491</v>
      </c>
      <c r="BC49" s="975">
        <f t="shared" si="10"/>
        <v>3999.6422880826362</v>
      </c>
      <c r="BD49" s="975">
        <f t="shared" si="10"/>
        <v>4023.162474017885</v>
      </c>
      <c r="BE49" s="975">
        <f t="shared" si="10"/>
        <v>4051.5131667618575</v>
      </c>
      <c r="BF49" s="975">
        <f t="shared" si="10"/>
        <v>4084.4166121730514</v>
      </c>
      <c r="BG49" s="975">
        <f t="shared" si="10"/>
        <v>4146.342696973099</v>
      </c>
      <c r="BH49" s="975">
        <f t="shared" si="10"/>
        <v>4214.6887624999999</v>
      </c>
      <c r="BI49" s="975">
        <f t="shared" si="10"/>
        <v>4220.8716800000002</v>
      </c>
      <c r="BJ49" s="975">
        <f t="shared" si="10"/>
        <v>4100.3047887500006</v>
      </c>
    </row>
    <row r="50" spans="2:62">
      <c r="B50" s="401"/>
      <c r="C50" s="994">
        <v>2.999360465116279E-2</v>
      </c>
      <c r="D50" s="994">
        <v>5.8589655172413796E-2</v>
      </c>
      <c r="E50" s="994">
        <v>9.2641923780487814E-2</v>
      </c>
      <c r="F50" s="994">
        <v>0.1189676120367647</v>
      </c>
      <c r="G50" s="994">
        <v>0.14120665549859374</v>
      </c>
      <c r="H50" s="994">
        <v>0.16614749486456576</v>
      </c>
      <c r="I50" s="994">
        <v>0.18496173729788659</v>
      </c>
      <c r="J50" s="994">
        <v>0.21474463977432526</v>
      </c>
      <c r="K50" s="994">
        <v>0.23187023852589539</v>
      </c>
      <c r="L50" s="994">
        <v>0.25957103456930453</v>
      </c>
      <c r="M50" s="994">
        <v>0.29574561939394806</v>
      </c>
      <c r="N50" s="994">
        <v>0.40098779003992963</v>
      </c>
      <c r="O50" s="994">
        <v>0.4816355902502728</v>
      </c>
      <c r="P50" s="994">
        <v>0.52232801577750998</v>
      </c>
      <c r="Q50" s="994">
        <v>0.58756795817049501</v>
      </c>
      <c r="R50" s="994">
        <v>0.60005671685536066</v>
      </c>
      <c r="S50" s="994">
        <v>0.58838422095633736</v>
      </c>
      <c r="T50" s="994">
        <v>0.62665427648212169</v>
      </c>
      <c r="U50" s="994">
        <v>0.61564900289635627</v>
      </c>
      <c r="V50" s="994">
        <v>0.64777177911491957</v>
      </c>
      <c r="W50" s="994">
        <v>0.61149484660327169</v>
      </c>
      <c r="X50" s="994">
        <v>0.63536263004009186</v>
      </c>
      <c r="Y50" s="994">
        <v>0.63137805886225373</v>
      </c>
      <c r="Z50" s="994">
        <v>1.0357035405112451</v>
      </c>
      <c r="AA50" s="994">
        <v>1.090239026753985</v>
      </c>
      <c r="AB50" s="994">
        <v>1.1653276485527893</v>
      </c>
      <c r="AC50" s="994">
        <v>1.2488993857746484</v>
      </c>
      <c r="AD50" s="994">
        <v>1.0356432759783625</v>
      </c>
      <c r="AE50" s="994">
        <v>0.9237832365035259</v>
      </c>
      <c r="AF50" s="994">
        <v>0.90692995161421786</v>
      </c>
      <c r="AG50" s="994">
        <v>0.89192953941077169</v>
      </c>
      <c r="AH50" s="994">
        <v>0.87859373994361389</v>
      </c>
      <c r="AI50" s="994">
        <v>0.83811296081179776</v>
      </c>
      <c r="AJ50" s="994">
        <v>1</v>
      </c>
      <c r="AK50" s="994">
        <v>1</v>
      </c>
      <c r="AL50" s="994">
        <v>1.0447146118721462</v>
      </c>
      <c r="AM50" s="994">
        <v>1.0992243055555557</v>
      </c>
      <c r="AN50" s="994">
        <v>1.174457885172526</v>
      </c>
      <c r="AO50" s="994">
        <v>1.2582338920950302</v>
      </c>
      <c r="AP50" s="994">
        <v>1.0429541007700618</v>
      </c>
      <c r="AQ50" s="994">
        <v>0.92989851297850745</v>
      </c>
      <c r="AR50" s="994">
        <v>0.91255302290950568</v>
      </c>
      <c r="AS50" s="994">
        <v>0.89710309970906132</v>
      </c>
      <c r="AT50" s="994">
        <v>0.88335642330193476</v>
      </c>
      <c r="AU50" s="994">
        <v>0.9048671249777035</v>
      </c>
      <c r="AV50" s="994">
        <v>1</v>
      </c>
      <c r="AW50" s="994">
        <v>1</v>
      </c>
      <c r="AX50" s="994">
        <v>1.0447146118721462</v>
      </c>
      <c r="AY50" s="994">
        <v>1.0992243055555557</v>
      </c>
      <c r="AZ50" s="994">
        <v>1.174457885172526</v>
      </c>
      <c r="BA50" s="994">
        <v>1.2582338920950302</v>
      </c>
      <c r="BB50" s="994">
        <v>1.0429541007700618</v>
      </c>
      <c r="BC50" s="994">
        <v>0.92989851297850745</v>
      </c>
      <c r="BD50" s="994">
        <v>0.91255302290950568</v>
      </c>
      <c r="BE50" s="994">
        <v>0.89710309970906132</v>
      </c>
      <c r="BF50" s="994">
        <v>0.88335642330193476</v>
      </c>
      <c r="BG50" s="994">
        <v>0.9048671249777035</v>
      </c>
      <c r="BH50" s="994">
        <v>1</v>
      </c>
      <c r="BI50" s="994">
        <v>1</v>
      </c>
      <c r="BJ50" s="994">
        <v>1.0447146118721462</v>
      </c>
    </row>
    <row r="51" spans="2:62">
      <c r="B51" s="401" t="s">
        <v>732</v>
      </c>
      <c r="C51" s="975">
        <f>C41*C52</f>
        <v>3129.0939000000008</v>
      </c>
      <c r="D51" s="975">
        <f t="shared" ref="D51:BJ51" si="11">D41*D52</f>
        <v>6798.641995125</v>
      </c>
      <c r="E51" s="975">
        <f t="shared" si="11"/>
        <v>10132.191636533438</v>
      </c>
      <c r="F51" s="975">
        <f t="shared" si="11"/>
        <v>13487.443798971099</v>
      </c>
      <c r="G51" s="975">
        <f t="shared" si="11"/>
        <v>16950.388406754537</v>
      </c>
      <c r="H51" s="975">
        <f t="shared" si="11"/>
        <v>20387.482571035016</v>
      </c>
      <c r="I51" s="975">
        <f t="shared" si="11"/>
        <v>23929.609315601378</v>
      </c>
      <c r="J51" s="975">
        <f t="shared" si="11"/>
        <v>27588.577339555326</v>
      </c>
      <c r="K51" s="975">
        <f t="shared" si="11"/>
        <v>31677.090483072006</v>
      </c>
      <c r="L51" s="975">
        <f t="shared" si="11"/>
        <v>35949.900943749126</v>
      </c>
      <c r="M51" s="975">
        <f t="shared" si="11"/>
        <v>40493.567101280416</v>
      </c>
      <c r="N51" s="975">
        <f t="shared" si="11"/>
        <v>43714.126297520241</v>
      </c>
      <c r="O51" s="975">
        <f t="shared" si="11"/>
        <v>46222.390595239267</v>
      </c>
      <c r="P51" s="975">
        <f t="shared" si="11"/>
        <v>48456.706794667778</v>
      </c>
      <c r="Q51" s="975">
        <f t="shared" si="11"/>
        <v>50274.99140072905</v>
      </c>
      <c r="R51" s="975">
        <f t="shared" si="11"/>
        <v>52102.725205692594</v>
      </c>
      <c r="S51" s="975">
        <f t="shared" si="11"/>
        <v>54094.453695407974</v>
      </c>
      <c r="T51" s="975">
        <f t="shared" si="11"/>
        <v>55941.146341399057</v>
      </c>
      <c r="U51" s="975">
        <f t="shared" si="11"/>
        <v>57945.596942225609</v>
      </c>
      <c r="V51" s="975">
        <f t="shared" si="11"/>
        <v>59839.334360403205</v>
      </c>
      <c r="W51" s="975">
        <f t="shared" si="11"/>
        <v>62136.990745581032</v>
      </c>
      <c r="X51" s="975">
        <f t="shared" si="11"/>
        <v>64391.513521460118</v>
      </c>
      <c r="Y51" s="975">
        <f t="shared" si="11"/>
        <v>66769.766443976157</v>
      </c>
      <c r="Z51" s="975">
        <f t="shared" si="11"/>
        <v>66629.636884697538</v>
      </c>
      <c r="AA51" s="975">
        <f t="shared" si="11"/>
        <v>66294.872610077422</v>
      </c>
      <c r="AB51" s="975">
        <f t="shared" si="11"/>
        <v>65725.992074997965</v>
      </c>
      <c r="AC51" s="975">
        <f t="shared" si="11"/>
        <v>64936.45696443558</v>
      </c>
      <c r="AD51" s="975">
        <f t="shared" si="11"/>
        <v>64800.396617730534</v>
      </c>
      <c r="AE51" s="975">
        <f t="shared" si="11"/>
        <v>65128.21711221103</v>
      </c>
      <c r="AF51" s="975">
        <f t="shared" si="11"/>
        <v>65538.534010758885</v>
      </c>
      <c r="AG51" s="975">
        <f t="shared" si="11"/>
        <v>66026.603770140253</v>
      </c>
      <c r="AH51" s="975">
        <f t="shared" si="11"/>
        <v>66587.955600857196</v>
      </c>
      <c r="AI51" s="975">
        <f t="shared" si="11"/>
        <v>67384.84</v>
      </c>
      <c r="AJ51" s="975">
        <f t="shared" si="11"/>
        <v>67384.84</v>
      </c>
      <c r="AK51" s="975">
        <f t="shared" si="11"/>
        <v>67384.84</v>
      </c>
      <c r="AL51" s="975">
        <f t="shared" si="11"/>
        <v>67209.343711249996</v>
      </c>
      <c r="AM51" s="975">
        <f t="shared" si="11"/>
        <v>66841.246294103126</v>
      </c>
      <c r="AN51" s="975">
        <f t="shared" si="11"/>
        <v>66240.9492721922</v>
      </c>
      <c r="AO51" s="975">
        <f t="shared" si="11"/>
        <v>65421.804122791145</v>
      </c>
      <c r="AP51" s="975">
        <f t="shared" si="11"/>
        <v>65257.836314480643</v>
      </c>
      <c r="AQ51" s="975">
        <f t="shared" si="11"/>
        <v>65559.35402639801</v>
      </c>
      <c r="AR51" s="975">
        <f t="shared" si="11"/>
        <v>65944.880552380113</v>
      </c>
      <c r="AS51" s="975">
        <f t="shared" si="11"/>
        <v>66409.585385618266</v>
      </c>
      <c r="AT51" s="975">
        <f t="shared" si="11"/>
        <v>66948.915773445216</v>
      </c>
      <c r="AU51" s="975">
        <f t="shared" si="11"/>
        <v>67384.84</v>
      </c>
      <c r="AV51" s="975">
        <f t="shared" si="11"/>
        <v>67384.84</v>
      </c>
      <c r="AW51" s="975">
        <f t="shared" si="11"/>
        <v>67384.84</v>
      </c>
      <c r="AX51" s="975">
        <f t="shared" si="11"/>
        <v>67209.343711249996</v>
      </c>
      <c r="AY51" s="975">
        <f t="shared" si="11"/>
        <v>66841.246294103126</v>
      </c>
      <c r="AZ51" s="975">
        <f t="shared" si="11"/>
        <v>66240.9492721922</v>
      </c>
      <c r="BA51" s="975">
        <f t="shared" si="11"/>
        <v>65421.804122791145</v>
      </c>
      <c r="BB51" s="975">
        <f t="shared" si="11"/>
        <v>65257.836314480643</v>
      </c>
      <c r="BC51" s="975">
        <f t="shared" si="11"/>
        <v>65559.35402639801</v>
      </c>
      <c r="BD51" s="975">
        <f t="shared" si="11"/>
        <v>65944.880552380113</v>
      </c>
      <c r="BE51" s="975">
        <f t="shared" si="11"/>
        <v>66409.585385618266</v>
      </c>
      <c r="BF51" s="975">
        <f t="shared" si="11"/>
        <v>66948.915773445216</v>
      </c>
      <c r="BG51" s="975">
        <f t="shared" si="11"/>
        <v>67384.84</v>
      </c>
      <c r="BH51" s="975">
        <f t="shared" si="11"/>
        <v>67384.84</v>
      </c>
      <c r="BI51" s="975">
        <f t="shared" si="11"/>
        <v>67384.84</v>
      </c>
      <c r="BJ51" s="975">
        <f t="shared" si="11"/>
        <v>67209.343711249996</v>
      </c>
    </row>
    <row r="52" spans="2:62" s="1104" customFormat="1">
      <c r="B52" s="1099" t="s">
        <v>715</v>
      </c>
      <c r="C52" s="1100">
        <v>4.3650000000000008E-2</v>
      </c>
      <c r="D52" s="1100">
        <v>9.4839187500000005E-2</v>
      </c>
      <c r="E52" s="1100">
        <v>0.14134128890625</v>
      </c>
      <c r="F52" s="1100">
        <v>0.18814613451679685</v>
      </c>
      <c r="G52" s="1100">
        <v>0.23645326014500095</v>
      </c>
      <c r="H52" s="1100">
        <v>0.28439977919028842</v>
      </c>
      <c r="I52" s="1100">
        <v>0.33381147386660404</v>
      </c>
      <c r="J52" s="1100">
        <v>0.38485307228127286</v>
      </c>
      <c r="K52" s="1100">
        <v>0.44188670707072519</v>
      </c>
      <c r="L52" s="1100">
        <v>0.50149123878789614</v>
      </c>
      <c r="M52" s="1100">
        <v>0.56487413304244083</v>
      </c>
      <c r="N52" s="1100">
        <v>0.60980004878944616</v>
      </c>
      <c r="O52" s="1101">
        <v>0.64478964644755277</v>
      </c>
      <c r="P52" s="1102">
        <v>0.67595774341807013</v>
      </c>
      <c r="Q52" s="1102">
        <v>0.70132231399058464</v>
      </c>
      <c r="R52" s="1102">
        <v>0.72681869829105539</v>
      </c>
      <c r="S52" s="1102">
        <v>0.75460276337650267</v>
      </c>
      <c r="T52" s="1102">
        <v>0.78036361829923639</v>
      </c>
      <c r="U52" s="1102">
        <v>0.8083251533385265</v>
      </c>
      <c r="V52" s="1102">
        <v>0.83474226990490763</v>
      </c>
      <c r="W52" s="1102">
        <v>0.86679394506013774</v>
      </c>
      <c r="X52" s="1102">
        <v>0.8982439182191797</v>
      </c>
      <c r="Y52" s="1102">
        <v>0.9314198929215769</v>
      </c>
      <c r="Z52" s="1103">
        <v>0.92946512407858628</v>
      </c>
      <c r="AA52" s="1100">
        <v>0.92479525444406752</v>
      </c>
      <c r="AB52" s="1100">
        <v>0.91685952731353348</v>
      </c>
      <c r="AC52" s="1100">
        <v>0.90584572949300535</v>
      </c>
      <c r="AD52" s="1100">
        <v>0.90394772504715748</v>
      </c>
      <c r="AE52" s="1100">
        <v>0.90852073085694596</v>
      </c>
      <c r="AF52" s="1100">
        <v>0.91424453883267154</v>
      </c>
      <c r="AG52" s="1100">
        <v>0.9210529778497929</v>
      </c>
      <c r="AH52" s="1100">
        <v>0.92888368162342982</v>
      </c>
      <c r="AI52" s="1100">
        <v>0.94</v>
      </c>
      <c r="AJ52" s="1100">
        <v>0.94</v>
      </c>
      <c r="AK52" s="1100">
        <v>0.94</v>
      </c>
      <c r="AL52" s="1100">
        <v>0.93755187499999992</v>
      </c>
      <c r="AM52" s="1101">
        <v>0.93241701718750003</v>
      </c>
      <c r="AN52" s="1102">
        <v>0.92404303869921878</v>
      </c>
      <c r="AO52" s="1102">
        <v>0.91261618897401364</v>
      </c>
      <c r="AP52" s="1102">
        <v>0.91032888310800775</v>
      </c>
      <c r="AQ52" s="1102">
        <v>0.91453497232929726</v>
      </c>
      <c r="AR52" s="1102">
        <v>0.91991296142036261</v>
      </c>
      <c r="AS52" s="1102">
        <v>0.92639546613869195</v>
      </c>
      <c r="AT52" s="1102">
        <v>0.93391897683571712</v>
      </c>
      <c r="AU52" s="1102">
        <v>0.94</v>
      </c>
      <c r="AV52" s="1102">
        <v>0.94</v>
      </c>
      <c r="AW52" s="1102">
        <v>0.94</v>
      </c>
      <c r="AX52" s="1103">
        <v>0.93755187499999992</v>
      </c>
      <c r="AY52" s="1100">
        <v>0.93241701718750003</v>
      </c>
      <c r="AZ52" s="1100">
        <v>0.92404303869921878</v>
      </c>
      <c r="BA52" s="1100">
        <v>0.91261618897401364</v>
      </c>
      <c r="BB52" s="1100">
        <v>0.91032888310800775</v>
      </c>
      <c r="BC52" s="1100">
        <v>0.91453497232929726</v>
      </c>
      <c r="BD52" s="1100">
        <v>0.91991296142036261</v>
      </c>
      <c r="BE52" s="1100">
        <v>0.92639546613869195</v>
      </c>
      <c r="BF52" s="1100">
        <v>0.93391897683571712</v>
      </c>
      <c r="BG52" s="1100">
        <v>0.94</v>
      </c>
      <c r="BH52" s="1100">
        <v>0.94</v>
      </c>
      <c r="BI52" s="1100">
        <v>0.94</v>
      </c>
      <c r="BJ52" s="1100">
        <v>0.93755187499999992</v>
      </c>
    </row>
    <row r="53" spans="2:62">
      <c r="O53" s="839"/>
      <c r="Z53" s="840"/>
      <c r="AM53" s="839"/>
      <c r="AN53" s="978"/>
      <c r="AO53" s="978"/>
      <c r="AP53" s="978"/>
      <c r="AQ53" s="978"/>
      <c r="AR53" s="978"/>
      <c r="AS53" s="978"/>
      <c r="AT53" s="978"/>
      <c r="AU53" s="978"/>
      <c r="AV53" s="978"/>
      <c r="AW53" s="978"/>
      <c r="AX53" s="840"/>
      <c r="AZ53" s="978"/>
      <c r="BA53" s="978"/>
      <c r="BB53" s="978"/>
      <c r="BC53" s="978"/>
      <c r="BD53" s="978"/>
      <c r="BE53" s="978"/>
      <c r="BF53" s="978"/>
      <c r="BG53" s="978"/>
      <c r="BH53" s="978"/>
      <c r="BI53" s="978"/>
      <c r="BJ53" s="978"/>
    </row>
    <row r="54" spans="2:62">
      <c r="B54" s="4" t="s">
        <v>718</v>
      </c>
      <c r="O54" s="839"/>
      <c r="Z54" s="840"/>
      <c r="AM54" s="839"/>
      <c r="AX54" s="840"/>
    </row>
    <row r="55" spans="2:62">
      <c r="B55" s="401" t="s">
        <v>733</v>
      </c>
      <c r="C55" s="975">
        <v>0</v>
      </c>
      <c r="D55" s="975">
        <f>C58</f>
        <v>38.114826494989238</v>
      </c>
      <c r="E55" s="975">
        <f t="shared" ref="E55:BJ55" si="12">D58</f>
        <v>82.802987182489233</v>
      </c>
      <c r="F55" s="975">
        <f t="shared" si="12"/>
        <v>123.39932171014549</v>
      </c>
      <c r="G55" s="975">
        <f t="shared" si="12"/>
        <v>164.2599519281529</v>
      </c>
      <c r="H55" s="975">
        <f t="shared" si="12"/>
        <v>206.4320726015751</v>
      </c>
      <c r="I55" s="975">
        <f t="shared" si="12"/>
        <v>248.28938372811106</v>
      </c>
      <c r="J55" s="975">
        <f t="shared" si="12"/>
        <v>291.42579318053458</v>
      </c>
      <c r="K55" s="975">
        <f t="shared" si="12"/>
        <v>335.9851085965405</v>
      </c>
      <c r="L55" s="975">
        <f t="shared" si="12"/>
        <v>385.77547176773231</v>
      </c>
      <c r="M55" s="975">
        <f t="shared" si="12"/>
        <v>437.81022795682259</v>
      </c>
      <c r="N55" s="975">
        <f t="shared" si="12"/>
        <v>493.14349464104015</v>
      </c>
      <c r="O55" s="975">
        <f t="shared" si="12"/>
        <v>532.36381908817577</v>
      </c>
      <c r="P55" s="975">
        <f t="shared" si="12"/>
        <v>562.90973784370283</v>
      </c>
      <c r="Q55" s="975">
        <f t="shared" si="12"/>
        <v>590.11948649896465</v>
      </c>
      <c r="R55" s="975">
        <f t="shared" si="12"/>
        <v>612.26275660876979</v>
      </c>
      <c r="S55" s="975">
        <f t="shared" si="12"/>
        <v>634.52110010308081</v>
      </c>
      <c r="T55" s="975">
        <f t="shared" si="12"/>
        <v>658.7765889226763</v>
      </c>
      <c r="U55" s="975">
        <f t="shared" si="12"/>
        <v>681.26581527022267</v>
      </c>
      <c r="V55" s="975">
        <f t="shared" si="12"/>
        <v>705.67623535952293</v>
      </c>
      <c r="W55" s="975">
        <f t="shared" si="12"/>
        <v>728.7383781219736</v>
      </c>
      <c r="X55" s="975">
        <f t="shared" si="12"/>
        <v>756.71949053248954</v>
      </c>
      <c r="Y55" s="975">
        <f t="shared" si="12"/>
        <v>784.17531710033325</v>
      </c>
      <c r="Z55" s="975">
        <f t="shared" si="12"/>
        <v>813.13794301552605</v>
      </c>
      <c r="AA55" s="975">
        <f t="shared" si="12"/>
        <v>811.43142981559515</v>
      </c>
      <c r="AB55" s="975">
        <f t="shared" si="12"/>
        <v>807.35463362466021</v>
      </c>
      <c r="AC55" s="975">
        <f t="shared" si="12"/>
        <v>800.42674383970416</v>
      </c>
      <c r="AD55" s="975">
        <f t="shared" si="12"/>
        <v>790.81169834238301</v>
      </c>
      <c r="AE55" s="975">
        <f t="shared" si="12"/>
        <v>789.15474046115787</v>
      </c>
      <c r="AF55" s="975">
        <f t="shared" si="12"/>
        <v>793.14697453310316</v>
      </c>
      <c r="AG55" s="975">
        <f t="shared" si="12"/>
        <v>798.14385889591154</v>
      </c>
      <c r="AH55" s="975">
        <f t="shared" si="12"/>
        <v>804.08762615785849</v>
      </c>
      <c r="AI55" s="975">
        <f t="shared" si="12"/>
        <v>810.92383055224354</v>
      </c>
      <c r="AJ55" s="975">
        <f t="shared" si="12"/>
        <v>820.62837649498931</v>
      </c>
      <c r="AK55" s="975">
        <f t="shared" si="12"/>
        <v>820.6283764949892</v>
      </c>
      <c r="AL55" s="975">
        <f t="shared" si="12"/>
        <v>820.6283764949892</v>
      </c>
      <c r="AM55" s="975">
        <f t="shared" si="12"/>
        <v>818.49116336998918</v>
      </c>
      <c r="AN55" s="975">
        <f t="shared" si="12"/>
        <v>814.00843249967659</v>
      </c>
      <c r="AO55" s="975">
        <f t="shared" si="12"/>
        <v>806.69794927940711</v>
      </c>
      <c r="AP55" s="975">
        <f t="shared" si="12"/>
        <v>796.72230946930301</v>
      </c>
      <c r="AQ55" s="975">
        <f t="shared" si="12"/>
        <v>794.72549144827997</v>
      </c>
      <c r="AR55" s="975">
        <f t="shared" si="12"/>
        <v>798.39740733846577</v>
      </c>
      <c r="AS55" s="975">
        <f t="shared" si="12"/>
        <v>803.09239181496582</v>
      </c>
      <c r="AT55" s="975">
        <f t="shared" si="12"/>
        <v>808.75161843406715</v>
      </c>
      <c r="AU55" s="975">
        <f t="shared" si="12"/>
        <v>815.31964327257015</v>
      </c>
      <c r="AV55" s="975">
        <f t="shared" si="12"/>
        <v>820.62837649498908</v>
      </c>
      <c r="AW55" s="975">
        <f t="shared" si="12"/>
        <v>820.62837649498897</v>
      </c>
      <c r="AX55" s="975">
        <f t="shared" si="12"/>
        <v>820.62837649498897</v>
      </c>
      <c r="AY55" s="975">
        <f t="shared" si="12"/>
        <v>818.49116336998895</v>
      </c>
      <c r="AZ55" s="975">
        <f t="shared" si="12"/>
        <v>814.00843249967636</v>
      </c>
      <c r="BA55" s="975">
        <f t="shared" si="12"/>
        <v>806.69794927940688</v>
      </c>
      <c r="BB55" s="975">
        <f t="shared" si="12"/>
        <v>796.72230946930279</v>
      </c>
      <c r="BC55" s="975">
        <f t="shared" si="12"/>
        <v>794.72549144827974</v>
      </c>
      <c r="BD55" s="975">
        <f t="shared" si="12"/>
        <v>798.39740733846554</v>
      </c>
      <c r="BE55" s="975">
        <f t="shared" si="12"/>
        <v>803.09239181496559</v>
      </c>
      <c r="BF55" s="975">
        <f t="shared" si="12"/>
        <v>808.75161843406693</v>
      </c>
      <c r="BG55" s="975">
        <f t="shared" si="12"/>
        <v>815.31964327256992</v>
      </c>
      <c r="BH55" s="975">
        <f t="shared" si="12"/>
        <v>820.62837649498886</v>
      </c>
      <c r="BI55" s="975">
        <f t="shared" si="12"/>
        <v>820.62837649498874</v>
      </c>
      <c r="BJ55" s="975">
        <f t="shared" si="12"/>
        <v>820.62837649498874</v>
      </c>
    </row>
    <row r="56" spans="2:62">
      <c r="B56" s="401" t="s">
        <v>716</v>
      </c>
      <c r="C56" s="979">
        <f>C47/C43</f>
        <v>39.293376494989239</v>
      </c>
      <c r="D56" s="979">
        <f t="shared" ref="D56:BJ56" si="13">D47/D43</f>
        <v>47.469374999999999</v>
      </c>
      <c r="E56" s="979">
        <f t="shared" si="13"/>
        <v>44.741250000000001</v>
      </c>
      <c r="F56" s="979">
        <f t="shared" si="13"/>
        <v>46.378124999999997</v>
      </c>
      <c r="G56" s="979">
        <f t="shared" si="13"/>
        <v>49.106250000000003</v>
      </c>
      <c r="H56" s="979">
        <f t="shared" si="13"/>
        <v>50.197500000000005</v>
      </c>
      <c r="I56" s="979">
        <f t="shared" si="13"/>
        <v>52.925625000000011</v>
      </c>
      <c r="J56" s="979">
        <f t="shared" si="13"/>
        <v>56.745000000000005</v>
      </c>
      <c r="K56" s="979">
        <f t="shared" si="13"/>
        <v>64.820250000000001</v>
      </c>
      <c r="L56" s="979">
        <f t="shared" si="13"/>
        <v>70.276499999999984</v>
      </c>
      <c r="M56" s="979">
        <f t="shared" si="13"/>
        <v>78.570000000000007</v>
      </c>
      <c r="N56" s="979">
        <f t="shared" si="13"/>
        <v>65.474999999999994</v>
      </c>
      <c r="O56" s="979">
        <f t="shared" si="13"/>
        <v>58.927500000000002</v>
      </c>
      <c r="P56" s="979">
        <f t="shared" si="13"/>
        <v>56.963250000000009</v>
      </c>
      <c r="Q56" s="979">
        <f t="shared" si="13"/>
        <v>53.689499999999995</v>
      </c>
      <c r="R56" s="979">
        <f t="shared" si="13"/>
        <v>55.653750000000002</v>
      </c>
      <c r="S56" s="979">
        <f t="shared" si="13"/>
        <v>58.927500000000002</v>
      </c>
      <c r="T56" s="979">
        <f t="shared" si="13"/>
        <v>60.237000000000009</v>
      </c>
      <c r="U56" s="979">
        <f t="shared" si="13"/>
        <v>63.510750000000002</v>
      </c>
      <c r="V56" s="979">
        <f t="shared" si="13"/>
        <v>65.474999999999994</v>
      </c>
      <c r="W56" s="979">
        <f t="shared" si="13"/>
        <v>72.022500000000008</v>
      </c>
      <c r="X56" s="979">
        <f t="shared" si="13"/>
        <v>75.296250000000001</v>
      </c>
      <c r="Y56" s="979">
        <f t="shared" si="13"/>
        <v>78.570000000000007</v>
      </c>
      <c r="Z56" s="979">
        <f t="shared" si="13"/>
        <v>47.796750000000003</v>
      </c>
      <c r="AA56" s="979">
        <f t="shared" si="13"/>
        <v>45.177749999999996</v>
      </c>
      <c r="AB56" s="979">
        <f t="shared" si="13"/>
        <v>41.903999999999996</v>
      </c>
      <c r="AC56" s="979">
        <f t="shared" si="13"/>
        <v>38.63024999999999</v>
      </c>
      <c r="AD56" s="979">
        <f t="shared" si="13"/>
        <v>46.487250000000003</v>
      </c>
      <c r="AE56" s="979">
        <f t="shared" si="13"/>
        <v>52.379999999999988</v>
      </c>
      <c r="AF56" s="979">
        <f t="shared" si="13"/>
        <v>53.689499999999995</v>
      </c>
      <c r="AG56" s="979">
        <f t="shared" si="13"/>
        <v>54.998999999999995</v>
      </c>
      <c r="AH56" s="979">
        <f t="shared" si="13"/>
        <v>56.308500000000002</v>
      </c>
      <c r="AI56" s="979">
        <f t="shared" si="13"/>
        <v>59.946404551037816</v>
      </c>
      <c r="AJ56" s="979">
        <f t="shared" si="13"/>
        <v>51.326943749999998</v>
      </c>
      <c r="AK56" s="979">
        <f t="shared" si="13"/>
        <v>51.402240000000006</v>
      </c>
      <c r="AL56" s="979">
        <f t="shared" si="13"/>
        <v>47.796750000000003</v>
      </c>
      <c r="AM56" s="979">
        <f t="shared" si="13"/>
        <v>45.177749999999996</v>
      </c>
      <c r="AN56" s="979">
        <f t="shared" si="13"/>
        <v>41.903999999999996</v>
      </c>
      <c r="AO56" s="979">
        <f t="shared" si="13"/>
        <v>38.63024999999999</v>
      </c>
      <c r="AP56" s="979">
        <f t="shared" si="13"/>
        <v>46.487250000000003</v>
      </c>
      <c r="AQ56" s="979">
        <f t="shared" si="13"/>
        <v>52.379999999999988</v>
      </c>
      <c r="AR56" s="979">
        <f t="shared" si="13"/>
        <v>53.689499999999995</v>
      </c>
      <c r="AS56" s="979">
        <f t="shared" si="13"/>
        <v>54.998999999999995</v>
      </c>
      <c r="AT56" s="979">
        <f t="shared" si="13"/>
        <v>56.308500000000002</v>
      </c>
      <c r="AU56" s="979">
        <f t="shared" si="13"/>
        <v>55.803351062129835</v>
      </c>
      <c r="AV56" s="979">
        <f t="shared" si="13"/>
        <v>51.326943749999998</v>
      </c>
      <c r="AW56" s="979">
        <f t="shared" si="13"/>
        <v>51.402240000000006</v>
      </c>
      <c r="AX56" s="979">
        <f t="shared" si="13"/>
        <v>47.796750000000003</v>
      </c>
      <c r="AY56" s="979">
        <f t="shared" si="13"/>
        <v>45.177749999999996</v>
      </c>
      <c r="AZ56" s="979">
        <f t="shared" si="13"/>
        <v>41.903999999999996</v>
      </c>
      <c r="BA56" s="979">
        <f t="shared" si="13"/>
        <v>38.63024999999999</v>
      </c>
      <c r="BB56" s="979">
        <f t="shared" si="13"/>
        <v>46.487250000000003</v>
      </c>
      <c r="BC56" s="979">
        <f t="shared" si="13"/>
        <v>52.379999999999988</v>
      </c>
      <c r="BD56" s="979">
        <f t="shared" si="13"/>
        <v>53.689499999999995</v>
      </c>
      <c r="BE56" s="979">
        <f t="shared" si="13"/>
        <v>54.998999999999995</v>
      </c>
      <c r="BF56" s="979">
        <f t="shared" si="13"/>
        <v>56.308500000000002</v>
      </c>
      <c r="BG56" s="979">
        <f t="shared" si="13"/>
        <v>55.803351062129835</v>
      </c>
      <c r="BH56" s="979">
        <f t="shared" si="13"/>
        <v>51.326943749999998</v>
      </c>
      <c r="BI56" s="979">
        <f t="shared" si="13"/>
        <v>51.402240000000006</v>
      </c>
      <c r="BJ56" s="979">
        <f t="shared" si="13"/>
        <v>47.796750000000003</v>
      </c>
    </row>
    <row r="57" spans="2:62">
      <c r="B57" s="401" t="s">
        <v>717</v>
      </c>
      <c r="C57" s="979">
        <f>C49/C43</f>
        <v>1.17855</v>
      </c>
      <c r="D57" s="979">
        <f t="shared" ref="D57:BJ57" si="14">D49/D43</f>
        <v>2.7812143125</v>
      </c>
      <c r="E57" s="979">
        <f t="shared" si="14"/>
        <v>4.14491547234375</v>
      </c>
      <c r="F57" s="979">
        <f t="shared" si="14"/>
        <v>5.5174947819925775</v>
      </c>
      <c r="G57" s="979">
        <f t="shared" si="14"/>
        <v>6.9341293265778194</v>
      </c>
      <c r="H57" s="979">
        <f t="shared" si="14"/>
        <v>8.3401888734640401</v>
      </c>
      <c r="I57" s="979">
        <f t="shared" si="14"/>
        <v>9.7892155475764611</v>
      </c>
      <c r="J57" s="979">
        <f t="shared" si="14"/>
        <v>12.185684583994087</v>
      </c>
      <c r="K57" s="979">
        <f t="shared" si="14"/>
        <v>15.029886828808168</v>
      </c>
      <c r="L57" s="979">
        <f t="shared" si="14"/>
        <v>18.241743810909725</v>
      </c>
      <c r="M57" s="979">
        <f t="shared" si="14"/>
        <v>23.236733315782502</v>
      </c>
      <c r="N57" s="979">
        <f t="shared" si="14"/>
        <v>26.254675552864391</v>
      </c>
      <c r="O57" s="979">
        <f t="shared" si="14"/>
        <v>28.381581244472951</v>
      </c>
      <c r="P57" s="979">
        <f t="shared" si="14"/>
        <v>29.753501344738247</v>
      </c>
      <c r="Q57" s="979">
        <f t="shared" si="14"/>
        <v>31.546229890194788</v>
      </c>
      <c r="R57" s="979">
        <f t="shared" si="14"/>
        <v>33.395406505689031</v>
      </c>
      <c r="S57" s="979">
        <f t="shared" si="14"/>
        <v>34.672011180404574</v>
      </c>
      <c r="T57" s="979">
        <f t="shared" si="14"/>
        <v>37.747773652453567</v>
      </c>
      <c r="U57" s="979">
        <f t="shared" si="14"/>
        <v>39.100329910699756</v>
      </c>
      <c r="V57" s="979">
        <f t="shared" si="14"/>
        <v>42.412857237549353</v>
      </c>
      <c r="W57" s="979">
        <f t="shared" si="14"/>
        <v>44.041387589484145</v>
      </c>
      <c r="X57" s="979">
        <f t="shared" si="14"/>
        <v>47.840423432156264</v>
      </c>
      <c r="Y57" s="979">
        <f t="shared" si="14"/>
        <v>49.607374084807283</v>
      </c>
      <c r="Z57" s="979">
        <f t="shared" si="14"/>
        <v>49.503263199930856</v>
      </c>
      <c r="AA57" s="979">
        <f t="shared" si="14"/>
        <v>49.254546190934839</v>
      </c>
      <c r="AB57" s="979">
        <f t="shared" si="14"/>
        <v>48.831889784956076</v>
      </c>
      <c r="AC57" s="979">
        <f t="shared" si="14"/>
        <v>48.245295497321102</v>
      </c>
      <c r="AD57" s="979">
        <f t="shared" si="14"/>
        <v>48.144207881225135</v>
      </c>
      <c r="AE57" s="979">
        <f t="shared" si="14"/>
        <v>48.387765928054677</v>
      </c>
      <c r="AF57" s="979">
        <f t="shared" si="14"/>
        <v>48.692615637191544</v>
      </c>
      <c r="AG57" s="979">
        <f t="shared" si="14"/>
        <v>49.055232738053029</v>
      </c>
      <c r="AH57" s="979">
        <f t="shared" si="14"/>
        <v>49.472295605614988</v>
      </c>
      <c r="AI57" s="979">
        <f t="shared" si="14"/>
        <v>50.241858608292134</v>
      </c>
      <c r="AJ57" s="979">
        <f t="shared" si="14"/>
        <v>51.326943749999998</v>
      </c>
      <c r="AK57" s="979">
        <f t="shared" si="14"/>
        <v>51.402240000000006</v>
      </c>
      <c r="AL57" s="979">
        <f t="shared" si="14"/>
        <v>49.933963125000005</v>
      </c>
      <c r="AM57" s="979">
        <f t="shared" si="14"/>
        <v>49.660480870312504</v>
      </c>
      <c r="AN57" s="979">
        <f t="shared" si="14"/>
        <v>49.214483220269528</v>
      </c>
      <c r="AO57" s="979">
        <f t="shared" si="14"/>
        <v>48.605889810104031</v>
      </c>
      <c r="AP57" s="979">
        <f t="shared" si="14"/>
        <v>48.484068021023056</v>
      </c>
      <c r="AQ57" s="979">
        <f t="shared" si="14"/>
        <v>48.708084109814209</v>
      </c>
      <c r="AR57" s="979">
        <f t="shared" si="14"/>
        <v>48.994515523499899</v>
      </c>
      <c r="AS57" s="979">
        <f t="shared" si="14"/>
        <v>49.339773380898663</v>
      </c>
      <c r="AT57" s="979">
        <f t="shared" si="14"/>
        <v>49.740475161496995</v>
      </c>
      <c r="AU57" s="979">
        <f t="shared" si="14"/>
        <v>50.494617839710898</v>
      </c>
      <c r="AV57" s="979">
        <f t="shared" si="14"/>
        <v>51.326943749999998</v>
      </c>
      <c r="AW57" s="979">
        <f t="shared" si="14"/>
        <v>51.402240000000006</v>
      </c>
      <c r="AX57" s="979">
        <f t="shared" si="14"/>
        <v>49.933963125000005</v>
      </c>
      <c r="AY57" s="979">
        <f t="shared" si="14"/>
        <v>49.660480870312504</v>
      </c>
      <c r="AZ57" s="979">
        <f t="shared" si="14"/>
        <v>49.214483220269528</v>
      </c>
      <c r="BA57" s="979">
        <f t="shared" si="14"/>
        <v>48.605889810104031</v>
      </c>
      <c r="BB57" s="979">
        <f t="shared" si="14"/>
        <v>48.484068021023056</v>
      </c>
      <c r="BC57" s="979">
        <f t="shared" si="14"/>
        <v>48.708084109814209</v>
      </c>
      <c r="BD57" s="979">
        <f t="shared" si="14"/>
        <v>48.994515523499899</v>
      </c>
      <c r="BE57" s="979">
        <f t="shared" si="14"/>
        <v>49.339773380898663</v>
      </c>
      <c r="BF57" s="979">
        <f t="shared" si="14"/>
        <v>49.740475161496995</v>
      </c>
      <c r="BG57" s="979">
        <f t="shared" si="14"/>
        <v>50.494617839710898</v>
      </c>
      <c r="BH57" s="979">
        <f t="shared" si="14"/>
        <v>51.326943749999998</v>
      </c>
      <c r="BI57" s="979">
        <f t="shared" si="14"/>
        <v>51.402240000000006</v>
      </c>
      <c r="BJ57" s="979">
        <f t="shared" si="14"/>
        <v>49.933963125000005</v>
      </c>
    </row>
    <row r="58" spans="2:62">
      <c r="B58" s="401" t="s">
        <v>734</v>
      </c>
      <c r="C58" s="841">
        <f>C55+C56-C57</f>
        <v>38.114826494989238</v>
      </c>
      <c r="D58" s="841">
        <f t="shared" ref="D58:BJ58" si="15">D55+D56-D57</f>
        <v>82.802987182489233</v>
      </c>
      <c r="E58" s="841">
        <f t="shared" si="15"/>
        <v>123.39932171014549</v>
      </c>
      <c r="F58" s="841">
        <f t="shared" si="15"/>
        <v>164.2599519281529</v>
      </c>
      <c r="G58" s="841">
        <f t="shared" si="15"/>
        <v>206.4320726015751</v>
      </c>
      <c r="H58" s="841">
        <f t="shared" si="15"/>
        <v>248.28938372811106</v>
      </c>
      <c r="I58" s="841">
        <f t="shared" si="15"/>
        <v>291.42579318053458</v>
      </c>
      <c r="J58" s="841">
        <f t="shared" si="15"/>
        <v>335.9851085965405</v>
      </c>
      <c r="K58" s="841">
        <f t="shared" si="15"/>
        <v>385.77547176773231</v>
      </c>
      <c r="L58" s="841">
        <f t="shared" si="15"/>
        <v>437.81022795682259</v>
      </c>
      <c r="M58" s="841">
        <f t="shared" si="15"/>
        <v>493.14349464104015</v>
      </c>
      <c r="N58" s="841">
        <f t="shared" si="15"/>
        <v>532.36381908817577</v>
      </c>
      <c r="O58" s="841">
        <f t="shared" si="15"/>
        <v>562.90973784370283</v>
      </c>
      <c r="P58" s="841">
        <f t="shared" si="15"/>
        <v>590.11948649896465</v>
      </c>
      <c r="Q58" s="841">
        <f t="shared" si="15"/>
        <v>612.26275660876979</v>
      </c>
      <c r="R58" s="841">
        <f t="shared" si="15"/>
        <v>634.52110010308081</v>
      </c>
      <c r="S58" s="841">
        <f t="shared" si="15"/>
        <v>658.7765889226763</v>
      </c>
      <c r="T58" s="841">
        <f t="shared" si="15"/>
        <v>681.26581527022267</v>
      </c>
      <c r="U58" s="841">
        <f t="shared" si="15"/>
        <v>705.67623535952293</v>
      </c>
      <c r="V58" s="841">
        <f t="shared" si="15"/>
        <v>728.7383781219736</v>
      </c>
      <c r="W58" s="841">
        <f t="shared" si="15"/>
        <v>756.71949053248954</v>
      </c>
      <c r="X58" s="841">
        <f t="shared" si="15"/>
        <v>784.17531710033325</v>
      </c>
      <c r="Y58" s="841">
        <f t="shared" si="15"/>
        <v>813.13794301552605</v>
      </c>
      <c r="Z58" s="841">
        <f t="shared" si="15"/>
        <v>811.43142981559515</v>
      </c>
      <c r="AA58" s="841">
        <f t="shared" si="15"/>
        <v>807.35463362466021</v>
      </c>
      <c r="AB58" s="841">
        <f t="shared" si="15"/>
        <v>800.42674383970416</v>
      </c>
      <c r="AC58" s="841">
        <f t="shared" si="15"/>
        <v>790.81169834238301</v>
      </c>
      <c r="AD58" s="841">
        <f t="shared" si="15"/>
        <v>789.15474046115787</v>
      </c>
      <c r="AE58" s="841">
        <f t="shared" si="15"/>
        <v>793.14697453310316</v>
      </c>
      <c r="AF58" s="841">
        <f t="shared" si="15"/>
        <v>798.14385889591154</v>
      </c>
      <c r="AG58" s="841">
        <f t="shared" si="15"/>
        <v>804.08762615785849</v>
      </c>
      <c r="AH58" s="841">
        <f t="shared" si="15"/>
        <v>810.92383055224354</v>
      </c>
      <c r="AI58" s="841">
        <f t="shared" si="15"/>
        <v>820.62837649498931</v>
      </c>
      <c r="AJ58" s="841">
        <f t="shared" si="15"/>
        <v>820.6283764949892</v>
      </c>
      <c r="AK58" s="841">
        <f t="shared" si="15"/>
        <v>820.6283764949892</v>
      </c>
      <c r="AL58" s="841">
        <f t="shared" si="15"/>
        <v>818.49116336998918</v>
      </c>
      <c r="AM58" s="841">
        <f t="shared" si="15"/>
        <v>814.00843249967659</v>
      </c>
      <c r="AN58" s="841">
        <f t="shared" si="15"/>
        <v>806.69794927940711</v>
      </c>
      <c r="AO58" s="841">
        <f t="shared" si="15"/>
        <v>796.72230946930301</v>
      </c>
      <c r="AP58" s="841">
        <f t="shared" si="15"/>
        <v>794.72549144827997</v>
      </c>
      <c r="AQ58" s="841">
        <f t="shared" si="15"/>
        <v>798.39740733846577</v>
      </c>
      <c r="AR58" s="841">
        <f t="shared" si="15"/>
        <v>803.09239181496582</v>
      </c>
      <c r="AS58" s="841">
        <f t="shared" si="15"/>
        <v>808.75161843406715</v>
      </c>
      <c r="AT58" s="841">
        <f t="shared" si="15"/>
        <v>815.31964327257015</v>
      </c>
      <c r="AU58" s="841">
        <f t="shared" si="15"/>
        <v>820.62837649498908</v>
      </c>
      <c r="AV58" s="841">
        <f t="shared" si="15"/>
        <v>820.62837649498897</v>
      </c>
      <c r="AW58" s="841">
        <f t="shared" si="15"/>
        <v>820.62837649498897</v>
      </c>
      <c r="AX58" s="841">
        <f t="shared" si="15"/>
        <v>818.49116336998895</v>
      </c>
      <c r="AY58" s="841">
        <f t="shared" si="15"/>
        <v>814.00843249967636</v>
      </c>
      <c r="AZ58" s="841">
        <f t="shared" si="15"/>
        <v>806.69794927940688</v>
      </c>
      <c r="BA58" s="841">
        <f t="shared" si="15"/>
        <v>796.72230946930279</v>
      </c>
      <c r="BB58" s="841">
        <f t="shared" si="15"/>
        <v>794.72549144827974</v>
      </c>
      <c r="BC58" s="841">
        <f t="shared" si="15"/>
        <v>798.39740733846554</v>
      </c>
      <c r="BD58" s="841">
        <f t="shared" si="15"/>
        <v>803.09239181496559</v>
      </c>
      <c r="BE58" s="841">
        <f t="shared" si="15"/>
        <v>808.75161843406693</v>
      </c>
      <c r="BF58" s="841">
        <f t="shared" si="15"/>
        <v>815.31964327256992</v>
      </c>
      <c r="BG58" s="841">
        <f t="shared" si="15"/>
        <v>820.62837649498886</v>
      </c>
      <c r="BH58" s="841">
        <f t="shared" si="15"/>
        <v>820.62837649498874</v>
      </c>
      <c r="BI58" s="841">
        <f t="shared" si="15"/>
        <v>820.62837649498874</v>
      </c>
      <c r="BJ58" s="841">
        <f t="shared" si="15"/>
        <v>818.49116336998873</v>
      </c>
    </row>
    <row r="59" spans="2:62">
      <c r="B59" s="401" t="s">
        <v>719</v>
      </c>
      <c r="C59" s="977">
        <f>C58/C42</f>
        <v>4.3659595068716195E-2</v>
      </c>
      <c r="D59" s="977">
        <f t="shared" ref="D59:BJ59" si="16">D58/D42</f>
        <v>9.4848782568716192E-2</v>
      </c>
      <c r="E59" s="977">
        <f t="shared" si="16"/>
        <v>0.1413508839749662</v>
      </c>
      <c r="F59" s="977">
        <f t="shared" si="16"/>
        <v>0.18815572958551305</v>
      </c>
      <c r="G59" s="977">
        <f t="shared" si="16"/>
        <v>0.23646285521371718</v>
      </c>
      <c r="H59" s="977">
        <f t="shared" si="16"/>
        <v>0.28440937425900464</v>
      </c>
      <c r="I59" s="977">
        <f t="shared" si="16"/>
        <v>0.33382106893532026</v>
      </c>
      <c r="J59" s="977">
        <f t="shared" si="16"/>
        <v>0.38486266734998914</v>
      </c>
      <c r="K59" s="977">
        <f t="shared" si="16"/>
        <v>0.44189630213944137</v>
      </c>
      <c r="L59" s="977">
        <f t="shared" si="16"/>
        <v>0.50150083385661237</v>
      </c>
      <c r="M59" s="977">
        <f t="shared" si="16"/>
        <v>0.56488372811115706</v>
      </c>
      <c r="N59" s="977">
        <f t="shared" si="16"/>
        <v>0.60980964385816239</v>
      </c>
      <c r="O59" s="977">
        <f t="shared" si="16"/>
        <v>0.64479924151626899</v>
      </c>
      <c r="P59" s="977">
        <f t="shared" si="16"/>
        <v>0.67596733848678658</v>
      </c>
      <c r="Q59" s="977">
        <f t="shared" si="16"/>
        <v>0.70133190905930098</v>
      </c>
      <c r="R59" s="977">
        <f t="shared" si="16"/>
        <v>0.72682829335977184</v>
      </c>
      <c r="S59" s="977">
        <f t="shared" si="16"/>
        <v>0.75461235844521912</v>
      </c>
      <c r="T59" s="977">
        <f t="shared" si="16"/>
        <v>0.78037321336795262</v>
      </c>
      <c r="U59" s="977">
        <f t="shared" si="16"/>
        <v>0.80833474840724273</v>
      </c>
      <c r="V59" s="977">
        <f t="shared" si="16"/>
        <v>0.83475186497362386</v>
      </c>
      <c r="W59" s="977">
        <f t="shared" si="16"/>
        <v>0.86680354012885397</v>
      </c>
      <c r="X59" s="977">
        <f t="shared" si="16"/>
        <v>0.89825351328789604</v>
      </c>
      <c r="Y59" s="977">
        <f t="shared" si="16"/>
        <v>0.93142948799029335</v>
      </c>
      <c r="Z59" s="977">
        <f t="shared" si="16"/>
        <v>0.92947471914730262</v>
      </c>
      <c r="AA59" s="977">
        <f t="shared" si="16"/>
        <v>0.92480484951278374</v>
      </c>
      <c r="AB59" s="977">
        <f t="shared" si="16"/>
        <v>0.91686912238224993</v>
      </c>
      <c r="AC59" s="977">
        <f t="shared" si="16"/>
        <v>0.90585532456172169</v>
      </c>
      <c r="AD59" s="977">
        <f t="shared" si="16"/>
        <v>0.90395732011587382</v>
      </c>
      <c r="AE59" s="977">
        <f t="shared" si="16"/>
        <v>0.9085303259256623</v>
      </c>
      <c r="AF59" s="977">
        <f t="shared" si="16"/>
        <v>0.91425413390138777</v>
      </c>
      <c r="AG59" s="977">
        <f t="shared" si="16"/>
        <v>0.92106257291850913</v>
      </c>
      <c r="AH59" s="977">
        <f t="shared" si="16"/>
        <v>0.92889327669214605</v>
      </c>
      <c r="AI59" s="977">
        <f t="shared" si="16"/>
        <v>0.94000959506871629</v>
      </c>
      <c r="AJ59" s="977">
        <f t="shared" si="16"/>
        <v>0.94000959506871617</v>
      </c>
      <c r="AK59" s="977">
        <f t="shared" si="16"/>
        <v>0.94000959506871617</v>
      </c>
      <c r="AL59" s="977">
        <f t="shared" si="16"/>
        <v>0.93756147006871615</v>
      </c>
      <c r="AM59" s="977">
        <f t="shared" si="16"/>
        <v>0.93242661225621604</v>
      </c>
      <c r="AN59" s="977">
        <f t="shared" si="16"/>
        <v>0.92405263376793478</v>
      </c>
      <c r="AO59" s="977">
        <f t="shared" si="16"/>
        <v>0.91262578404272965</v>
      </c>
      <c r="AP59" s="977">
        <f t="shared" si="16"/>
        <v>0.91033847817672386</v>
      </c>
      <c r="AQ59" s="977">
        <f t="shared" si="16"/>
        <v>0.91454456739801349</v>
      </c>
      <c r="AR59" s="977">
        <f t="shared" si="16"/>
        <v>0.91992255648907884</v>
      </c>
      <c r="AS59" s="977">
        <f t="shared" si="16"/>
        <v>0.92640506120740795</v>
      </c>
      <c r="AT59" s="977">
        <f t="shared" si="16"/>
        <v>0.93392857190443312</v>
      </c>
      <c r="AU59" s="977">
        <f t="shared" si="16"/>
        <v>0.94000959506871606</v>
      </c>
      <c r="AV59" s="977">
        <f t="shared" si="16"/>
        <v>0.94000959506871584</v>
      </c>
      <c r="AW59" s="977">
        <f t="shared" si="16"/>
        <v>0.94000959506871584</v>
      </c>
      <c r="AX59" s="977">
        <f t="shared" si="16"/>
        <v>0.93756147006871582</v>
      </c>
      <c r="AY59" s="977">
        <f t="shared" si="16"/>
        <v>0.93242661225621581</v>
      </c>
      <c r="AZ59" s="977">
        <f t="shared" si="16"/>
        <v>0.92405263376793456</v>
      </c>
      <c r="BA59" s="977">
        <f t="shared" si="16"/>
        <v>0.91262578404272943</v>
      </c>
      <c r="BB59" s="977">
        <f t="shared" si="16"/>
        <v>0.91033847817672364</v>
      </c>
      <c r="BC59" s="977">
        <f t="shared" si="16"/>
        <v>0.91454456739801326</v>
      </c>
      <c r="BD59" s="977">
        <f t="shared" si="16"/>
        <v>0.91992255648907861</v>
      </c>
      <c r="BE59" s="977">
        <f t="shared" si="16"/>
        <v>0.92640506120740773</v>
      </c>
      <c r="BF59" s="977">
        <f t="shared" si="16"/>
        <v>0.9339285719044329</v>
      </c>
      <c r="BG59" s="977">
        <f t="shared" si="16"/>
        <v>0.94000959506871573</v>
      </c>
      <c r="BH59" s="977">
        <f t="shared" si="16"/>
        <v>0.94000959506871562</v>
      </c>
      <c r="BI59" s="977">
        <f t="shared" si="16"/>
        <v>0.94000959506871562</v>
      </c>
      <c r="BJ59" s="977">
        <f t="shared" si="16"/>
        <v>0.9375614700687156</v>
      </c>
    </row>
    <row r="60" spans="2:62">
      <c r="O60" s="839"/>
      <c r="Z60" s="840"/>
      <c r="AM60" s="839"/>
      <c r="AX60" s="840"/>
    </row>
    <row r="61" spans="2:62">
      <c r="B61" s="4" t="s">
        <v>735</v>
      </c>
      <c r="O61" s="983"/>
      <c r="Z61" s="984"/>
      <c r="AL61" s="429"/>
      <c r="AM61" s="839"/>
      <c r="AX61" s="840"/>
    </row>
    <row r="62" spans="2:62" s="1098" customFormat="1">
      <c r="B62" s="1096" t="s">
        <v>736</v>
      </c>
      <c r="C62" s="1105">
        <v>3.1577687497827567</v>
      </c>
      <c r="D62" s="1105">
        <v>3.1022455262103046</v>
      </c>
      <c r="E62" s="1105">
        <v>3.0781628628168627</v>
      </c>
      <c r="F62" s="1105">
        <v>3.0539425413670815</v>
      </c>
      <c r="G62" s="1105">
        <v>3.0933647457467823</v>
      </c>
      <c r="H62" s="1105">
        <v>3.1649318345740087</v>
      </c>
      <c r="I62" s="1105">
        <v>3.2368331155473835</v>
      </c>
      <c r="J62" s="1105">
        <v>3.309069801777027</v>
      </c>
      <c r="K62" s="1105">
        <v>3.3816431103240503</v>
      </c>
      <c r="L62" s="1105">
        <v>3.4222687083602161</v>
      </c>
      <c r="M62" s="1105">
        <v>3.4307089462283455</v>
      </c>
      <c r="N62" s="1105">
        <v>3.3742800000000002</v>
      </c>
      <c r="O62" s="1106">
        <v>3.2525018122762392</v>
      </c>
      <c r="P62" s="1105">
        <v>3.1953128919966143</v>
      </c>
      <c r="Q62" s="1105">
        <v>3.1705077487013691</v>
      </c>
      <c r="R62" s="1105">
        <v>3.1455608176080943</v>
      </c>
      <c r="S62" s="1105">
        <v>3.186165688119186</v>
      </c>
      <c r="T62" s="1105">
        <v>3.259879789611229</v>
      </c>
      <c r="U62" s="1105">
        <v>3.3339381090138058</v>
      </c>
      <c r="V62" s="1105">
        <v>3.4083418958303375</v>
      </c>
      <c r="W62" s="1105">
        <v>3.4830924036337723</v>
      </c>
      <c r="X62" s="1105">
        <v>3.5249367696110232</v>
      </c>
      <c r="Y62" s="1105">
        <v>3.5336302146151959</v>
      </c>
      <c r="Z62" s="1107">
        <v>3.4755083999999998</v>
      </c>
      <c r="AA62" s="1105">
        <v>3.350076866644526</v>
      </c>
      <c r="AB62" s="1105">
        <v>3.291172278756513</v>
      </c>
      <c r="AC62" s="1105">
        <v>3.26562298116241</v>
      </c>
      <c r="AD62" s="1105">
        <v>3.2399276421363377</v>
      </c>
      <c r="AE62" s="1105">
        <v>3.2817506587627618</v>
      </c>
      <c r="AF62" s="1105">
        <v>3.3576761832995659</v>
      </c>
      <c r="AG62" s="1105">
        <v>3.4339562522842195</v>
      </c>
      <c r="AH62" s="1105">
        <v>3.5105921527052484</v>
      </c>
      <c r="AI62" s="1105">
        <v>3.5875851757427855</v>
      </c>
      <c r="AJ62" s="1105">
        <v>3.6306848726993537</v>
      </c>
      <c r="AK62" s="1105">
        <v>3.6396391210536523</v>
      </c>
      <c r="AL62" s="1105">
        <v>3.5797736520000001</v>
      </c>
      <c r="AM62" s="1106">
        <v>3.4505791726438622</v>
      </c>
      <c r="AN62" s="1105">
        <v>3.3899074471192079</v>
      </c>
      <c r="AO62" s="1105">
        <v>3.3635916705972821</v>
      </c>
      <c r="AP62" s="1105">
        <v>3.3371254714004275</v>
      </c>
      <c r="AQ62" s="1105">
        <v>3.3802031785256443</v>
      </c>
      <c r="AR62" s="1105">
        <v>3.458406468798553</v>
      </c>
      <c r="AS62" s="1105">
        <v>3.5369749398527466</v>
      </c>
      <c r="AT62" s="1105">
        <v>3.6159099172864058</v>
      </c>
      <c r="AU62" s="1105">
        <v>3.6952127310150695</v>
      </c>
      <c r="AV62" s="1105">
        <v>3.7396054188803349</v>
      </c>
      <c r="AW62" s="1105">
        <v>3.748828294685262</v>
      </c>
      <c r="AX62" s="1107">
        <v>3.6871668615600002</v>
      </c>
      <c r="AY62" s="1105">
        <v>3.5540965478231779</v>
      </c>
      <c r="AZ62" s="1105">
        <v>3.4916046705327846</v>
      </c>
      <c r="BA62" s="1105">
        <v>3.4644994207152009</v>
      </c>
      <c r="BB62" s="1105">
        <v>3.4372392355424406</v>
      </c>
      <c r="BC62" s="1105">
        <v>3.4816092738814142</v>
      </c>
      <c r="BD62" s="1105">
        <v>3.5621586628625095</v>
      </c>
      <c r="BE62" s="1105">
        <v>3.6430841880483289</v>
      </c>
      <c r="BF62" s="1105">
        <v>3.7243872148049975</v>
      </c>
      <c r="BG62" s="1105">
        <v>3.8060691129455213</v>
      </c>
      <c r="BH62" s="1105">
        <v>3.8517935814467448</v>
      </c>
      <c r="BI62" s="1105">
        <v>3.8612931435258195</v>
      </c>
      <c r="BJ62" s="1105">
        <v>3.7977818674067993</v>
      </c>
    </row>
    <row r="63" spans="2:62">
      <c r="B63" s="401" t="s">
        <v>737</v>
      </c>
      <c r="C63" s="986">
        <f>C64/C62</f>
        <v>0.65</v>
      </c>
      <c r="D63" s="986">
        <f t="shared" ref="D63:BJ63" si="17">D64/D62</f>
        <v>0.65</v>
      </c>
      <c r="E63" s="986">
        <f t="shared" si="17"/>
        <v>0.65</v>
      </c>
      <c r="F63" s="986">
        <f t="shared" si="17"/>
        <v>0.66999999999999993</v>
      </c>
      <c r="G63" s="986">
        <f t="shared" si="17"/>
        <v>0.69</v>
      </c>
      <c r="H63" s="986">
        <f t="shared" si="17"/>
        <v>0.70999999999999985</v>
      </c>
      <c r="I63" s="986">
        <f t="shared" si="17"/>
        <v>0.73</v>
      </c>
      <c r="J63" s="986">
        <f t="shared" si="17"/>
        <v>0.74999999999999989</v>
      </c>
      <c r="K63" s="986">
        <f t="shared" si="17"/>
        <v>0.77</v>
      </c>
      <c r="L63" s="986">
        <f t="shared" si="17"/>
        <v>0.79</v>
      </c>
      <c r="M63" s="986">
        <f t="shared" si="17"/>
        <v>0.83</v>
      </c>
      <c r="N63" s="986">
        <f t="shared" si="17"/>
        <v>0.85</v>
      </c>
      <c r="O63" s="986">
        <f t="shared" si="17"/>
        <v>0.87</v>
      </c>
      <c r="P63" s="986">
        <f t="shared" si="17"/>
        <v>0.87</v>
      </c>
      <c r="Q63" s="986">
        <f t="shared" si="17"/>
        <v>0.88500000000000012</v>
      </c>
      <c r="R63" s="986">
        <f t="shared" si="17"/>
        <v>0.89500000000000002</v>
      </c>
      <c r="S63" s="986">
        <f t="shared" si="17"/>
        <v>0.89500000000000002</v>
      </c>
      <c r="T63" s="986">
        <f t="shared" si="17"/>
        <v>0.9</v>
      </c>
      <c r="U63" s="986">
        <f t="shared" si="17"/>
        <v>0.90000000000000013</v>
      </c>
      <c r="V63" s="986">
        <f t="shared" si="17"/>
        <v>0.95</v>
      </c>
      <c r="W63" s="986">
        <f t="shared" si="17"/>
        <v>0.95</v>
      </c>
      <c r="X63" s="986">
        <f t="shared" si="17"/>
        <v>1</v>
      </c>
      <c r="Y63" s="986">
        <f t="shared" si="17"/>
        <v>1</v>
      </c>
      <c r="Z63" s="986">
        <f t="shared" si="17"/>
        <v>1.02</v>
      </c>
      <c r="AA63" s="986">
        <f t="shared" si="17"/>
        <v>1.02</v>
      </c>
      <c r="AB63" s="986">
        <f t="shared" si="17"/>
        <v>1.02</v>
      </c>
      <c r="AC63" s="986">
        <f t="shared" si="17"/>
        <v>1.02</v>
      </c>
      <c r="AD63" s="986">
        <f t="shared" si="17"/>
        <v>1.02</v>
      </c>
      <c r="AE63" s="986">
        <f t="shared" si="17"/>
        <v>1.02</v>
      </c>
      <c r="AF63" s="986">
        <f t="shared" si="17"/>
        <v>1.02</v>
      </c>
      <c r="AG63" s="986">
        <f t="shared" si="17"/>
        <v>1.02</v>
      </c>
      <c r="AH63" s="986">
        <f t="shared" si="17"/>
        <v>1.02</v>
      </c>
      <c r="AI63" s="986">
        <f t="shared" si="17"/>
        <v>1.02</v>
      </c>
      <c r="AJ63" s="986">
        <f t="shared" si="17"/>
        <v>1.02</v>
      </c>
      <c r="AK63" s="986">
        <f t="shared" si="17"/>
        <v>1.02</v>
      </c>
      <c r="AL63" s="986">
        <f t="shared" si="17"/>
        <v>1.02</v>
      </c>
      <c r="AM63" s="986">
        <f t="shared" si="17"/>
        <v>1.02</v>
      </c>
      <c r="AN63" s="986">
        <f t="shared" si="17"/>
        <v>1.02</v>
      </c>
      <c r="AO63" s="986">
        <f t="shared" si="17"/>
        <v>1.02</v>
      </c>
      <c r="AP63" s="986">
        <f t="shared" si="17"/>
        <v>1.02</v>
      </c>
      <c r="AQ63" s="986">
        <f t="shared" si="17"/>
        <v>1.02</v>
      </c>
      <c r="AR63" s="986">
        <f t="shared" si="17"/>
        <v>1.02</v>
      </c>
      <c r="AS63" s="986">
        <f t="shared" si="17"/>
        <v>1.02</v>
      </c>
      <c r="AT63" s="986">
        <f t="shared" si="17"/>
        <v>1.02</v>
      </c>
      <c r="AU63" s="986">
        <f t="shared" si="17"/>
        <v>1.02</v>
      </c>
      <c r="AV63" s="986">
        <f t="shared" si="17"/>
        <v>1.02</v>
      </c>
      <c r="AW63" s="986">
        <f t="shared" si="17"/>
        <v>1.02</v>
      </c>
      <c r="AX63" s="986">
        <f t="shared" si="17"/>
        <v>1.02</v>
      </c>
      <c r="AY63" s="986">
        <f t="shared" si="17"/>
        <v>1.02</v>
      </c>
      <c r="AZ63" s="986">
        <f t="shared" si="17"/>
        <v>1.02</v>
      </c>
      <c r="BA63" s="986">
        <f t="shared" si="17"/>
        <v>1.02</v>
      </c>
      <c r="BB63" s="986">
        <f t="shared" si="17"/>
        <v>1.02</v>
      </c>
      <c r="BC63" s="986">
        <f t="shared" si="17"/>
        <v>1.02</v>
      </c>
      <c r="BD63" s="986">
        <f t="shared" si="17"/>
        <v>1.02</v>
      </c>
      <c r="BE63" s="986">
        <f t="shared" si="17"/>
        <v>1.02</v>
      </c>
      <c r="BF63" s="986">
        <f t="shared" si="17"/>
        <v>1.02</v>
      </c>
      <c r="BG63" s="986">
        <f t="shared" si="17"/>
        <v>1.02</v>
      </c>
      <c r="BH63" s="986">
        <f t="shared" si="17"/>
        <v>1.02</v>
      </c>
      <c r="BI63" s="986">
        <f t="shared" si="17"/>
        <v>1.02</v>
      </c>
      <c r="BJ63" s="986">
        <f t="shared" si="17"/>
        <v>1.02</v>
      </c>
    </row>
    <row r="64" spans="2:62">
      <c r="B64" s="401" t="s">
        <v>738</v>
      </c>
      <c r="C64" s="985">
        <v>2.0525496873587921</v>
      </c>
      <c r="D64" s="985">
        <v>2.0164595920366981</v>
      </c>
      <c r="E64" s="985">
        <v>2.0008058608309609</v>
      </c>
      <c r="F64" s="985">
        <v>2.0461415027159444</v>
      </c>
      <c r="G64" s="985">
        <v>2.1344216745652798</v>
      </c>
      <c r="H64" s="985">
        <v>2.2471016025475459</v>
      </c>
      <c r="I64" s="985">
        <v>2.3628881743495898</v>
      </c>
      <c r="J64" s="985">
        <v>2.4818023513327701</v>
      </c>
      <c r="K64" s="985">
        <v>2.6038651949495186</v>
      </c>
      <c r="L64" s="985">
        <v>2.703592279604571</v>
      </c>
      <c r="M64" s="985">
        <v>2.8474884253695265</v>
      </c>
      <c r="N64" s="985">
        <v>2.8681380000000001</v>
      </c>
      <c r="O64" s="1142">
        <v>2.829676576680328</v>
      </c>
      <c r="P64" s="985">
        <v>2.7799222160370545</v>
      </c>
      <c r="Q64" s="985">
        <v>2.8058993576007119</v>
      </c>
      <c r="R64" s="985">
        <v>2.8152769317592443</v>
      </c>
      <c r="S64" s="985">
        <v>2.8516182908666714</v>
      </c>
      <c r="T64" s="985">
        <v>2.9338918106501062</v>
      </c>
      <c r="U64" s="985">
        <v>3.0005442981124255</v>
      </c>
      <c r="V64" s="985">
        <v>3.2379248010388206</v>
      </c>
      <c r="W64" s="985">
        <v>3.3089377834520834</v>
      </c>
      <c r="X64" s="985">
        <v>3.5249367696110232</v>
      </c>
      <c r="Y64" s="985">
        <v>3.5336302146151959</v>
      </c>
      <c r="Z64" s="1143">
        <v>3.5450185679999997</v>
      </c>
      <c r="AA64" s="985">
        <v>3.4170784039774165</v>
      </c>
      <c r="AB64" s="985">
        <v>3.3569957243316435</v>
      </c>
      <c r="AC64" s="985">
        <v>3.3309354407856584</v>
      </c>
      <c r="AD64" s="985">
        <v>3.3047261949790645</v>
      </c>
      <c r="AE64" s="985">
        <v>3.3473856719380173</v>
      </c>
      <c r="AF64" s="985">
        <v>3.4248297069655571</v>
      </c>
      <c r="AG64" s="985">
        <v>3.5026353773299039</v>
      </c>
      <c r="AH64" s="985">
        <v>3.5808039957593536</v>
      </c>
      <c r="AI64" s="985">
        <v>3.6593368792576411</v>
      </c>
      <c r="AJ64" s="985">
        <v>3.7032985701533407</v>
      </c>
      <c r="AK64" s="985">
        <v>3.7124319034747253</v>
      </c>
      <c r="AL64" s="985">
        <v>3.65136912504</v>
      </c>
      <c r="AM64" s="1142">
        <v>3.5195907560967394</v>
      </c>
      <c r="AN64" s="985">
        <v>3.4577055960615919</v>
      </c>
      <c r="AO64" s="985">
        <v>3.4308635040092277</v>
      </c>
      <c r="AP64" s="985">
        <v>3.4038679808284362</v>
      </c>
      <c r="AQ64" s="985">
        <v>3.4478072420961574</v>
      </c>
      <c r="AR64" s="985">
        <v>3.5275745981745241</v>
      </c>
      <c r="AS64" s="985">
        <v>3.6077144386498015</v>
      </c>
      <c r="AT64" s="985">
        <v>3.6882281156321342</v>
      </c>
      <c r="AU64" s="985">
        <v>3.769116985635371</v>
      </c>
      <c r="AV64" s="985">
        <v>3.8143975272579418</v>
      </c>
      <c r="AW64" s="985">
        <v>3.8238048605789672</v>
      </c>
      <c r="AX64" s="1143">
        <v>3.7609101987912004</v>
      </c>
      <c r="AY64" s="985">
        <v>3.6251784787796413</v>
      </c>
      <c r="AZ64" s="985">
        <v>3.5614367639434401</v>
      </c>
      <c r="BA64" s="985">
        <v>3.533789409129505</v>
      </c>
      <c r="BB64" s="985">
        <v>3.5059840202532895</v>
      </c>
      <c r="BC64" s="985">
        <v>3.5512414593590425</v>
      </c>
      <c r="BD64" s="985">
        <v>3.6334018361197598</v>
      </c>
      <c r="BE64" s="985">
        <v>3.7159458718092955</v>
      </c>
      <c r="BF64" s="985">
        <v>3.7988749591010973</v>
      </c>
      <c r="BG64" s="985">
        <v>3.8821904952044317</v>
      </c>
      <c r="BH64" s="985">
        <v>3.9288294530756795</v>
      </c>
      <c r="BI64" s="985">
        <v>3.9385190063963358</v>
      </c>
      <c r="BJ64" s="985">
        <v>3.8737375047549354</v>
      </c>
    </row>
    <row r="65" spans="2:62">
      <c r="C65" s="985"/>
      <c r="O65" s="839"/>
      <c r="Z65" s="840"/>
      <c r="AM65" s="839"/>
      <c r="AX65" s="840"/>
    </row>
    <row r="66" spans="2:62">
      <c r="B66" s="4" t="s">
        <v>739</v>
      </c>
      <c r="I66" s="987"/>
      <c r="O66" s="839"/>
      <c r="Z66" s="840"/>
      <c r="AM66" s="839"/>
      <c r="AX66" s="840"/>
    </row>
    <row r="67" spans="2:62">
      <c r="B67" s="401" t="s">
        <v>740</v>
      </c>
      <c r="C67" s="979">
        <v>0</v>
      </c>
      <c r="D67" s="979">
        <f>C78</f>
        <v>6424.0325157148818</v>
      </c>
      <c r="E67" s="979">
        <f t="shared" ref="E67:BJ67" si="18">D78</f>
        <v>13823.527970569683</v>
      </c>
      <c r="F67" s="979">
        <f t="shared" si="18"/>
        <v>20493.313630470635</v>
      </c>
      <c r="G67" s="979">
        <f t="shared" si="18"/>
        <v>27358.634332111757</v>
      </c>
      <c r="H67" s="979">
        <f t="shared" si="18"/>
        <v>34750.018360783688</v>
      </c>
      <c r="I67" s="979">
        <f t="shared" si="18"/>
        <v>42473.518165445166</v>
      </c>
      <c r="J67" s="979">
        <f t="shared" si="18"/>
        <v>51862.841365062297</v>
      </c>
      <c r="K67" s="979">
        <f t="shared" si="18"/>
        <v>62154.118469845707</v>
      </c>
      <c r="L67" s="979">
        <f t="shared" si="18"/>
        <v>73932.074994697643</v>
      </c>
      <c r="M67" s="979">
        <f t="shared" si="18"/>
        <v>86598.319712540266</v>
      </c>
      <c r="N67" s="979">
        <f t="shared" si="18"/>
        <v>100672.44203466328</v>
      </c>
      <c r="O67" s="979">
        <f t="shared" si="18"/>
        <v>111132.09090304306</v>
      </c>
      <c r="P67" s="979">
        <f t="shared" si="18"/>
        <v>119472.2198228964</v>
      </c>
      <c r="Q67" s="979">
        <f t="shared" si="18"/>
        <v>126955.50501934635</v>
      </c>
      <c r="R67" s="979">
        <f t="shared" si="18"/>
        <v>133581.97973431132</v>
      </c>
      <c r="S67" s="979">
        <f t="shared" si="18"/>
        <v>140750.17794653398</v>
      </c>
      <c r="T67" s="979">
        <f t="shared" si="18"/>
        <v>148613.99055393139</v>
      </c>
      <c r="U67" s="979">
        <f t="shared" si="18"/>
        <v>155750.08382966858</v>
      </c>
      <c r="V67" s="979">
        <f t="shared" si="18"/>
        <v>163201.2127189062</v>
      </c>
      <c r="W67" s="979">
        <f t="shared" si="18"/>
        <v>170747.19124168536</v>
      </c>
      <c r="X67" s="979">
        <f t="shared" si="18"/>
        <v>179764.78847906191</v>
      </c>
      <c r="Y67" s="979">
        <f t="shared" si="18"/>
        <v>189114.57437362909</v>
      </c>
      <c r="Z67" s="979">
        <f t="shared" si="18"/>
        <v>199056.34769191622</v>
      </c>
      <c r="AA67" s="979">
        <f t="shared" si="18"/>
        <v>200280.22331111631</v>
      </c>
      <c r="AB67" s="979">
        <f t="shared" si="18"/>
        <v>201202.7458549162</v>
      </c>
      <c r="AC67" s="979">
        <f t="shared" si="18"/>
        <v>201501.36521439892</v>
      </c>
      <c r="AD67" s="979">
        <f t="shared" si="18"/>
        <v>200965.364994984</v>
      </c>
      <c r="AE67" s="979">
        <f t="shared" si="18"/>
        <v>202609.95527066884</v>
      </c>
      <c r="AF67" s="979">
        <f t="shared" si="18"/>
        <v>205853.64602870421</v>
      </c>
      <c r="AG67" s="979">
        <f t="shared" si="18"/>
        <v>208757.52630123703</v>
      </c>
      <c r="AH67" s="979">
        <f t="shared" si="18"/>
        <v>211919.97422183651</v>
      </c>
      <c r="AI67" s="979">
        <f t="shared" si="18"/>
        <v>215383.98859169742</v>
      </c>
      <c r="AJ67" s="979">
        <f t="shared" si="18"/>
        <v>219813.68631126473</v>
      </c>
      <c r="AK67" s="979">
        <f t="shared" si="18"/>
        <v>221520.54204695721</v>
      </c>
      <c r="AL67" s="979">
        <f t="shared" si="18"/>
        <v>223401.60585057575</v>
      </c>
      <c r="AM67" s="979">
        <f t="shared" si="18"/>
        <v>224660.70744750201</v>
      </c>
      <c r="AN67" s="979">
        <f t="shared" si="18"/>
        <v>225160.5088685838</v>
      </c>
      <c r="AO67" s="979">
        <f t="shared" si="18"/>
        <v>224548.40180426906</v>
      </c>
      <c r="AP67" s="979">
        <f t="shared" si="18"/>
        <v>223197.59121843055</v>
      </c>
      <c r="AQ67" s="979">
        <f t="shared" si="18"/>
        <v>224090.25078875566</v>
      </c>
      <c r="AR67" s="979">
        <f t="shared" si="18"/>
        <v>226586.41236965149</v>
      </c>
      <c r="AS67" s="979">
        <f t="shared" si="18"/>
        <v>229419.19763003118</v>
      </c>
      <c r="AT67" s="979">
        <f t="shared" si="18"/>
        <v>232586.94475120996</v>
      </c>
      <c r="AU67" s="979">
        <f t="shared" si="18"/>
        <v>236087.93339209096</v>
      </c>
      <c r="AV67" s="979">
        <f t="shared" si="18"/>
        <v>239265.55436589714</v>
      </c>
      <c r="AW67" s="979">
        <f t="shared" si="18"/>
        <v>240820.78046927549</v>
      </c>
      <c r="AX67" s="979">
        <f t="shared" si="18"/>
        <v>242386.11554232577</v>
      </c>
      <c r="AY67" s="979">
        <f t="shared" si="18"/>
        <v>243301.59951114102</v>
      </c>
      <c r="AZ67" s="979">
        <f t="shared" si="18"/>
        <v>243548.64107322821</v>
      </c>
      <c r="BA67" s="979">
        <f t="shared" si="18"/>
        <v>242993.78735708483</v>
      </c>
      <c r="BB67" s="979">
        <f t="shared" si="18"/>
        <v>241678.56052141267</v>
      </c>
      <c r="BC67" s="979">
        <f t="shared" si="18"/>
        <v>242674.60264902932</v>
      </c>
      <c r="BD67" s="979">
        <f t="shared" si="18"/>
        <v>245322.74976554004</v>
      </c>
      <c r="BE67" s="979">
        <f t="shared" si="18"/>
        <v>248318.12042639236</v>
      </c>
      <c r="BF67" s="979">
        <f t="shared" si="18"/>
        <v>251659.00621584503</v>
      </c>
      <c r="BG67" s="979">
        <f t="shared" si="18"/>
        <v>255343.63846124616</v>
      </c>
      <c r="BH67" s="979">
        <f t="shared" si="18"/>
        <v>258695.71300020456</v>
      </c>
      <c r="BI67" s="979">
        <f t="shared" si="18"/>
        <v>260377.23513470587</v>
      </c>
      <c r="BJ67" s="979">
        <f t="shared" si="18"/>
        <v>262069.68716308143</v>
      </c>
    </row>
    <row r="68" spans="2:62">
      <c r="B68" s="401" t="s">
        <v>741</v>
      </c>
      <c r="C68" s="979">
        <f>C47*C64</f>
        <v>6622.6702695136846</v>
      </c>
      <c r="D68" s="979">
        <f>D47*D64</f>
        <v>7860.0107758641361</v>
      </c>
      <c r="E68" s="979">
        <f>E47*E64</f>
        <v>7350.7756581508229</v>
      </c>
      <c r="F68" s="979">
        <f t="shared" ref="F68:BJ68" si="19">F47*F64</f>
        <v>7792.3590499463071</v>
      </c>
      <c r="G68" s="979">
        <f t="shared" si="19"/>
        <v>8606.7085591623745</v>
      </c>
      <c r="H68" s="979">
        <f t="shared" si="19"/>
        <v>9262.4292151128448</v>
      </c>
      <c r="I68" s="979">
        <f t="shared" si="19"/>
        <v>10269.026351027</v>
      </c>
      <c r="J68" s="979">
        <f t="shared" si="19"/>
        <v>11564.181418246662</v>
      </c>
      <c r="K68" s="979">
        <f t="shared" si="19"/>
        <v>13859.555517112474</v>
      </c>
      <c r="L68" s="979">
        <f t="shared" si="19"/>
        <v>15601.682150536524</v>
      </c>
      <c r="M68" s="979">
        <f t="shared" si="19"/>
        <v>18371.254973493589</v>
      </c>
      <c r="N68" s="979">
        <f t="shared" si="19"/>
        <v>15420.400550099999</v>
      </c>
      <c r="O68" s="979">
        <f t="shared" si="19"/>
        <v>13692.253167623656</v>
      </c>
      <c r="P68" s="979">
        <f t="shared" si="19"/>
        <v>13003.118134618808</v>
      </c>
      <c r="Q68" s="979">
        <f t="shared" si="19"/>
        <v>12370.337632961324</v>
      </c>
      <c r="R68" s="979">
        <f t="shared" si="19"/>
        <v>12865.76631079344</v>
      </c>
      <c r="S68" s="979">
        <f t="shared" si="19"/>
        <v>13798.424843937104</v>
      </c>
      <c r="T68" s="979">
        <f t="shared" si="19"/>
        <v>14512.008815340185</v>
      </c>
      <c r="U68" s="979">
        <f t="shared" si="19"/>
        <v>15648.308099838954</v>
      </c>
      <c r="V68" s="979">
        <f t="shared" si="19"/>
        <v>17408.540796545167</v>
      </c>
      <c r="W68" s="979">
        <f t="shared" si="19"/>
        <v>19569.372400425054</v>
      </c>
      <c r="X68" s="979">
        <f t="shared" si="19"/>
        <v>21794.393239221463</v>
      </c>
      <c r="Y68" s="979">
        <f t="shared" si="19"/>
        <v>22798.063400841445</v>
      </c>
      <c r="Z68" s="979">
        <f t="shared" si="19"/>
        <v>13913.519008344227</v>
      </c>
      <c r="AA68" s="979">
        <f t="shared" si="19"/>
        <v>12676.508317694421</v>
      </c>
      <c r="AB68" s="979">
        <f t="shared" si="19"/>
        <v>11551.180583733034</v>
      </c>
      <c r="AC68" s="979">
        <f t="shared" si="19"/>
        <v>10566.078631861108</v>
      </c>
      <c r="AD68" s="979">
        <f t="shared" si="19"/>
        <v>12615.063557206586</v>
      </c>
      <c r="AE68" s="979">
        <f t="shared" si="19"/>
        <v>14397.641356712918</v>
      </c>
      <c r="AF68" s="979">
        <f t="shared" si="19"/>
        <v>15099.009055972272</v>
      </c>
      <c r="AG68" s="979">
        <f t="shared" si="19"/>
        <v>15818.664938534104</v>
      </c>
      <c r="AH68" s="979">
        <f t="shared" si="19"/>
        <v>16556.731732980326</v>
      </c>
      <c r="AI68" s="979">
        <f t="shared" si="19"/>
        <v>18012.982910251649</v>
      </c>
      <c r="AJ68" s="979">
        <f t="shared" si="19"/>
        <v>15608.250867807603</v>
      </c>
      <c r="AK68" s="979">
        <f t="shared" si="19"/>
        <v>15669.698685304962</v>
      </c>
      <c r="AL68" s="979">
        <f t="shared" si="19"/>
        <v>14330.924578594555</v>
      </c>
      <c r="AM68" s="979">
        <f t="shared" si="19"/>
        <v>13056.803567225255</v>
      </c>
      <c r="AN68" s="979">
        <f t="shared" si="19"/>
        <v>11897.71600124502</v>
      </c>
      <c r="AO68" s="979">
        <f t="shared" si="19"/>
        <v>10883.060990816941</v>
      </c>
      <c r="AP68" s="979">
        <f t="shared" si="19"/>
        <v>12993.515463922782</v>
      </c>
      <c r="AQ68" s="979">
        <f t="shared" si="19"/>
        <v>14829.570597414306</v>
      </c>
      <c r="AR68" s="979">
        <f t="shared" si="19"/>
        <v>15551.979327651443</v>
      </c>
      <c r="AS68" s="979">
        <f t="shared" si="19"/>
        <v>16293.224886690128</v>
      </c>
      <c r="AT68" s="979">
        <f t="shared" si="19"/>
        <v>17053.433684969736</v>
      </c>
      <c r="AU68" s="979">
        <f t="shared" si="19"/>
        <v>17271.100094184068</v>
      </c>
      <c r="AV68" s="979">
        <f t="shared" si="19"/>
        <v>16076.498393841834</v>
      </c>
      <c r="AW68" s="979">
        <f t="shared" si="19"/>
        <v>16139.789645864112</v>
      </c>
      <c r="AX68" s="979">
        <f t="shared" si="19"/>
        <v>14760.852315952394</v>
      </c>
      <c r="AY68" s="979">
        <f t="shared" si="19"/>
        <v>13448.507674242011</v>
      </c>
      <c r="AZ68" s="979">
        <f t="shared" si="19"/>
        <v>12254.647481282373</v>
      </c>
      <c r="BA68" s="979">
        <f t="shared" si="19"/>
        <v>11209.55282054145</v>
      </c>
      <c r="BB68" s="979">
        <f t="shared" si="19"/>
        <v>13383.320927840467</v>
      </c>
      <c r="BC68" s="979">
        <f t="shared" si="19"/>
        <v>15274.457715336735</v>
      </c>
      <c r="BD68" s="979">
        <f t="shared" si="19"/>
        <v>16018.538707480986</v>
      </c>
      <c r="BE68" s="979">
        <f t="shared" si="19"/>
        <v>16782.021633290831</v>
      </c>
      <c r="BF68" s="979">
        <f t="shared" si="19"/>
        <v>17565.036695518822</v>
      </c>
      <c r="BG68" s="979">
        <f t="shared" si="19"/>
        <v>17789.233097009586</v>
      </c>
      <c r="BH68" s="979">
        <f t="shared" si="19"/>
        <v>16558.793345657086</v>
      </c>
      <c r="BI68" s="979">
        <f t="shared" si="19"/>
        <v>16623.983335240035</v>
      </c>
      <c r="BJ68" s="979">
        <f t="shared" si="19"/>
        <v>15203.677885430961</v>
      </c>
    </row>
    <row r="69" spans="2:62">
      <c r="B69" s="401" t="s">
        <v>742</v>
      </c>
      <c r="C69" s="979">
        <v>0</v>
      </c>
      <c r="D69" s="979">
        <v>0</v>
      </c>
      <c r="E69" s="979">
        <v>0</v>
      </c>
      <c r="F69" s="979">
        <v>0</v>
      </c>
      <c r="G69" s="979">
        <v>0</v>
      </c>
      <c r="H69" s="979">
        <v>0</v>
      </c>
      <c r="I69" s="979">
        <v>0</v>
      </c>
      <c r="J69" s="979">
        <v>0</v>
      </c>
      <c r="K69" s="979">
        <v>0</v>
      </c>
      <c r="L69" s="979">
        <v>0</v>
      </c>
      <c r="M69" s="979">
        <v>0</v>
      </c>
      <c r="N69" s="979">
        <v>0</v>
      </c>
      <c r="O69" s="980">
        <v>0</v>
      </c>
      <c r="P69" s="981">
        <v>0</v>
      </c>
      <c r="Q69" s="981">
        <v>0</v>
      </c>
      <c r="R69" s="981">
        <v>0</v>
      </c>
      <c r="S69" s="981">
        <v>0</v>
      </c>
      <c r="T69" s="981">
        <v>0</v>
      </c>
      <c r="U69" s="981">
        <v>0</v>
      </c>
      <c r="V69" s="981">
        <v>0</v>
      </c>
      <c r="W69" s="981">
        <v>0</v>
      </c>
      <c r="X69" s="981">
        <v>0</v>
      </c>
      <c r="Y69" s="981">
        <v>0</v>
      </c>
      <c r="Z69" s="982">
        <v>0</v>
      </c>
      <c r="AA69" s="979">
        <v>0</v>
      </c>
      <c r="AB69" s="979">
        <v>0</v>
      </c>
      <c r="AC69" s="979">
        <v>0</v>
      </c>
      <c r="AD69" s="979">
        <v>0</v>
      </c>
      <c r="AE69" s="979">
        <v>0</v>
      </c>
      <c r="AF69" s="979">
        <v>0</v>
      </c>
      <c r="AG69" s="979">
        <v>0</v>
      </c>
      <c r="AH69" s="979">
        <v>0</v>
      </c>
      <c r="AI69" s="979">
        <v>0</v>
      </c>
      <c r="AJ69" s="979">
        <v>0</v>
      </c>
      <c r="AK69" s="979">
        <v>0</v>
      </c>
      <c r="AL69" s="979">
        <v>0</v>
      </c>
      <c r="AM69" s="980">
        <v>0</v>
      </c>
      <c r="AN69" s="981">
        <v>0</v>
      </c>
      <c r="AO69" s="981">
        <v>0</v>
      </c>
      <c r="AP69" s="981">
        <v>0</v>
      </c>
      <c r="AQ69" s="981">
        <v>0</v>
      </c>
      <c r="AR69" s="981">
        <v>0</v>
      </c>
      <c r="AS69" s="981">
        <v>0</v>
      </c>
      <c r="AT69" s="981">
        <v>0</v>
      </c>
      <c r="AU69" s="981">
        <v>0</v>
      </c>
      <c r="AV69" s="981">
        <v>0</v>
      </c>
      <c r="AW69" s="981">
        <v>0</v>
      </c>
      <c r="AX69" s="982">
        <v>0</v>
      </c>
      <c r="AY69" s="979">
        <v>0</v>
      </c>
      <c r="AZ69" s="979">
        <v>0</v>
      </c>
      <c r="BA69" s="979">
        <v>0</v>
      </c>
      <c r="BB69" s="979">
        <v>0</v>
      </c>
      <c r="BC69" s="979">
        <v>0</v>
      </c>
      <c r="BD69" s="979">
        <v>0</v>
      </c>
      <c r="BE69" s="979">
        <v>0</v>
      </c>
      <c r="BF69" s="979">
        <v>0</v>
      </c>
      <c r="BG69" s="979">
        <v>0</v>
      </c>
      <c r="BH69" s="979">
        <v>0</v>
      </c>
      <c r="BI69" s="979">
        <v>0</v>
      </c>
      <c r="BJ69" s="979">
        <v>0</v>
      </c>
    </row>
    <row r="70" spans="2:62">
      <c r="B70" s="401" t="s">
        <v>743</v>
      </c>
      <c r="C70" s="979">
        <v>0</v>
      </c>
      <c r="D70" s="979">
        <v>0</v>
      </c>
      <c r="E70" s="979">
        <v>0</v>
      </c>
      <c r="F70" s="979">
        <v>0</v>
      </c>
      <c r="G70" s="979">
        <v>0</v>
      </c>
      <c r="H70" s="979">
        <v>0</v>
      </c>
      <c r="I70" s="979">
        <f>I$68*I71</f>
        <v>1019.6738028338569</v>
      </c>
      <c r="J70" s="979">
        <f t="shared" ref="J70:BJ70" si="20">J$68*J71</f>
        <v>1210.441659483077</v>
      </c>
      <c r="K70" s="979">
        <f t="shared" si="20"/>
        <v>1132.0194513552265</v>
      </c>
      <c r="L70" s="979">
        <f t="shared" si="20"/>
        <v>1114.3073441423219</v>
      </c>
      <c r="M70" s="979">
        <f t="shared" si="20"/>
        <v>1136.0855298094334</v>
      </c>
      <c r="N70" s="979">
        <f t="shared" si="20"/>
        <v>1222.6406563948956</v>
      </c>
      <c r="O70" s="979">
        <f t="shared" si="20"/>
        <v>1242.552188474267</v>
      </c>
      <c r="P70" s="979">
        <f t="shared" si="20"/>
        <v>1272.059956007133</v>
      </c>
      <c r="Q70" s="979">
        <f t="shared" si="20"/>
        <v>1524.5511068823728</v>
      </c>
      <c r="R70" s="979">
        <f t="shared" si="20"/>
        <v>1544.5665329031162</v>
      </c>
      <c r="S70" s="979">
        <f t="shared" si="20"/>
        <v>1616.6704376674361</v>
      </c>
      <c r="T70" s="979">
        <f t="shared" si="20"/>
        <v>1187.3708423577002</v>
      </c>
      <c r="U70" s="979">
        <f t="shared" si="20"/>
        <v>903.68870906316124</v>
      </c>
      <c r="V70" s="979">
        <f t="shared" si="20"/>
        <v>858.20579688484145</v>
      </c>
      <c r="W70" s="979">
        <f t="shared" si="20"/>
        <v>816.44228377544744</v>
      </c>
      <c r="X70" s="979">
        <f t="shared" si="20"/>
        <v>778.37886180300336</v>
      </c>
      <c r="Y70" s="979">
        <f t="shared" si="20"/>
        <v>834.80470305819472</v>
      </c>
      <c r="Z70" s="979">
        <f t="shared" si="20"/>
        <v>877.97653332808113</v>
      </c>
      <c r="AA70" s="979">
        <f t="shared" si="20"/>
        <v>946.72264004025681</v>
      </c>
      <c r="AB70" s="979">
        <f t="shared" si="20"/>
        <v>957.46974380998427</v>
      </c>
      <c r="AC70" s="979">
        <f t="shared" si="20"/>
        <v>1076.3154820233779</v>
      </c>
      <c r="AD70" s="979">
        <f t="shared" si="20"/>
        <v>1198.6916281571807</v>
      </c>
      <c r="AE70" s="979">
        <f t="shared" si="20"/>
        <v>1253.8934870462795</v>
      </c>
      <c r="AF70" s="979">
        <f t="shared" si="20"/>
        <v>612.19483636714597</v>
      </c>
      <c r="AG70" s="979">
        <f t="shared" si="20"/>
        <v>557.76636597855452</v>
      </c>
      <c r="AH70" s="979">
        <f t="shared" si="20"/>
        <v>508.25194568425366</v>
      </c>
      <c r="AI70" s="979">
        <f t="shared" si="20"/>
        <v>464.90745980188888</v>
      </c>
      <c r="AJ70" s="979">
        <f t="shared" si="20"/>
        <v>555.06279651708985</v>
      </c>
      <c r="AK70" s="979">
        <f t="shared" si="20"/>
        <v>633.49621969536861</v>
      </c>
      <c r="AL70" s="979">
        <f t="shared" si="20"/>
        <v>664.35639846278013</v>
      </c>
      <c r="AM70" s="979">
        <f t="shared" si="20"/>
        <v>696.02125729550062</v>
      </c>
      <c r="AN70" s="979">
        <f t="shared" si="20"/>
        <v>0</v>
      </c>
      <c r="AO70" s="979">
        <f t="shared" si="20"/>
        <v>0</v>
      </c>
      <c r="AP70" s="979">
        <f t="shared" si="20"/>
        <v>0</v>
      </c>
      <c r="AQ70" s="979">
        <f t="shared" si="20"/>
        <v>0</v>
      </c>
      <c r="AR70" s="979">
        <f t="shared" si="20"/>
        <v>0</v>
      </c>
      <c r="AS70" s="979">
        <f t="shared" si="20"/>
        <v>0</v>
      </c>
      <c r="AT70" s="979">
        <f t="shared" si="20"/>
        <v>0</v>
      </c>
      <c r="AU70" s="979">
        <f t="shared" si="20"/>
        <v>0</v>
      </c>
      <c r="AV70" s="979">
        <f t="shared" si="20"/>
        <v>0</v>
      </c>
      <c r="AW70" s="979">
        <f t="shared" si="20"/>
        <v>0</v>
      </c>
      <c r="AX70" s="979">
        <f t="shared" si="20"/>
        <v>0</v>
      </c>
      <c r="AY70" s="979">
        <f t="shared" si="20"/>
        <v>0</v>
      </c>
      <c r="AZ70" s="979">
        <f t="shared" si="20"/>
        <v>0</v>
      </c>
      <c r="BA70" s="979">
        <f t="shared" si="20"/>
        <v>0</v>
      </c>
      <c r="BB70" s="979">
        <f t="shared" si="20"/>
        <v>0</v>
      </c>
      <c r="BC70" s="979">
        <f t="shared" si="20"/>
        <v>0</v>
      </c>
      <c r="BD70" s="979">
        <f t="shared" si="20"/>
        <v>0</v>
      </c>
      <c r="BE70" s="979">
        <f t="shared" si="20"/>
        <v>0</v>
      </c>
      <c r="BF70" s="979">
        <f t="shared" si="20"/>
        <v>0</v>
      </c>
      <c r="BG70" s="979">
        <f t="shared" si="20"/>
        <v>0</v>
      </c>
      <c r="BH70" s="979">
        <f t="shared" si="20"/>
        <v>0</v>
      </c>
      <c r="BI70" s="979">
        <f t="shared" si="20"/>
        <v>0</v>
      </c>
      <c r="BJ70" s="979">
        <f t="shared" si="20"/>
        <v>0</v>
      </c>
    </row>
    <row r="71" spans="2:62">
      <c r="B71" s="401"/>
      <c r="C71" s="979"/>
      <c r="D71" s="979"/>
      <c r="E71" s="979"/>
      <c r="F71" s="979"/>
      <c r="G71" s="979"/>
      <c r="H71" s="979"/>
      <c r="I71" s="995">
        <v>9.9296054755169644E-2</v>
      </c>
      <c r="J71" s="995">
        <v>0.10467162488242958</v>
      </c>
      <c r="K71" s="995">
        <v>8.1677904457867753E-2</v>
      </c>
      <c r="L71" s="995">
        <v>7.1422256484311344E-2</v>
      </c>
      <c r="M71" s="995">
        <v>6.1840387684379765E-2</v>
      </c>
      <c r="N71" s="995">
        <v>7.9287217762120124E-2</v>
      </c>
      <c r="O71" s="995">
        <v>9.0748554913691881E-2</v>
      </c>
      <c r="P71" s="995">
        <v>9.7827301331706612E-2</v>
      </c>
      <c r="Q71" s="995">
        <v>0.12324248150027348</v>
      </c>
      <c r="R71" s="995">
        <v>0.12005243182501593</v>
      </c>
      <c r="S71" s="995">
        <v>0.11716340495036907</v>
      </c>
      <c r="T71" s="995">
        <v>8.1819881552343612E-2</v>
      </c>
      <c r="U71" s="995">
        <v>5.7749930746344498E-2</v>
      </c>
      <c r="V71" s="995">
        <v>4.9297974305529256E-2</v>
      </c>
      <c r="W71" s="995">
        <v>4.1720412237528579E-2</v>
      </c>
      <c r="X71" s="995">
        <v>3.5714637854759042E-2</v>
      </c>
      <c r="Y71" s="995">
        <v>3.6617351587301193E-2</v>
      </c>
      <c r="Z71" s="995">
        <v>6.3102406573171052E-2</v>
      </c>
      <c r="AA71" s="995">
        <v>7.4683234240360982E-2</v>
      </c>
      <c r="AB71" s="995">
        <v>8.2889340779447457E-2</v>
      </c>
      <c r="AC71" s="995">
        <v>0.1018651781350406</v>
      </c>
      <c r="AD71" s="995">
        <v>9.5020657067748676E-2</v>
      </c>
      <c r="AE71" s="995">
        <v>8.7090201511489246E-2</v>
      </c>
      <c r="AF71" s="995">
        <v>4.0545365202294383E-2</v>
      </c>
      <c r="AG71" s="995">
        <v>3.5260015187491674E-2</v>
      </c>
      <c r="AH71" s="995">
        <v>3.0697601065301842E-2</v>
      </c>
      <c r="AI71" s="995">
        <v>2.580957646594436E-2</v>
      </c>
      <c r="AJ71" s="995">
        <v>3.556213961565164E-2</v>
      </c>
      <c r="AK71" s="995">
        <v>4.0428104740103339E-2</v>
      </c>
      <c r="AL71" s="995">
        <v>4.6358237029249239E-2</v>
      </c>
      <c r="AM71" s="995">
        <v>5.3307170756756235E-2</v>
      </c>
      <c r="AN71" s="995">
        <v>0</v>
      </c>
      <c r="AO71" s="995">
        <v>0</v>
      </c>
      <c r="AP71" s="995">
        <v>0</v>
      </c>
      <c r="AQ71" s="995">
        <v>0</v>
      </c>
      <c r="AR71" s="995">
        <v>0</v>
      </c>
      <c r="AS71" s="995">
        <v>0</v>
      </c>
      <c r="AT71" s="995">
        <v>0</v>
      </c>
      <c r="AU71" s="995">
        <v>0</v>
      </c>
      <c r="AV71" s="995">
        <v>0</v>
      </c>
      <c r="AW71" s="995">
        <v>0</v>
      </c>
      <c r="AX71" s="995">
        <v>0</v>
      </c>
      <c r="AY71" s="995">
        <v>0</v>
      </c>
      <c r="AZ71" s="995">
        <v>0</v>
      </c>
      <c r="BA71" s="995">
        <v>0</v>
      </c>
      <c r="BB71" s="995">
        <v>0</v>
      </c>
      <c r="BC71" s="995">
        <v>0</v>
      </c>
      <c r="BD71" s="995">
        <v>0</v>
      </c>
      <c r="BE71" s="995">
        <v>0</v>
      </c>
      <c r="BF71" s="995">
        <v>0</v>
      </c>
      <c r="BG71" s="995">
        <v>0</v>
      </c>
      <c r="BH71" s="995">
        <v>0</v>
      </c>
      <c r="BI71" s="995">
        <v>0</v>
      </c>
      <c r="BJ71" s="995">
        <v>0</v>
      </c>
    </row>
    <row r="72" spans="2:62">
      <c r="B72" s="401" t="s">
        <v>744</v>
      </c>
      <c r="C72" s="979">
        <v>0</v>
      </c>
      <c r="D72" s="979">
        <v>0</v>
      </c>
      <c r="E72" s="979">
        <v>0</v>
      </c>
      <c r="F72" s="979">
        <v>0</v>
      </c>
      <c r="G72" s="979">
        <v>0</v>
      </c>
      <c r="H72" s="979">
        <v>0</v>
      </c>
      <c r="I72" s="979">
        <f>I$68*I73</f>
        <v>0</v>
      </c>
      <c r="J72" s="979">
        <f t="shared" ref="J72:BJ72" si="21">J$68*J73</f>
        <v>0</v>
      </c>
      <c r="K72" s="979">
        <f t="shared" si="21"/>
        <v>0</v>
      </c>
      <c r="L72" s="979">
        <f t="shared" si="21"/>
        <v>0</v>
      </c>
      <c r="M72" s="979">
        <f t="shared" si="21"/>
        <v>0</v>
      </c>
      <c r="N72" s="979">
        <f t="shared" si="21"/>
        <v>0</v>
      </c>
      <c r="O72" s="979">
        <f t="shared" si="21"/>
        <v>0</v>
      </c>
      <c r="P72" s="979">
        <f t="shared" si="21"/>
        <v>0</v>
      </c>
      <c r="Q72" s="979">
        <f t="shared" si="21"/>
        <v>0</v>
      </c>
      <c r="R72" s="979">
        <f t="shared" si="21"/>
        <v>478.05486080911982</v>
      </c>
      <c r="S72" s="979">
        <f t="shared" si="21"/>
        <v>567.49277801739072</v>
      </c>
      <c r="T72" s="979">
        <f t="shared" si="21"/>
        <v>530.72600251848962</v>
      </c>
      <c r="U72" s="979">
        <f t="shared" si="21"/>
        <v>532.99735901632732</v>
      </c>
      <c r="V72" s="979">
        <f t="shared" si="21"/>
        <v>555.99337292188943</v>
      </c>
      <c r="W72" s="979">
        <f t="shared" si="21"/>
        <v>598.35292729628986</v>
      </c>
      <c r="X72" s="979">
        <f t="shared" si="21"/>
        <v>624.35680214244155</v>
      </c>
      <c r="Y72" s="979">
        <f t="shared" si="21"/>
        <v>703.10223022939704</v>
      </c>
      <c r="Z72" s="979">
        <f t="shared" si="21"/>
        <v>842.66097544043851</v>
      </c>
      <c r="AA72" s="979">
        <f t="shared" si="21"/>
        <v>889.29588258058197</v>
      </c>
      <c r="AB72" s="979">
        <f t="shared" si="21"/>
        <v>977.35076458985918</v>
      </c>
      <c r="AC72" s="979">
        <f t="shared" si="21"/>
        <v>761.76778717493994</v>
      </c>
      <c r="AD72" s="979">
        <f t="shared" si="21"/>
        <v>624.36674444363859</v>
      </c>
      <c r="AE72" s="979">
        <f t="shared" si="21"/>
        <v>592.94218693861751</v>
      </c>
      <c r="AF72" s="979">
        <f t="shared" si="21"/>
        <v>564.08739606303629</v>
      </c>
      <c r="AG72" s="979">
        <f t="shared" si="21"/>
        <v>537.78903179116583</v>
      </c>
      <c r="AH72" s="979">
        <f t="shared" si="21"/>
        <v>576.77415847657096</v>
      </c>
      <c r="AI72" s="979">
        <f t="shared" si="21"/>
        <v>606.60196848121961</v>
      </c>
      <c r="AJ72" s="979">
        <f t="shared" si="21"/>
        <v>654.09927857326818</v>
      </c>
      <c r="AK72" s="979">
        <f t="shared" si="21"/>
        <v>661.52455026871633</v>
      </c>
      <c r="AL72" s="979">
        <f t="shared" si="21"/>
        <v>743.63615121615214</v>
      </c>
      <c r="AM72" s="979">
        <f t="shared" si="21"/>
        <v>662.54955447233249</v>
      </c>
      <c r="AN72" s="979">
        <f t="shared" si="21"/>
        <v>0</v>
      </c>
      <c r="AO72" s="979">
        <f t="shared" si="21"/>
        <v>0</v>
      </c>
      <c r="AP72" s="979">
        <f t="shared" si="21"/>
        <v>0</v>
      </c>
      <c r="AQ72" s="979">
        <f t="shared" si="21"/>
        <v>0</v>
      </c>
      <c r="AR72" s="979">
        <f t="shared" si="21"/>
        <v>0</v>
      </c>
      <c r="AS72" s="979">
        <f t="shared" si="21"/>
        <v>0</v>
      </c>
      <c r="AT72" s="979">
        <f t="shared" si="21"/>
        <v>0</v>
      </c>
      <c r="AU72" s="979">
        <f t="shared" si="21"/>
        <v>0</v>
      </c>
      <c r="AV72" s="979">
        <f t="shared" si="21"/>
        <v>0</v>
      </c>
      <c r="AW72" s="979">
        <f t="shared" si="21"/>
        <v>0</v>
      </c>
      <c r="AX72" s="979">
        <f t="shared" si="21"/>
        <v>0</v>
      </c>
      <c r="AY72" s="979">
        <f t="shared" si="21"/>
        <v>0</v>
      </c>
      <c r="AZ72" s="979">
        <f t="shared" si="21"/>
        <v>0</v>
      </c>
      <c r="BA72" s="979">
        <f t="shared" si="21"/>
        <v>0</v>
      </c>
      <c r="BB72" s="979">
        <f t="shared" si="21"/>
        <v>0</v>
      </c>
      <c r="BC72" s="979">
        <f t="shared" si="21"/>
        <v>0</v>
      </c>
      <c r="BD72" s="979">
        <f t="shared" si="21"/>
        <v>0</v>
      </c>
      <c r="BE72" s="979">
        <f t="shared" si="21"/>
        <v>0</v>
      </c>
      <c r="BF72" s="979">
        <f t="shared" si="21"/>
        <v>0</v>
      </c>
      <c r="BG72" s="979">
        <f t="shared" si="21"/>
        <v>0</v>
      </c>
      <c r="BH72" s="979">
        <f t="shared" si="21"/>
        <v>0</v>
      </c>
      <c r="BI72" s="979">
        <f t="shared" si="21"/>
        <v>0</v>
      </c>
      <c r="BJ72" s="979">
        <f t="shared" si="21"/>
        <v>0</v>
      </c>
    </row>
    <row r="73" spans="2:62">
      <c r="B73" s="401"/>
      <c r="C73" s="979"/>
      <c r="D73" s="979"/>
      <c r="E73" s="979"/>
      <c r="F73" s="979"/>
      <c r="G73" s="979"/>
      <c r="H73" s="979"/>
      <c r="I73" s="995">
        <v>0</v>
      </c>
      <c r="J73" s="995">
        <v>0</v>
      </c>
      <c r="K73" s="995">
        <v>0</v>
      </c>
      <c r="L73" s="995">
        <v>0</v>
      </c>
      <c r="M73" s="995">
        <v>0</v>
      </c>
      <c r="N73" s="995">
        <v>0</v>
      </c>
      <c r="O73" s="995">
        <v>0</v>
      </c>
      <c r="P73" s="995">
        <v>0</v>
      </c>
      <c r="Q73" s="995">
        <v>0</v>
      </c>
      <c r="R73" s="995">
        <v>3.7157122961892025E-2</v>
      </c>
      <c r="S73" s="995">
        <v>4.1127359422241709E-2</v>
      </c>
      <c r="T73" s="995">
        <v>3.6571504970247533E-2</v>
      </c>
      <c r="U73" s="995">
        <v>3.4061021524864579E-2</v>
      </c>
      <c r="V73" s="995">
        <v>3.1937965359637138E-2</v>
      </c>
      <c r="W73" s="995">
        <v>3.0575989615450997E-2</v>
      </c>
      <c r="X73" s="995">
        <v>2.864758817964435E-2</v>
      </c>
      <c r="Y73" s="995">
        <v>3.0840436657591123E-2</v>
      </c>
      <c r="Z73" s="995">
        <v>6.0564187603084255E-2</v>
      </c>
      <c r="AA73" s="995">
        <v>7.0153062680459427E-2</v>
      </c>
      <c r="AB73" s="995">
        <v>8.4610465355049055E-2</v>
      </c>
      <c r="AC73" s="995">
        <v>7.2095600810493141E-2</v>
      </c>
      <c r="AD73" s="995">
        <v>4.9493745442682112E-2</v>
      </c>
      <c r="AE73" s="995">
        <v>4.1183286362537257E-2</v>
      </c>
      <c r="AF73" s="995">
        <v>3.7359232912037812E-2</v>
      </c>
      <c r="AG73" s="995">
        <v>3.399711883909478E-2</v>
      </c>
      <c r="AH73" s="995">
        <v>3.4836232644131125E-2</v>
      </c>
      <c r="AI73" s="995">
        <v>3.3675819907428378E-2</v>
      </c>
      <c r="AJ73" s="995">
        <v>4.1907276101152621E-2</v>
      </c>
      <c r="AK73" s="995">
        <v>4.2216800945195823E-2</v>
      </c>
      <c r="AL73" s="995">
        <v>5.1890312250117303E-2</v>
      </c>
      <c r="AM73" s="995">
        <v>5.0743625808650585E-2</v>
      </c>
      <c r="AN73" s="995">
        <v>0</v>
      </c>
      <c r="AO73" s="995">
        <v>0</v>
      </c>
      <c r="AP73" s="995">
        <v>0</v>
      </c>
      <c r="AQ73" s="995">
        <v>0</v>
      </c>
      <c r="AR73" s="995">
        <v>0</v>
      </c>
      <c r="AS73" s="995">
        <v>0</v>
      </c>
      <c r="AT73" s="995">
        <v>0</v>
      </c>
      <c r="AU73" s="995">
        <v>0</v>
      </c>
      <c r="AV73" s="995">
        <v>0</v>
      </c>
      <c r="AW73" s="995">
        <v>0</v>
      </c>
      <c r="AX73" s="995">
        <v>0</v>
      </c>
      <c r="AY73" s="995">
        <v>0</v>
      </c>
      <c r="AZ73" s="995">
        <v>0</v>
      </c>
      <c r="BA73" s="995">
        <v>0</v>
      </c>
      <c r="BB73" s="995">
        <v>0</v>
      </c>
      <c r="BC73" s="995">
        <v>0</v>
      </c>
      <c r="BD73" s="995">
        <v>0</v>
      </c>
      <c r="BE73" s="995">
        <v>0</v>
      </c>
      <c r="BF73" s="995">
        <v>0</v>
      </c>
      <c r="BG73" s="995">
        <v>0</v>
      </c>
      <c r="BH73" s="995">
        <v>0</v>
      </c>
      <c r="BI73" s="995">
        <v>0</v>
      </c>
      <c r="BJ73" s="995">
        <v>0</v>
      </c>
    </row>
    <row r="74" spans="2:62">
      <c r="B74" s="401" t="s">
        <v>745</v>
      </c>
      <c r="C74" s="979">
        <v>0</v>
      </c>
      <c r="D74" s="979">
        <v>0</v>
      </c>
      <c r="E74" s="979">
        <v>0</v>
      </c>
      <c r="F74" s="979">
        <v>0</v>
      </c>
      <c r="G74" s="979">
        <v>0</v>
      </c>
      <c r="H74" s="979">
        <v>0</v>
      </c>
      <c r="I74" s="979">
        <f>I$68*I75</f>
        <v>0</v>
      </c>
      <c r="J74" s="979">
        <f t="shared" ref="J74:BJ74" si="22">J$68*J75</f>
        <v>0</v>
      </c>
      <c r="K74" s="979">
        <f t="shared" si="22"/>
        <v>0</v>
      </c>
      <c r="L74" s="979">
        <f t="shared" si="22"/>
        <v>0</v>
      </c>
      <c r="M74" s="979">
        <f t="shared" si="22"/>
        <v>0</v>
      </c>
      <c r="N74" s="979">
        <f t="shared" si="22"/>
        <v>0</v>
      </c>
      <c r="O74" s="979">
        <f t="shared" si="22"/>
        <v>0</v>
      </c>
      <c r="P74" s="979">
        <f t="shared" si="22"/>
        <v>0</v>
      </c>
      <c r="Q74" s="979">
        <f t="shared" si="22"/>
        <v>0</v>
      </c>
      <c r="R74" s="979">
        <f t="shared" si="22"/>
        <v>0</v>
      </c>
      <c r="S74" s="979">
        <f t="shared" si="22"/>
        <v>0</v>
      </c>
      <c r="T74" s="979">
        <f t="shared" si="22"/>
        <v>0</v>
      </c>
      <c r="U74" s="979">
        <f t="shared" si="22"/>
        <v>0</v>
      </c>
      <c r="V74" s="979">
        <f t="shared" si="22"/>
        <v>0</v>
      </c>
      <c r="W74" s="979">
        <f t="shared" si="22"/>
        <v>0</v>
      </c>
      <c r="X74" s="979">
        <f t="shared" si="22"/>
        <v>0</v>
      </c>
      <c r="Y74" s="979">
        <f t="shared" si="22"/>
        <v>0</v>
      </c>
      <c r="Z74" s="979">
        <f t="shared" si="22"/>
        <v>0</v>
      </c>
      <c r="AA74" s="979">
        <f t="shared" si="22"/>
        <v>230.41979440661174</v>
      </c>
      <c r="AB74" s="979">
        <f t="shared" si="22"/>
        <v>273.52837500007195</v>
      </c>
      <c r="AC74" s="979">
        <f t="shared" si="22"/>
        <v>255.80699290364856</v>
      </c>
      <c r="AD74" s="979">
        <f t="shared" si="22"/>
        <v>271.17409493813147</v>
      </c>
      <c r="AE74" s="979">
        <f t="shared" si="22"/>
        <v>299.51345785885053</v>
      </c>
      <c r="AF74" s="979">
        <f t="shared" si="22"/>
        <v>322.33253668592693</v>
      </c>
      <c r="AG74" s="979">
        <f t="shared" si="22"/>
        <v>357.36211701573944</v>
      </c>
      <c r="AH74" s="979">
        <f t="shared" si="22"/>
        <v>368.89738724206859</v>
      </c>
      <c r="AI74" s="979">
        <f t="shared" si="22"/>
        <v>442.11982099588795</v>
      </c>
      <c r="AJ74" s="979">
        <f t="shared" si="22"/>
        <v>497.69366060211519</v>
      </c>
      <c r="AK74" s="979">
        <f t="shared" si="22"/>
        <v>586.04303365444537</v>
      </c>
      <c r="AL74" s="979">
        <f t="shared" si="22"/>
        <v>491.91077754819003</v>
      </c>
      <c r="AM74" s="979">
        <f t="shared" si="22"/>
        <v>436.78287604719458</v>
      </c>
      <c r="AN74" s="979">
        <f t="shared" si="22"/>
        <v>0</v>
      </c>
      <c r="AO74" s="979">
        <f t="shared" si="22"/>
        <v>0</v>
      </c>
      <c r="AP74" s="979">
        <f t="shared" si="22"/>
        <v>0</v>
      </c>
      <c r="AQ74" s="979">
        <f t="shared" si="22"/>
        <v>0</v>
      </c>
      <c r="AR74" s="979">
        <f t="shared" si="22"/>
        <v>0</v>
      </c>
      <c r="AS74" s="979">
        <f t="shared" si="22"/>
        <v>0</v>
      </c>
      <c r="AT74" s="979">
        <f t="shared" si="22"/>
        <v>0</v>
      </c>
      <c r="AU74" s="979">
        <f t="shared" si="22"/>
        <v>0</v>
      </c>
      <c r="AV74" s="979">
        <f t="shared" si="22"/>
        <v>0</v>
      </c>
      <c r="AW74" s="979">
        <f t="shared" si="22"/>
        <v>0</v>
      </c>
      <c r="AX74" s="979">
        <f t="shared" si="22"/>
        <v>0</v>
      </c>
      <c r="AY74" s="979">
        <f t="shared" si="22"/>
        <v>0</v>
      </c>
      <c r="AZ74" s="979">
        <f t="shared" si="22"/>
        <v>0</v>
      </c>
      <c r="BA74" s="979">
        <f t="shared" si="22"/>
        <v>0</v>
      </c>
      <c r="BB74" s="979">
        <f t="shared" si="22"/>
        <v>0</v>
      </c>
      <c r="BC74" s="979">
        <f t="shared" si="22"/>
        <v>0</v>
      </c>
      <c r="BD74" s="979">
        <f t="shared" si="22"/>
        <v>0</v>
      </c>
      <c r="BE74" s="979">
        <f t="shared" si="22"/>
        <v>0</v>
      </c>
      <c r="BF74" s="979">
        <f t="shared" si="22"/>
        <v>0</v>
      </c>
      <c r="BG74" s="979">
        <f t="shared" si="22"/>
        <v>0</v>
      </c>
      <c r="BH74" s="979">
        <f t="shared" si="22"/>
        <v>0</v>
      </c>
      <c r="BI74" s="979">
        <f t="shared" si="22"/>
        <v>0</v>
      </c>
      <c r="BJ74" s="979">
        <f t="shared" si="22"/>
        <v>0</v>
      </c>
    </row>
    <row r="75" spans="2:62">
      <c r="B75" s="401"/>
      <c r="C75" s="979"/>
      <c r="D75" s="979"/>
      <c r="E75" s="979"/>
      <c r="F75" s="979"/>
      <c r="G75" s="979"/>
      <c r="H75" s="979"/>
      <c r="I75" s="995">
        <v>0</v>
      </c>
      <c r="J75" s="995">
        <v>0</v>
      </c>
      <c r="K75" s="995">
        <v>0</v>
      </c>
      <c r="L75" s="995">
        <v>0</v>
      </c>
      <c r="M75" s="995">
        <v>0</v>
      </c>
      <c r="N75" s="995">
        <v>0</v>
      </c>
      <c r="O75" s="995">
        <v>0</v>
      </c>
      <c r="P75" s="995">
        <v>0</v>
      </c>
      <c r="Q75" s="995">
        <v>0</v>
      </c>
      <c r="R75" s="995">
        <v>0</v>
      </c>
      <c r="S75" s="995">
        <v>0</v>
      </c>
      <c r="T75" s="995">
        <v>0</v>
      </c>
      <c r="U75" s="995">
        <v>0</v>
      </c>
      <c r="V75" s="995">
        <v>0</v>
      </c>
      <c r="W75" s="995">
        <v>0</v>
      </c>
      <c r="X75" s="995">
        <v>0</v>
      </c>
      <c r="Y75" s="995">
        <v>0</v>
      </c>
      <c r="Z75" s="995">
        <v>0</v>
      </c>
      <c r="AA75" s="995">
        <v>1.8176913439561411E-2</v>
      </c>
      <c r="AB75" s="995">
        <v>2.3679689969116114E-2</v>
      </c>
      <c r="AC75" s="995">
        <v>2.4210210979528812E-2</v>
      </c>
      <c r="AD75" s="995">
        <v>2.1496054594446996E-2</v>
      </c>
      <c r="AE75" s="995">
        <v>2.0802953097536492E-2</v>
      </c>
      <c r="AF75" s="995">
        <v>2.1347926575249736E-2</v>
      </c>
      <c r="AG75" s="995">
        <v>2.2591167990745478E-2</v>
      </c>
      <c r="AH75" s="995">
        <v>2.2280809594036013E-2</v>
      </c>
      <c r="AI75" s="995">
        <v>2.4544508991027038E-2</v>
      </c>
      <c r="AJ75" s="995">
        <v>3.1886574915874814E-2</v>
      </c>
      <c r="AK75" s="995">
        <v>3.7399764055708128E-2</v>
      </c>
      <c r="AL75" s="995">
        <v>3.4325125001560236E-2</v>
      </c>
      <c r="AM75" s="995">
        <v>3.345251184934666E-2</v>
      </c>
      <c r="AN75" s="995">
        <v>0</v>
      </c>
      <c r="AO75" s="995">
        <v>0</v>
      </c>
      <c r="AP75" s="995">
        <v>0</v>
      </c>
      <c r="AQ75" s="995">
        <v>0</v>
      </c>
      <c r="AR75" s="995">
        <v>0</v>
      </c>
      <c r="AS75" s="995">
        <v>0</v>
      </c>
      <c r="AT75" s="995">
        <v>0</v>
      </c>
      <c r="AU75" s="995">
        <v>0</v>
      </c>
      <c r="AV75" s="995">
        <v>0</v>
      </c>
      <c r="AW75" s="995">
        <v>0</v>
      </c>
      <c r="AX75" s="995">
        <v>0</v>
      </c>
      <c r="AY75" s="995">
        <v>0</v>
      </c>
      <c r="AZ75" s="995">
        <v>0</v>
      </c>
      <c r="BA75" s="995">
        <v>0</v>
      </c>
      <c r="BB75" s="995">
        <v>0</v>
      </c>
      <c r="BC75" s="995">
        <v>0</v>
      </c>
      <c r="BD75" s="995">
        <v>0</v>
      </c>
      <c r="BE75" s="995">
        <v>0</v>
      </c>
      <c r="BF75" s="995">
        <v>0</v>
      </c>
      <c r="BG75" s="995">
        <v>0</v>
      </c>
      <c r="BH75" s="995">
        <v>0</v>
      </c>
      <c r="BI75" s="995">
        <v>0</v>
      </c>
      <c r="BJ75" s="995">
        <v>0</v>
      </c>
    </row>
    <row r="76" spans="2:62">
      <c r="B76" s="401" t="s">
        <v>746</v>
      </c>
      <c r="C76" s="981">
        <f>C67*C39</f>
        <v>0</v>
      </c>
      <c r="D76" s="981">
        <f t="shared" ref="D76:AW76" si="23">D67*D39</f>
        <v>0</v>
      </c>
      <c r="E76" s="981">
        <f t="shared" si="23"/>
        <v>0</v>
      </c>
      <c r="F76" s="981">
        <f t="shared" si="23"/>
        <v>0</v>
      </c>
      <c r="G76" s="981">
        <f t="shared" si="23"/>
        <v>0</v>
      </c>
      <c r="H76" s="981">
        <f t="shared" si="23"/>
        <v>0</v>
      </c>
      <c r="I76" s="981">
        <f t="shared" si="23"/>
        <v>0</v>
      </c>
      <c r="J76" s="981">
        <f t="shared" si="23"/>
        <v>0</v>
      </c>
      <c r="K76" s="981">
        <f t="shared" si="23"/>
        <v>0</v>
      </c>
      <c r="L76" s="981">
        <f t="shared" si="23"/>
        <v>0</v>
      </c>
      <c r="M76" s="981">
        <f t="shared" si="23"/>
        <v>0</v>
      </c>
      <c r="N76" s="981">
        <f t="shared" si="23"/>
        <v>0</v>
      </c>
      <c r="O76" s="981">
        <f t="shared" si="23"/>
        <v>0</v>
      </c>
      <c r="P76" s="981">
        <f t="shared" si="23"/>
        <v>0</v>
      </c>
      <c r="Q76" s="981">
        <f t="shared" si="23"/>
        <v>0</v>
      </c>
      <c r="R76" s="981">
        <f t="shared" si="23"/>
        <v>0</v>
      </c>
      <c r="S76" s="981">
        <f t="shared" si="23"/>
        <v>0</v>
      </c>
      <c r="T76" s="981">
        <f t="shared" si="23"/>
        <v>0</v>
      </c>
      <c r="U76" s="981">
        <f t="shared" si="23"/>
        <v>0</v>
      </c>
      <c r="V76" s="981">
        <f t="shared" si="23"/>
        <v>0</v>
      </c>
      <c r="W76" s="981">
        <f t="shared" si="23"/>
        <v>0</v>
      </c>
      <c r="X76" s="981">
        <f t="shared" si="23"/>
        <v>0</v>
      </c>
      <c r="Y76" s="981">
        <f t="shared" si="23"/>
        <v>0</v>
      </c>
      <c r="Z76" s="981">
        <f t="shared" si="23"/>
        <v>0</v>
      </c>
      <c r="AA76" s="981">
        <f t="shared" si="23"/>
        <v>0</v>
      </c>
      <c r="AB76" s="981">
        <f t="shared" si="23"/>
        <v>0</v>
      </c>
      <c r="AC76" s="981">
        <f t="shared" si="23"/>
        <v>0</v>
      </c>
      <c r="AD76" s="981">
        <f t="shared" si="23"/>
        <v>0</v>
      </c>
      <c r="AE76" s="981">
        <f t="shared" si="23"/>
        <v>0</v>
      </c>
      <c r="AF76" s="981">
        <f t="shared" si="23"/>
        <v>0</v>
      </c>
      <c r="AG76" s="981">
        <f t="shared" si="23"/>
        <v>0</v>
      </c>
      <c r="AH76" s="981">
        <f t="shared" si="23"/>
        <v>0</v>
      </c>
      <c r="AI76" s="981">
        <f t="shared" si="23"/>
        <v>0</v>
      </c>
      <c r="AJ76" s="981">
        <f t="shared" si="23"/>
        <v>0</v>
      </c>
      <c r="AK76" s="981">
        <f t="shared" si="23"/>
        <v>0</v>
      </c>
      <c r="AL76" s="981">
        <f t="shared" si="23"/>
        <v>0</v>
      </c>
      <c r="AM76" s="981">
        <f t="shared" si="23"/>
        <v>0</v>
      </c>
      <c r="AN76" s="981">
        <f t="shared" si="23"/>
        <v>1463.5433076457946</v>
      </c>
      <c r="AO76" s="981">
        <f t="shared" si="23"/>
        <v>1459.5646117277488</v>
      </c>
      <c r="AP76" s="981">
        <f t="shared" si="23"/>
        <v>1450.7843429197985</v>
      </c>
      <c r="AQ76" s="981">
        <f t="shared" si="23"/>
        <v>1456.5866301269118</v>
      </c>
      <c r="AR76" s="981">
        <f t="shared" si="23"/>
        <v>1472.8116804027345</v>
      </c>
      <c r="AS76" s="981">
        <f t="shared" si="23"/>
        <v>1491.2247845952027</v>
      </c>
      <c r="AT76" s="981">
        <f t="shared" si="23"/>
        <v>1511.8151408828646</v>
      </c>
      <c r="AU76" s="981">
        <f t="shared" si="23"/>
        <v>1534.5715670485911</v>
      </c>
      <c r="AV76" s="981">
        <f t="shared" si="23"/>
        <v>1555.2261033783313</v>
      </c>
      <c r="AW76" s="981">
        <f t="shared" si="23"/>
        <v>1565.3350730502907</v>
      </c>
      <c r="AX76" s="981">
        <f t="shared" ref="AX76:BJ76" si="24">AX67*AX39</f>
        <v>1575.5097510251176</v>
      </c>
      <c r="AY76" s="981">
        <f t="shared" si="24"/>
        <v>1581.4603968224164</v>
      </c>
      <c r="AZ76" s="981">
        <f t="shared" si="24"/>
        <v>1583.0661669759834</v>
      </c>
      <c r="BA76" s="981">
        <f t="shared" si="24"/>
        <v>1579.4596178210513</v>
      </c>
      <c r="BB76" s="981">
        <f t="shared" si="24"/>
        <v>1570.9106433891823</v>
      </c>
      <c r="BC76" s="981">
        <f t="shared" si="24"/>
        <v>1577.3849172186906</v>
      </c>
      <c r="BD76" s="981">
        <f t="shared" si="24"/>
        <v>1594.5978734760101</v>
      </c>
      <c r="BE76" s="981">
        <f t="shared" si="24"/>
        <v>1614.0677827715504</v>
      </c>
      <c r="BF76" s="981">
        <f t="shared" si="24"/>
        <v>1635.7835404029927</v>
      </c>
      <c r="BG76" s="981">
        <f t="shared" si="24"/>
        <v>1659.7336499981</v>
      </c>
      <c r="BH76" s="981">
        <f t="shared" si="24"/>
        <v>1681.5221345013297</v>
      </c>
      <c r="BI76" s="981">
        <f t="shared" si="24"/>
        <v>1692.452028375588</v>
      </c>
      <c r="BJ76" s="981">
        <f t="shared" si="24"/>
        <v>1703.4529665600292</v>
      </c>
    </row>
    <row r="77" spans="2:62">
      <c r="B77" s="401" t="s">
        <v>747</v>
      </c>
      <c r="C77" s="979">
        <f t="shared" ref="C77:AH77" si="25">-C49*C64</f>
        <v>-198.6377537988032</v>
      </c>
      <c r="D77" s="979">
        <f t="shared" si="25"/>
        <v>-460.51532100933639</v>
      </c>
      <c r="E77" s="979">
        <f t="shared" si="25"/>
        <v>-680.98999824987368</v>
      </c>
      <c r="F77" s="979">
        <f t="shared" si="25"/>
        <v>-927.03834830518463</v>
      </c>
      <c r="G77" s="979">
        <f t="shared" si="25"/>
        <v>-1215.3245304904394</v>
      </c>
      <c r="H77" s="979">
        <f t="shared" si="25"/>
        <v>-1538.9294104513654</v>
      </c>
      <c r="I77" s="979">
        <f t="shared" si="25"/>
        <v>-1899.3769542437306</v>
      </c>
      <c r="J77" s="979">
        <f t="shared" si="25"/>
        <v>-2483.3459729463252</v>
      </c>
      <c r="K77" s="979">
        <f t="shared" si="25"/>
        <v>-3213.6184436157587</v>
      </c>
      <c r="L77" s="979">
        <f t="shared" si="25"/>
        <v>-4049.7447768362176</v>
      </c>
      <c r="M77" s="979">
        <f t="shared" si="25"/>
        <v>-5433.218181180011</v>
      </c>
      <c r="N77" s="979">
        <f t="shared" si="25"/>
        <v>-6183.3923381151144</v>
      </c>
      <c r="O77" s="979">
        <f t="shared" si="25"/>
        <v>-6594.6764362445865</v>
      </c>
      <c r="P77" s="979">
        <f t="shared" si="25"/>
        <v>-6791.8928941759987</v>
      </c>
      <c r="Q77" s="979">
        <f t="shared" si="25"/>
        <v>-7268.4140248787189</v>
      </c>
      <c r="R77" s="979">
        <f t="shared" si="25"/>
        <v>-7720.1894922830179</v>
      </c>
      <c r="S77" s="979">
        <f t="shared" si="25"/>
        <v>-8118.775452224505</v>
      </c>
      <c r="T77" s="979">
        <f t="shared" si="25"/>
        <v>-9094.0123844791742</v>
      </c>
      <c r="U77" s="979">
        <f t="shared" si="25"/>
        <v>-9633.865278680827</v>
      </c>
      <c r="V77" s="979">
        <f t="shared" si="25"/>
        <v>-11276.761443572721</v>
      </c>
      <c r="W77" s="979">
        <f t="shared" si="25"/>
        <v>-11966.570374120218</v>
      </c>
      <c r="X77" s="979">
        <f t="shared" si="25"/>
        <v>-13847.343008599744</v>
      </c>
      <c r="Y77" s="979">
        <f t="shared" si="25"/>
        <v>-14394.197015841863</v>
      </c>
      <c r="Z77" s="979">
        <f t="shared" si="25"/>
        <v>-14410.280897912624</v>
      </c>
      <c r="AA77" s="979">
        <f t="shared" si="25"/>
        <v>-13820.424090921961</v>
      </c>
      <c r="AB77" s="979">
        <f t="shared" si="25"/>
        <v>-13460.91010765025</v>
      </c>
      <c r="AC77" s="979">
        <f t="shared" si="25"/>
        <v>-13195.969113377976</v>
      </c>
      <c r="AD77" s="979">
        <f t="shared" si="25"/>
        <v>-13064.705749060684</v>
      </c>
      <c r="AE77" s="979">
        <f t="shared" si="25"/>
        <v>-13300.299730521276</v>
      </c>
      <c r="AF77" s="979">
        <f t="shared" si="25"/>
        <v>-13693.74355255557</v>
      </c>
      <c r="AG77" s="979">
        <f t="shared" si="25"/>
        <v>-14109.134532720047</v>
      </c>
      <c r="AH77" s="979">
        <f t="shared" si="25"/>
        <v>-14546.640854522295</v>
      </c>
      <c r="AI77" s="979">
        <f t="shared" ref="AI77:BJ77" si="26">-AI49*AI64</f>
        <v>-15096.914439963322</v>
      </c>
      <c r="AJ77" s="979">
        <f t="shared" si="26"/>
        <v>-15608.250867807603</v>
      </c>
      <c r="AK77" s="979">
        <f t="shared" si="26"/>
        <v>-15669.698685304962</v>
      </c>
      <c r="AL77" s="979">
        <f t="shared" si="26"/>
        <v>-14971.726308895411</v>
      </c>
      <c r="AM77" s="979">
        <f t="shared" si="26"/>
        <v>-14352.355833958485</v>
      </c>
      <c r="AN77" s="979">
        <f t="shared" si="26"/>
        <v>-13973.36637320555</v>
      </c>
      <c r="AO77" s="979">
        <f t="shared" si="26"/>
        <v>-13693.436188383195</v>
      </c>
      <c r="AP77" s="979">
        <f t="shared" si="26"/>
        <v>-13551.640236517478</v>
      </c>
      <c r="AQ77" s="979">
        <f t="shared" si="26"/>
        <v>-13789.995646645359</v>
      </c>
      <c r="AR77" s="979">
        <f t="shared" si="26"/>
        <v>-14192.005747674464</v>
      </c>
      <c r="AS77" s="979">
        <f t="shared" si="26"/>
        <v>-14616.702550106535</v>
      </c>
      <c r="AT77" s="979">
        <f t="shared" si="26"/>
        <v>-15064.260184971599</v>
      </c>
      <c r="AU77" s="979">
        <f t="shared" si="26"/>
        <v>-15628.050687426481</v>
      </c>
      <c r="AV77" s="979">
        <f t="shared" si="26"/>
        <v>-16076.498393841834</v>
      </c>
      <c r="AW77" s="979">
        <f t="shared" si="26"/>
        <v>-16139.789645864112</v>
      </c>
      <c r="AX77" s="979">
        <f t="shared" si="26"/>
        <v>-15420.878098162275</v>
      </c>
      <c r="AY77" s="979">
        <f t="shared" si="26"/>
        <v>-14782.926508977238</v>
      </c>
      <c r="AZ77" s="979">
        <f t="shared" si="26"/>
        <v>-14392.567364401719</v>
      </c>
      <c r="BA77" s="979">
        <f t="shared" si="26"/>
        <v>-14104.239274034693</v>
      </c>
      <c r="BB77" s="979">
        <f t="shared" si="26"/>
        <v>-13958.189443613002</v>
      </c>
      <c r="BC77" s="979">
        <f t="shared" si="26"/>
        <v>-14203.695516044721</v>
      </c>
      <c r="BD77" s="979">
        <f t="shared" si="26"/>
        <v>-14617.765920104699</v>
      </c>
      <c r="BE77" s="979">
        <f t="shared" si="26"/>
        <v>-15055.203626609729</v>
      </c>
      <c r="BF77" s="979">
        <f t="shared" si="26"/>
        <v>-15516.187990520742</v>
      </c>
      <c r="BG77" s="979">
        <f t="shared" si="26"/>
        <v>-16096.892208049274</v>
      </c>
      <c r="BH77" s="979">
        <f t="shared" si="26"/>
        <v>-16558.793345657086</v>
      </c>
      <c r="BI77" s="979">
        <f t="shared" si="26"/>
        <v>-16623.983335240035</v>
      </c>
      <c r="BJ77" s="979">
        <f t="shared" si="26"/>
        <v>-15883.504441107139</v>
      </c>
    </row>
    <row r="78" spans="2:62">
      <c r="B78" s="988" t="s">
        <v>748</v>
      </c>
      <c r="C78" s="989">
        <f>SUM(C67:C68,C70,C72,C74,C76,C77)</f>
        <v>6424.0325157148818</v>
      </c>
      <c r="D78" s="989">
        <f t="shared" ref="D78:BJ78" si="27">SUM(D67:D68,D70,D72,D74,D76,D77)</f>
        <v>13823.527970569683</v>
      </c>
      <c r="E78" s="989">
        <f t="shared" si="27"/>
        <v>20493.313630470635</v>
      </c>
      <c r="F78" s="989">
        <f t="shared" si="27"/>
        <v>27358.634332111757</v>
      </c>
      <c r="G78" s="989">
        <f t="shared" si="27"/>
        <v>34750.018360783688</v>
      </c>
      <c r="H78" s="989">
        <f t="shared" si="27"/>
        <v>42473.518165445166</v>
      </c>
      <c r="I78" s="989">
        <f t="shared" si="27"/>
        <v>51862.841365062297</v>
      </c>
      <c r="J78" s="989">
        <f t="shared" si="27"/>
        <v>62154.118469845707</v>
      </c>
      <c r="K78" s="989">
        <f t="shared" si="27"/>
        <v>73932.074994697643</v>
      </c>
      <c r="L78" s="989">
        <f t="shared" si="27"/>
        <v>86598.319712540266</v>
      </c>
      <c r="M78" s="989">
        <f t="shared" si="27"/>
        <v>100672.44203466328</v>
      </c>
      <c r="N78" s="989">
        <f t="shared" si="27"/>
        <v>111132.09090304306</v>
      </c>
      <c r="O78" s="989">
        <f t="shared" si="27"/>
        <v>119472.2198228964</v>
      </c>
      <c r="P78" s="989">
        <f t="shared" si="27"/>
        <v>126955.50501934635</v>
      </c>
      <c r="Q78" s="989">
        <f t="shared" si="27"/>
        <v>133581.97973431132</v>
      </c>
      <c r="R78" s="989">
        <f t="shared" si="27"/>
        <v>140750.17794653398</v>
      </c>
      <c r="S78" s="989">
        <f t="shared" si="27"/>
        <v>148613.99055393139</v>
      </c>
      <c r="T78" s="989">
        <f t="shared" si="27"/>
        <v>155750.08382966858</v>
      </c>
      <c r="U78" s="989">
        <f t="shared" si="27"/>
        <v>163201.2127189062</v>
      </c>
      <c r="V78" s="989">
        <f t="shared" si="27"/>
        <v>170747.19124168536</v>
      </c>
      <c r="W78" s="989">
        <f t="shared" si="27"/>
        <v>179764.78847906191</v>
      </c>
      <c r="X78" s="989">
        <f t="shared" si="27"/>
        <v>189114.57437362909</v>
      </c>
      <c r="Y78" s="989">
        <f t="shared" si="27"/>
        <v>199056.34769191622</v>
      </c>
      <c r="Z78" s="989">
        <f t="shared" si="27"/>
        <v>200280.22331111631</v>
      </c>
      <c r="AA78" s="989">
        <f t="shared" si="27"/>
        <v>201202.7458549162</v>
      </c>
      <c r="AB78" s="989">
        <f t="shared" si="27"/>
        <v>201501.36521439892</v>
      </c>
      <c r="AC78" s="989">
        <f t="shared" si="27"/>
        <v>200965.364994984</v>
      </c>
      <c r="AD78" s="989">
        <f t="shared" si="27"/>
        <v>202609.95527066884</v>
      </c>
      <c r="AE78" s="989">
        <f t="shared" si="27"/>
        <v>205853.64602870421</v>
      </c>
      <c r="AF78" s="989">
        <f t="shared" si="27"/>
        <v>208757.52630123703</v>
      </c>
      <c r="AG78" s="989">
        <f t="shared" si="27"/>
        <v>211919.97422183651</v>
      </c>
      <c r="AH78" s="989">
        <f t="shared" si="27"/>
        <v>215383.98859169742</v>
      </c>
      <c r="AI78" s="989">
        <f t="shared" si="27"/>
        <v>219813.68631126473</v>
      </c>
      <c r="AJ78" s="989">
        <f t="shared" si="27"/>
        <v>221520.54204695721</v>
      </c>
      <c r="AK78" s="989">
        <f t="shared" si="27"/>
        <v>223401.60585057575</v>
      </c>
      <c r="AL78" s="989">
        <f t="shared" si="27"/>
        <v>224660.70744750201</v>
      </c>
      <c r="AM78" s="989">
        <f t="shared" si="27"/>
        <v>225160.5088685838</v>
      </c>
      <c r="AN78" s="989">
        <f t="shared" si="27"/>
        <v>224548.40180426906</v>
      </c>
      <c r="AO78" s="989">
        <f t="shared" si="27"/>
        <v>223197.59121843055</v>
      </c>
      <c r="AP78" s="989">
        <f t="shared" si="27"/>
        <v>224090.25078875566</v>
      </c>
      <c r="AQ78" s="989">
        <f t="shared" si="27"/>
        <v>226586.41236965149</v>
      </c>
      <c r="AR78" s="989">
        <f t="shared" si="27"/>
        <v>229419.19763003118</v>
      </c>
      <c r="AS78" s="989">
        <f t="shared" si="27"/>
        <v>232586.94475120996</v>
      </c>
      <c r="AT78" s="989">
        <f t="shared" si="27"/>
        <v>236087.93339209096</v>
      </c>
      <c r="AU78" s="989">
        <f t="shared" si="27"/>
        <v>239265.55436589714</v>
      </c>
      <c r="AV78" s="989">
        <f t="shared" si="27"/>
        <v>240820.78046927549</v>
      </c>
      <c r="AW78" s="989">
        <f t="shared" si="27"/>
        <v>242386.11554232577</v>
      </c>
      <c r="AX78" s="989">
        <f t="shared" si="27"/>
        <v>243301.59951114102</v>
      </c>
      <c r="AY78" s="989">
        <f t="shared" si="27"/>
        <v>243548.64107322821</v>
      </c>
      <c r="AZ78" s="989">
        <f t="shared" si="27"/>
        <v>242993.78735708483</v>
      </c>
      <c r="BA78" s="989">
        <f t="shared" si="27"/>
        <v>241678.56052141267</v>
      </c>
      <c r="BB78" s="989">
        <f t="shared" si="27"/>
        <v>242674.60264902932</v>
      </c>
      <c r="BC78" s="989">
        <f t="shared" si="27"/>
        <v>245322.74976554004</v>
      </c>
      <c r="BD78" s="989">
        <f t="shared" si="27"/>
        <v>248318.12042639236</v>
      </c>
      <c r="BE78" s="989">
        <f t="shared" si="27"/>
        <v>251659.00621584503</v>
      </c>
      <c r="BF78" s="989">
        <f t="shared" si="27"/>
        <v>255343.63846124616</v>
      </c>
      <c r="BG78" s="989">
        <f t="shared" si="27"/>
        <v>258695.71300020456</v>
      </c>
      <c r="BH78" s="989">
        <f t="shared" si="27"/>
        <v>260377.23513470587</v>
      </c>
      <c r="BI78" s="989">
        <f t="shared" si="27"/>
        <v>262069.68716308143</v>
      </c>
      <c r="BJ78" s="989">
        <f t="shared" si="27"/>
        <v>263093.31357396528</v>
      </c>
    </row>
    <row r="79" spans="2:62">
      <c r="B79" s="375" t="s">
        <v>720</v>
      </c>
      <c r="C79" s="985">
        <f t="shared" ref="C79:AH79" si="28">C78/C51</f>
        <v>2.0530008753380269</v>
      </c>
      <c r="D79" s="985">
        <f t="shared" si="28"/>
        <v>2.0332778193765626</v>
      </c>
      <c r="E79" s="985">
        <f t="shared" si="28"/>
        <v>2.0225943572344516</v>
      </c>
      <c r="F79" s="985">
        <f t="shared" si="28"/>
        <v>2.0284521470405559</v>
      </c>
      <c r="G79" s="985">
        <f t="shared" si="28"/>
        <v>2.050101598081151</v>
      </c>
      <c r="H79" s="985">
        <f t="shared" si="28"/>
        <v>2.0833135242400309</v>
      </c>
      <c r="I79" s="985">
        <f t="shared" si="28"/>
        <v>2.1673083200422041</v>
      </c>
      <c r="J79" s="985">
        <f t="shared" si="28"/>
        <v>2.2528932066653464</v>
      </c>
      <c r="K79" s="985">
        <f t="shared" si="28"/>
        <v>2.3339288383889416</v>
      </c>
      <c r="L79" s="985">
        <f t="shared" si="28"/>
        <v>2.4088611495214081</v>
      </c>
      <c r="M79" s="985">
        <f t="shared" si="28"/>
        <v>2.4861341996092015</v>
      </c>
      <c r="N79" s="985">
        <f t="shared" si="28"/>
        <v>2.5422466446354943</v>
      </c>
      <c r="O79" s="985">
        <f t="shared" si="28"/>
        <v>2.5847261096703549</v>
      </c>
      <c r="P79" s="985">
        <f t="shared" si="28"/>
        <v>2.619977984829061</v>
      </c>
      <c r="Q79" s="985">
        <f t="shared" si="28"/>
        <v>2.6570264064207123</v>
      </c>
      <c r="R79" s="985">
        <f t="shared" si="28"/>
        <v>2.7013976215423758</v>
      </c>
      <c r="S79" s="985">
        <f t="shared" si="28"/>
        <v>2.7473055073397865</v>
      </c>
      <c r="T79" s="985">
        <f t="shared" si="28"/>
        <v>2.7841775511562274</v>
      </c>
      <c r="U79" s="985">
        <f t="shared" si="28"/>
        <v>2.8164558021833002</v>
      </c>
      <c r="V79" s="985">
        <f t="shared" si="28"/>
        <v>2.8534273161078465</v>
      </c>
      <c r="W79" s="985">
        <f t="shared" si="28"/>
        <v>2.8930398193099842</v>
      </c>
      <c r="X79" s="985">
        <f t="shared" si="28"/>
        <v>2.9369487379824024</v>
      </c>
      <c r="Y79" s="985">
        <f t="shared" si="28"/>
        <v>2.9812347458027495</v>
      </c>
      <c r="Z79" s="985">
        <f t="shared" si="28"/>
        <v>3.0058729519673184</v>
      </c>
      <c r="AA79" s="985">
        <f t="shared" si="28"/>
        <v>3.0349669278093092</v>
      </c>
      <c r="AB79" s="985">
        <f t="shared" si="28"/>
        <v>3.0657789841265801</v>
      </c>
      <c r="AC79" s="985">
        <f t="shared" si="28"/>
        <v>3.0948002769083751</v>
      </c>
      <c r="AD79" s="985">
        <f t="shared" si="28"/>
        <v>3.1266777033156488</v>
      </c>
      <c r="AE79" s="985">
        <f t="shared" si="28"/>
        <v>3.1607443771112886</v>
      </c>
      <c r="AF79" s="985">
        <f t="shared" si="28"/>
        <v>3.1852638978309638</v>
      </c>
      <c r="AG79" s="985">
        <f t="shared" si="28"/>
        <v>3.2096149449030849</v>
      </c>
      <c r="AH79" s="985">
        <f t="shared" si="28"/>
        <v>3.234578786030859</v>
      </c>
      <c r="AI79" s="985">
        <f t="shared" ref="AI79:BJ79" si="29">AI78/AI51</f>
        <v>3.2620643799297397</v>
      </c>
      <c r="AJ79" s="985">
        <f t="shared" si="29"/>
        <v>3.2873943463686675</v>
      </c>
      <c r="AK79" s="985">
        <f t="shared" si="29"/>
        <v>3.3153095837368727</v>
      </c>
      <c r="AL79" s="985">
        <f t="shared" si="29"/>
        <v>3.3427005092135222</v>
      </c>
      <c r="AM79" s="985">
        <f t="shared" si="29"/>
        <v>3.3685863348189535</v>
      </c>
      <c r="AN79" s="985">
        <f t="shared" si="29"/>
        <v>3.3898729452316889</v>
      </c>
      <c r="AO79" s="985">
        <f t="shared" si="29"/>
        <v>3.4116697668487972</v>
      </c>
      <c r="AP79" s="985">
        <f t="shared" si="29"/>
        <v>3.433920942595369</v>
      </c>
      <c r="AQ79" s="985">
        <f t="shared" si="29"/>
        <v>3.4562026385802187</v>
      </c>
      <c r="AR79" s="985">
        <f t="shared" si="29"/>
        <v>3.4789538734216552</v>
      </c>
      <c r="AS79" s="985">
        <f t="shared" si="29"/>
        <v>3.50230984579493</v>
      </c>
      <c r="AT79" s="985">
        <f t="shared" si="29"/>
        <v>3.5263891978626107</v>
      </c>
      <c r="AU79" s="985">
        <f t="shared" si="29"/>
        <v>3.550732692485389</v>
      </c>
      <c r="AV79" s="985">
        <f t="shared" si="29"/>
        <v>3.5738124549865447</v>
      </c>
      <c r="AW79" s="985">
        <f t="shared" si="29"/>
        <v>3.5970422359439569</v>
      </c>
      <c r="AX79" s="985">
        <f t="shared" si="29"/>
        <v>3.6200561718982445</v>
      </c>
      <c r="AY79" s="985">
        <f t="shared" si="29"/>
        <v>3.6436879109286533</v>
      </c>
      <c r="AZ79" s="985">
        <f t="shared" si="29"/>
        <v>3.668331900839668</v>
      </c>
      <c r="BA79" s="985">
        <f t="shared" si="29"/>
        <v>3.6941592143775588</v>
      </c>
      <c r="BB79" s="985">
        <f t="shared" si="29"/>
        <v>3.7187043940526738</v>
      </c>
      <c r="BC79" s="985">
        <f t="shared" si="29"/>
        <v>3.7419946155472918</v>
      </c>
      <c r="BD79" s="985">
        <f t="shared" si="29"/>
        <v>3.7655405293994417</v>
      </c>
      <c r="BE79" s="985">
        <f t="shared" si="29"/>
        <v>3.789498229126794</v>
      </c>
      <c r="BF79" s="985">
        <f t="shared" si="29"/>
        <v>3.814007075563818</v>
      </c>
      <c r="BG79" s="985">
        <f t="shared" si="29"/>
        <v>3.8390788343521267</v>
      </c>
      <c r="BH79" s="985">
        <f t="shared" si="29"/>
        <v>3.8640328467754155</v>
      </c>
      <c r="BI79" s="985">
        <f t="shared" si="29"/>
        <v>3.889149060279455</v>
      </c>
      <c r="BJ79" s="985">
        <f t="shared" si="29"/>
        <v>3.9145347811204232</v>
      </c>
    </row>
    <row r="80" spans="2:62">
      <c r="O80" s="839"/>
      <c r="Z80" s="840"/>
      <c r="AM80" s="839"/>
      <c r="AX80" s="840"/>
    </row>
    <row r="81" spans="2:62">
      <c r="B81" s="4" t="s">
        <v>749</v>
      </c>
      <c r="O81" s="839"/>
      <c r="Z81" s="840"/>
      <c r="AM81" s="839"/>
      <c r="AX81" s="840"/>
    </row>
    <row r="82" spans="2:62">
      <c r="B82" s="401" t="s">
        <v>721</v>
      </c>
      <c r="C82" s="841">
        <f>C78</f>
        <v>6424.0325157148818</v>
      </c>
      <c r="D82" s="841">
        <f t="shared" ref="D82:BJ82" si="30">D78</f>
        <v>13823.527970569683</v>
      </c>
      <c r="E82" s="841">
        <f t="shared" si="30"/>
        <v>20493.313630470635</v>
      </c>
      <c r="F82" s="841">
        <f t="shared" si="30"/>
        <v>27358.634332111757</v>
      </c>
      <c r="G82" s="841">
        <f t="shared" si="30"/>
        <v>34750.018360783688</v>
      </c>
      <c r="H82" s="841">
        <f t="shared" si="30"/>
        <v>42473.518165445166</v>
      </c>
      <c r="I82" s="841">
        <f t="shared" si="30"/>
        <v>51862.841365062297</v>
      </c>
      <c r="J82" s="841">
        <f t="shared" si="30"/>
        <v>62154.118469845707</v>
      </c>
      <c r="K82" s="841">
        <f t="shared" si="30"/>
        <v>73932.074994697643</v>
      </c>
      <c r="L82" s="841">
        <f t="shared" si="30"/>
        <v>86598.319712540266</v>
      </c>
      <c r="M82" s="841">
        <f t="shared" si="30"/>
        <v>100672.44203466328</v>
      </c>
      <c r="N82" s="841">
        <f t="shared" si="30"/>
        <v>111132.09090304306</v>
      </c>
      <c r="O82" s="841">
        <f t="shared" si="30"/>
        <v>119472.2198228964</v>
      </c>
      <c r="P82" s="841">
        <f t="shared" si="30"/>
        <v>126955.50501934635</v>
      </c>
      <c r="Q82" s="841">
        <f t="shared" si="30"/>
        <v>133581.97973431132</v>
      </c>
      <c r="R82" s="841">
        <f t="shared" si="30"/>
        <v>140750.17794653398</v>
      </c>
      <c r="S82" s="841">
        <f t="shared" si="30"/>
        <v>148613.99055393139</v>
      </c>
      <c r="T82" s="841">
        <f t="shared" si="30"/>
        <v>155750.08382966858</v>
      </c>
      <c r="U82" s="841">
        <f t="shared" si="30"/>
        <v>163201.2127189062</v>
      </c>
      <c r="V82" s="841">
        <f t="shared" si="30"/>
        <v>170747.19124168536</v>
      </c>
      <c r="W82" s="841">
        <f t="shared" si="30"/>
        <v>179764.78847906191</v>
      </c>
      <c r="X82" s="841">
        <f t="shared" si="30"/>
        <v>189114.57437362909</v>
      </c>
      <c r="Y82" s="841">
        <f t="shared" si="30"/>
        <v>199056.34769191622</v>
      </c>
      <c r="Z82" s="841">
        <f t="shared" si="30"/>
        <v>200280.22331111631</v>
      </c>
      <c r="AA82" s="841">
        <f t="shared" si="30"/>
        <v>201202.7458549162</v>
      </c>
      <c r="AB82" s="841">
        <f t="shared" si="30"/>
        <v>201501.36521439892</v>
      </c>
      <c r="AC82" s="841">
        <f t="shared" si="30"/>
        <v>200965.364994984</v>
      </c>
      <c r="AD82" s="841">
        <f t="shared" si="30"/>
        <v>202609.95527066884</v>
      </c>
      <c r="AE82" s="841">
        <f t="shared" si="30"/>
        <v>205853.64602870421</v>
      </c>
      <c r="AF82" s="841">
        <f t="shared" si="30"/>
        <v>208757.52630123703</v>
      </c>
      <c r="AG82" s="841">
        <f t="shared" si="30"/>
        <v>211919.97422183651</v>
      </c>
      <c r="AH82" s="841">
        <f t="shared" si="30"/>
        <v>215383.98859169742</v>
      </c>
      <c r="AI82" s="841">
        <f t="shared" si="30"/>
        <v>219813.68631126473</v>
      </c>
      <c r="AJ82" s="841">
        <f t="shared" si="30"/>
        <v>221520.54204695721</v>
      </c>
      <c r="AK82" s="841">
        <f t="shared" si="30"/>
        <v>223401.60585057575</v>
      </c>
      <c r="AL82" s="841">
        <f t="shared" si="30"/>
        <v>224660.70744750201</v>
      </c>
      <c r="AM82" s="841">
        <f t="shared" si="30"/>
        <v>225160.5088685838</v>
      </c>
      <c r="AN82" s="841">
        <f t="shared" si="30"/>
        <v>224548.40180426906</v>
      </c>
      <c r="AO82" s="841">
        <f t="shared" si="30"/>
        <v>223197.59121843055</v>
      </c>
      <c r="AP82" s="841">
        <f t="shared" si="30"/>
        <v>224090.25078875566</v>
      </c>
      <c r="AQ82" s="841">
        <f t="shared" si="30"/>
        <v>226586.41236965149</v>
      </c>
      <c r="AR82" s="841">
        <f t="shared" si="30"/>
        <v>229419.19763003118</v>
      </c>
      <c r="AS82" s="841">
        <f t="shared" si="30"/>
        <v>232586.94475120996</v>
      </c>
      <c r="AT82" s="841">
        <f t="shared" si="30"/>
        <v>236087.93339209096</v>
      </c>
      <c r="AU82" s="841">
        <f t="shared" si="30"/>
        <v>239265.55436589714</v>
      </c>
      <c r="AV82" s="841">
        <f t="shared" si="30"/>
        <v>240820.78046927549</v>
      </c>
      <c r="AW82" s="841">
        <f t="shared" si="30"/>
        <v>242386.11554232577</v>
      </c>
      <c r="AX82" s="841">
        <f t="shared" si="30"/>
        <v>243301.59951114102</v>
      </c>
      <c r="AY82" s="841">
        <f t="shared" si="30"/>
        <v>243548.64107322821</v>
      </c>
      <c r="AZ82" s="841">
        <f t="shared" si="30"/>
        <v>242993.78735708483</v>
      </c>
      <c r="BA82" s="841">
        <f t="shared" si="30"/>
        <v>241678.56052141267</v>
      </c>
      <c r="BB82" s="841">
        <f t="shared" si="30"/>
        <v>242674.60264902932</v>
      </c>
      <c r="BC82" s="841">
        <f t="shared" si="30"/>
        <v>245322.74976554004</v>
      </c>
      <c r="BD82" s="841">
        <f t="shared" si="30"/>
        <v>248318.12042639236</v>
      </c>
      <c r="BE82" s="841">
        <f t="shared" si="30"/>
        <v>251659.00621584503</v>
      </c>
      <c r="BF82" s="841">
        <f t="shared" si="30"/>
        <v>255343.63846124616</v>
      </c>
      <c r="BG82" s="841">
        <f t="shared" si="30"/>
        <v>258695.71300020456</v>
      </c>
      <c r="BH82" s="841">
        <f t="shared" si="30"/>
        <v>260377.23513470587</v>
      </c>
      <c r="BI82" s="841">
        <f t="shared" si="30"/>
        <v>262069.68716308143</v>
      </c>
      <c r="BJ82" s="841">
        <f t="shared" si="30"/>
        <v>263093.31357396528</v>
      </c>
    </row>
    <row r="83" spans="2:62">
      <c r="B83" s="401" t="s">
        <v>722</v>
      </c>
      <c r="C83" s="843">
        <f>-(C68-C56)*C84</f>
        <v>-6384.485975195721</v>
      </c>
      <c r="D83" s="843">
        <f>-(D68-D56)*D84</f>
        <v>-7812.5414008641364</v>
      </c>
      <c r="E83" s="843">
        <f>-(E68-E56)*E84</f>
        <v>-7306.0344081508229</v>
      </c>
      <c r="F83" s="843">
        <f t="shared" ref="F83:BJ83" si="31">-(F68-F56)*F84</f>
        <v>-7745.9809249463069</v>
      </c>
      <c r="G83" s="843">
        <f t="shared" si="31"/>
        <v>-8557.6023091623738</v>
      </c>
      <c r="H83" s="843">
        <f t="shared" si="31"/>
        <v>-9212.2317151128445</v>
      </c>
      <c r="I83" s="843">
        <f>-(I68-I56)*I84</f>
        <v>-10216.100726027</v>
      </c>
      <c r="J83" s="843">
        <f t="shared" si="31"/>
        <v>-11507.436418246662</v>
      </c>
      <c r="K83" s="843">
        <f t="shared" si="31"/>
        <v>-13794.735267112474</v>
      </c>
      <c r="L83" s="843">
        <f t="shared" si="31"/>
        <v>-15531.405650536524</v>
      </c>
      <c r="M83" s="843">
        <f t="shared" si="31"/>
        <v>-18292.684973493589</v>
      </c>
      <c r="N83" s="843">
        <f t="shared" si="31"/>
        <v>-15354.925550099999</v>
      </c>
      <c r="O83" s="843">
        <f t="shared" si="31"/>
        <v>-12270.327666713185</v>
      </c>
      <c r="P83" s="843">
        <f t="shared" si="31"/>
        <v>-11651.320833634416</v>
      </c>
      <c r="Q83" s="843">
        <f t="shared" si="31"/>
        <v>-9853.7871073636488</v>
      </c>
      <c r="R83" s="843">
        <f t="shared" si="31"/>
        <v>-8966.9462516104577</v>
      </c>
      <c r="S83" s="843">
        <f t="shared" si="31"/>
        <v>-9617.9083584644686</v>
      </c>
      <c r="T83" s="843">
        <f t="shared" si="31"/>
        <v>-8671.2540308625994</v>
      </c>
      <c r="U83" s="843">
        <f t="shared" si="31"/>
        <v>-9350.5721950918596</v>
      </c>
      <c r="V83" s="843">
        <f t="shared" si="31"/>
        <v>-8671.5850107553433</v>
      </c>
      <c r="W83" s="843">
        <f t="shared" si="31"/>
        <v>-9748.5933074575514</v>
      </c>
      <c r="X83" s="843">
        <f t="shared" si="31"/>
        <v>-8687.7979114736445</v>
      </c>
      <c r="Y83" s="843">
        <f t="shared" si="31"/>
        <v>-9087.6250428350777</v>
      </c>
      <c r="Z83" s="843">
        <f t="shared" si="31"/>
        <v>-4159.7561785022399</v>
      </c>
      <c r="AA83" s="843">
        <f t="shared" si="31"/>
        <v>-3789.4707725711123</v>
      </c>
      <c r="AB83" s="843">
        <f t="shared" si="31"/>
        <v>-3452.6862546155949</v>
      </c>
      <c r="AC83" s="843">
        <f t="shared" si="31"/>
        <v>-3158.3863700071638</v>
      </c>
      <c r="AD83" s="843">
        <f t="shared" si="31"/>
        <v>-3770.6284439822825</v>
      </c>
      <c r="AE83" s="843">
        <f t="shared" si="31"/>
        <v>-4303.3532816541983</v>
      </c>
      <c r="AF83" s="843">
        <f t="shared" si="31"/>
        <v>-4513.7715893465056</v>
      </c>
      <c r="AG83" s="843">
        <f t="shared" si="31"/>
        <v>-4728.8425558392873</v>
      </c>
      <c r="AH83" s="843">
        <f t="shared" si="31"/>
        <v>-4950.2705908397838</v>
      </c>
      <c r="AI83" s="843">
        <f t="shared" si="31"/>
        <v>-5385.9174679536272</v>
      </c>
      <c r="AJ83" s="843">
        <f t="shared" si="31"/>
        <v>-4666.9466028356246</v>
      </c>
      <c r="AK83" s="843">
        <f t="shared" si="31"/>
        <v>-4685.3814078350479</v>
      </c>
      <c r="AL83" s="843">
        <f t="shared" si="31"/>
        <v>-4284.9778494966185</v>
      </c>
      <c r="AM83" s="843">
        <f t="shared" si="31"/>
        <v>-3903.5593472785272</v>
      </c>
      <c r="AN83" s="843">
        <f t="shared" si="31"/>
        <v>-3556.6468800779876</v>
      </c>
      <c r="AO83" s="843">
        <f t="shared" si="31"/>
        <v>-3253.4810773635095</v>
      </c>
      <c r="AP83" s="843">
        <f t="shared" si="31"/>
        <v>-3884.1640158753066</v>
      </c>
      <c r="AQ83" s="843">
        <f t="shared" si="31"/>
        <v>-4432.9320543520125</v>
      </c>
      <c r="AR83" s="843">
        <f t="shared" si="31"/>
        <v>-4649.6626704784794</v>
      </c>
      <c r="AS83" s="843">
        <f t="shared" si="31"/>
        <v>-4871.6274373965844</v>
      </c>
      <c r="AT83" s="843">
        <f t="shared" si="31"/>
        <v>-5098.8642801949782</v>
      </c>
      <c r="AU83" s="843">
        <f t="shared" si="31"/>
        <v>-5164.5780146219104</v>
      </c>
      <c r="AV83" s="843">
        <f t="shared" si="31"/>
        <v>-4807.8377559226792</v>
      </c>
      <c r="AW83" s="843">
        <f t="shared" si="31"/>
        <v>-4826.4086962125457</v>
      </c>
      <c r="AX83" s="843">
        <f t="shared" si="31"/>
        <v>-4413.9561706256172</v>
      </c>
      <c r="AY83" s="843">
        <f t="shared" si="31"/>
        <v>-4021.0705792361714</v>
      </c>
      <c r="AZ83" s="843">
        <f t="shared" si="31"/>
        <v>-3663.7263242918657</v>
      </c>
      <c r="BA83" s="843">
        <f t="shared" si="31"/>
        <v>-3351.4286259601499</v>
      </c>
      <c r="BB83" s="843">
        <f t="shared" si="31"/>
        <v>-4000.6887575198807</v>
      </c>
      <c r="BC83" s="843">
        <f t="shared" si="31"/>
        <v>-4566.8150872373562</v>
      </c>
      <c r="BD83" s="843">
        <f t="shared" si="31"/>
        <v>-4789.6304840664689</v>
      </c>
      <c r="BE83" s="843">
        <f t="shared" si="31"/>
        <v>-5017.8495653147857</v>
      </c>
      <c r="BF83" s="843">
        <f t="shared" si="31"/>
        <v>-5252.7620790287829</v>
      </c>
      <c r="BG83" s="843">
        <f t="shared" si="31"/>
        <v>-5320.0179154907155</v>
      </c>
      <c r="BH83" s="843">
        <f t="shared" si="31"/>
        <v>-4952.10934669368</v>
      </c>
      <c r="BI83" s="843">
        <f t="shared" si="31"/>
        <v>-4971.6668032289281</v>
      </c>
      <c r="BJ83" s="843">
        <f t="shared" si="31"/>
        <v>-4546.8038413931317</v>
      </c>
    </row>
    <row r="84" spans="2:62">
      <c r="B84" s="401"/>
      <c r="C84" s="999">
        <v>0.96978892123981431</v>
      </c>
      <c r="D84" s="999">
        <v>1</v>
      </c>
      <c r="E84" s="999">
        <v>1</v>
      </c>
      <c r="F84" s="999">
        <v>1</v>
      </c>
      <c r="G84" s="999">
        <v>1</v>
      </c>
      <c r="H84" s="999">
        <v>1</v>
      </c>
      <c r="I84" s="999">
        <v>1</v>
      </c>
      <c r="J84" s="999">
        <v>1</v>
      </c>
      <c r="K84" s="999">
        <v>1</v>
      </c>
      <c r="L84" s="999">
        <v>1</v>
      </c>
      <c r="M84" s="999">
        <v>1</v>
      </c>
      <c r="N84" s="999">
        <v>1</v>
      </c>
      <c r="O84" s="999">
        <v>0.9000245402963335</v>
      </c>
      <c r="P84" s="999">
        <v>0.89998311757240212</v>
      </c>
      <c r="Q84" s="999">
        <v>0.80003804614612117</v>
      </c>
      <c r="R84" s="999">
        <v>0.69998965341293273</v>
      </c>
      <c r="S84" s="999">
        <v>0.70001893939072013</v>
      </c>
      <c r="T84" s="999">
        <v>0.60001321233554805</v>
      </c>
      <c r="U84" s="999">
        <v>0.59998035169757813</v>
      </c>
      <c r="V84" s="999">
        <v>0.50000300480222881</v>
      </c>
      <c r="W84" s="999">
        <v>0.49999581262297732</v>
      </c>
      <c r="X84" s="999">
        <v>0.40000732607737505</v>
      </c>
      <c r="Y84" s="999">
        <v>0.39999241543381009</v>
      </c>
      <c r="Z84" s="999">
        <v>0.30000284882375661</v>
      </c>
      <c r="AA84" s="999">
        <v>0.30000566862393496</v>
      </c>
      <c r="AB84" s="999">
        <v>0.29999159630028771</v>
      </c>
      <c r="AC84" s="999">
        <v>0.30001442471559331</v>
      </c>
      <c r="AD84" s="999">
        <v>0.30000441989760407</v>
      </c>
      <c r="AE84" s="999">
        <v>0.2999843066393787</v>
      </c>
      <c r="AF84" s="999">
        <v>0.30001167954952174</v>
      </c>
      <c r="AG84" s="999">
        <v>0.2999836823666559</v>
      </c>
      <c r="AH84" s="999">
        <v>0.30000870407647473</v>
      </c>
      <c r="AI84" s="999">
        <v>0.3000003629605188</v>
      </c>
      <c r="AJ84" s="999">
        <v>0.29999160667093999</v>
      </c>
      <c r="AK84" s="999">
        <v>0.29999311539790413</v>
      </c>
      <c r="AL84" s="999">
        <v>0.30000276556498867</v>
      </c>
      <c r="AM84" s="999">
        <v>0.30000550293345019</v>
      </c>
      <c r="AN84" s="999">
        <v>0.29999184195097661</v>
      </c>
      <c r="AO84" s="999">
        <v>0.30001400305115655</v>
      </c>
      <c r="AP84" s="999">
        <v>0.30000429069108014</v>
      </c>
      <c r="AQ84" s="999">
        <v>0.29998476538075386</v>
      </c>
      <c r="AR84" s="999">
        <v>0.30001133816601711</v>
      </c>
      <c r="AS84" s="999">
        <v>0.30000983305631168</v>
      </c>
      <c r="AT84" s="999">
        <v>0.2999839222637376</v>
      </c>
      <c r="AU84" s="999">
        <v>0.29999936055039678</v>
      </c>
      <c r="AV84" s="999">
        <v>0.30001786694738469</v>
      </c>
      <c r="AW84" s="999">
        <v>0.29999331657399991</v>
      </c>
      <c r="AX84" s="999">
        <v>0.30000268474755104</v>
      </c>
      <c r="AY84" s="999">
        <v>0.30000534210259489</v>
      </c>
      <c r="AZ84" s="999">
        <v>0.299992080395941</v>
      </c>
      <c r="BA84" s="999">
        <v>0.3000135937561787</v>
      </c>
      <c r="BB84" s="999">
        <v>0.29997290617540956</v>
      </c>
      <c r="BC84" s="999">
        <v>0.30001259832198479</v>
      </c>
      <c r="BD84" s="999">
        <v>0.30001100679498377</v>
      </c>
      <c r="BE84" s="999">
        <v>0.2999846222081417</v>
      </c>
      <c r="BF84" s="999">
        <v>0.30000820278729168</v>
      </c>
      <c r="BG84" s="999">
        <v>0.2999993792349433</v>
      </c>
      <c r="BH84" s="999">
        <v>0.29999209001095217</v>
      </c>
      <c r="BI84" s="999">
        <v>0.2999935118529537</v>
      </c>
      <c r="BJ84" s="999">
        <v>0.30000260629939562</v>
      </c>
    </row>
    <row r="85" spans="2:62">
      <c r="B85" s="998">
        <v>0.03</v>
      </c>
      <c r="C85" s="843">
        <f>-(C82+C83)*$B$85</f>
        <v>-1.1863962155748231</v>
      </c>
      <c r="D85" s="843">
        <f t="shared" ref="D85:BJ85" si="32">-(D82+D83)*$B$85</f>
        <v>-180.32959709116639</v>
      </c>
      <c r="E85" s="843">
        <f t="shared" si="32"/>
        <v>-395.61837666959434</v>
      </c>
      <c r="F85" s="843">
        <f t="shared" si="32"/>
        <v>-588.37960221496348</v>
      </c>
      <c r="G85" s="843">
        <f t="shared" si="32"/>
        <v>-785.77248154863946</v>
      </c>
      <c r="H85" s="843">
        <f t="shared" si="32"/>
        <v>-997.83859350996966</v>
      </c>
      <c r="I85" s="843">
        <f t="shared" si="32"/>
        <v>-1249.402219171059</v>
      </c>
      <c r="J85" s="843">
        <f t="shared" si="32"/>
        <v>-1519.4004615479714</v>
      </c>
      <c r="K85" s="843">
        <f t="shared" si="32"/>
        <v>-1804.1201918275549</v>
      </c>
      <c r="L85" s="843">
        <f t="shared" si="32"/>
        <v>-2132.0074218601121</v>
      </c>
      <c r="M85" s="843">
        <f t="shared" si="32"/>
        <v>-2471.3927118350907</v>
      </c>
      <c r="N85" s="843">
        <f t="shared" si="32"/>
        <v>-2873.3149605882918</v>
      </c>
      <c r="O85" s="843">
        <f t="shared" si="32"/>
        <v>-3216.0567646854961</v>
      </c>
      <c r="P85" s="843">
        <f t="shared" si="32"/>
        <v>-3459.1255255713581</v>
      </c>
      <c r="Q85" s="843">
        <f>-(Q82+Q83)*$B$85</f>
        <v>-3711.8457788084297</v>
      </c>
      <c r="R85" s="843">
        <f t="shared" si="32"/>
        <v>-3953.4969508477052</v>
      </c>
      <c r="S85" s="843">
        <f t="shared" si="32"/>
        <v>-4169.8824658640069</v>
      </c>
      <c r="T85" s="843">
        <f t="shared" si="32"/>
        <v>-4412.3648939641798</v>
      </c>
      <c r="U85" s="843">
        <f t="shared" si="32"/>
        <v>-4615.5192157144302</v>
      </c>
      <c r="V85" s="843">
        <f t="shared" si="32"/>
        <v>-4862.2681869279004</v>
      </c>
      <c r="W85" s="843">
        <f t="shared" si="32"/>
        <v>-5100.4858551481311</v>
      </c>
      <c r="X85" s="843">
        <f t="shared" si="32"/>
        <v>-5412.8032938646629</v>
      </c>
      <c r="Y85" s="843">
        <f t="shared" si="32"/>
        <v>-5699.0616794724338</v>
      </c>
      <c r="Z85" s="843">
        <f t="shared" si="32"/>
        <v>-5883.614013978422</v>
      </c>
      <c r="AA85" s="843">
        <f t="shared" si="32"/>
        <v>-5922.3982524703524</v>
      </c>
      <c r="AB85" s="843">
        <f t="shared" si="32"/>
        <v>-5941.4603687934996</v>
      </c>
      <c r="AC85" s="843">
        <f t="shared" si="32"/>
        <v>-5934.2093587493055</v>
      </c>
      <c r="AD85" s="843">
        <f t="shared" si="32"/>
        <v>-5965.1798048005967</v>
      </c>
      <c r="AE85" s="843">
        <f t="shared" si="32"/>
        <v>-6046.5087824115008</v>
      </c>
      <c r="AF85" s="843">
        <f t="shared" si="32"/>
        <v>-6127.3126413567161</v>
      </c>
      <c r="AG85" s="843">
        <f t="shared" si="32"/>
        <v>-6215.7339499799173</v>
      </c>
      <c r="AH85" s="843">
        <f t="shared" si="32"/>
        <v>-6313.0115400257282</v>
      </c>
      <c r="AI85" s="843">
        <f t="shared" si="32"/>
        <v>-6432.8330652993327</v>
      </c>
      <c r="AJ85" s="843">
        <f t="shared" si="32"/>
        <v>-6505.6078633236475</v>
      </c>
      <c r="AK85" s="843">
        <f t="shared" si="32"/>
        <v>-6561.4867332822205</v>
      </c>
      <c r="AL85" s="843">
        <f t="shared" si="32"/>
        <v>-6611.2718879401618</v>
      </c>
      <c r="AM85" s="843">
        <f t="shared" si="32"/>
        <v>-6637.7084856391575</v>
      </c>
      <c r="AN85" s="843">
        <f t="shared" si="32"/>
        <v>-6629.7526477257315</v>
      </c>
      <c r="AO85" s="843">
        <f t="shared" si="32"/>
        <v>-6598.3233042320107</v>
      </c>
      <c r="AP85" s="843">
        <f t="shared" si="32"/>
        <v>-6606.1826031864102</v>
      </c>
      <c r="AQ85" s="843">
        <f t="shared" si="32"/>
        <v>-6664.6044094589843</v>
      </c>
      <c r="AR85" s="843">
        <f t="shared" si="32"/>
        <v>-6743.0860487865802</v>
      </c>
      <c r="AS85" s="843">
        <f t="shared" si="32"/>
        <v>-6831.4595194144013</v>
      </c>
      <c r="AT85" s="843">
        <f t="shared" si="32"/>
        <v>-6929.6720733568791</v>
      </c>
      <c r="AU85" s="843">
        <f t="shared" si="32"/>
        <v>-7023.0292905382566</v>
      </c>
      <c r="AV85" s="843">
        <f t="shared" si="32"/>
        <v>-7080.3882814005838</v>
      </c>
      <c r="AW85" s="843">
        <f t="shared" si="32"/>
        <v>-7126.791205383397</v>
      </c>
      <c r="AX85" s="843">
        <f t="shared" si="32"/>
        <v>-7166.6293002154616</v>
      </c>
      <c r="AY85" s="843">
        <f t="shared" si="32"/>
        <v>-7185.8271148197609</v>
      </c>
      <c r="AZ85" s="843">
        <f t="shared" si="32"/>
        <v>-7179.9018309837884</v>
      </c>
      <c r="BA85" s="843">
        <f t="shared" si="32"/>
        <v>-7149.8139568635761</v>
      </c>
      <c r="BB85" s="843">
        <f t="shared" si="32"/>
        <v>-7160.2174167452831</v>
      </c>
      <c r="BC85" s="843">
        <f t="shared" si="32"/>
        <v>-7222.6780403490802</v>
      </c>
      <c r="BD85" s="843">
        <f t="shared" si="32"/>
        <v>-7305.8546982697762</v>
      </c>
      <c r="BE85" s="843">
        <f t="shared" si="32"/>
        <v>-7399.2346995159069</v>
      </c>
      <c r="BF85" s="843">
        <f t="shared" si="32"/>
        <v>-7502.7262914665207</v>
      </c>
      <c r="BG85" s="843">
        <f t="shared" si="32"/>
        <v>-7601.2708525414146</v>
      </c>
      <c r="BH85" s="843">
        <f t="shared" si="32"/>
        <v>-7662.7537736403656</v>
      </c>
      <c r="BI85" s="843">
        <f t="shared" si="32"/>
        <v>-7712.9406107955747</v>
      </c>
      <c r="BJ85" s="843">
        <f t="shared" si="32"/>
        <v>-7756.3952919771646</v>
      </c>
    </row>
    <row r="86" spans="2:62" ht="15" thickBot="1">
      <c r="B86" s="990" t="s">
        <v>750</v>
      </c>
      <c r="C86" s="991">
        <f>SUM(C82:C83,C85)</f>
        <v>38.360144303585948</v>
      </c>
      <c r="D86" s="991">
        <f t="shared" ref="D86:BJ86" si="33">SUM(D82:D83,D85)</f>
        <v>5830.6569726143798</v>
      </c>
      <c r="E86" s="991">
        <f t="shared" si="33"/>
        <v>12791.660845650218</v>
      </c>
      <c r="F86" s="991">
        <f t="shared" si="33"/>
        <v>19024.273804950488</v>
      </c>
      <c r="G86" s="991">
        <f t="shared" si="33"/>
        <v>25406.643570072676</v>
      </c>
      <c r="H86" s="991">
        <f t="shared" si="33"/>
        <v>32263.447856822353</v>
      </c>
      <c r="I86" s="991">
        <f t="shared" si="33"/>
        <v>40397.338419864238</v>
      </c>
      <c r="J86" s="991">
        <f t="shared" si="33"/>
        <v>49127.281590051076</v>
      </c>
      <c r="K86" s="991">
        <f t="shared" si="33"/>
        <v>58333.219535757613</v>
      </c>
      <c r="L86" s="991">
        <f t="shared" si="33"/>
        <v>68934.906640143628</v>
      </c>
      <c r="M86" s="991">
        <f t="shared" si="33"/>
        <v>79908.364349334603</v>
      </c>
      <c r="N86" s="991">
        <f t="shared" si="33"/>
        <v>92903.850392354769</v>
      </c>
      <c r="O86" s="991">
        <f t="shared" si="33"/>
        <v>103985.83539149772</v>
      </c>
      <c r="P86" s="991">
        <f t="shared" si="33"/>
        <v>111845.05866014058</v>
      </c>
      <c r="Q86" s="991">
        <f t="shared" si="33"/>
        <v>120016.34684813923</v>
      </c>
      <c r="R86" s="991">
        <f t="shared" si="33"/>
        <v>127829.7347440758</v>
      </c>
      <c r="S86" s="991">
        <f t="shared" si="33"/>
        <v>134826.1997296029</v>
      </c>
      <c r="T86" s="991">
        <f t="shared" si="33"/>
        <v>142666.46490484182</v>
      </c>
      <c r="U86" s="991">
        <f t="shared" si="33"/>
        <v>149235.12130809992</v>
      </c>
      <c r="V86" s="991">
        <f t="shared" si="33"/>
        <v>157213.33804400213</v>
      </c>
      <c r="W86" s="991">
        <f t="shared" si="33"/>
        <v>164915.70931645622</v>
      </c>
      <c r="X86" s="991">
        <f t="shared" si="33"/>
        <v>175013.9731682908</v>
      </c>
      <c r="Y86" s="991">
        <f t="shared" si="33"/>
        <v>184269.6609696087</v>
      </c>
      <c r="Z86" s="991">
        <f t="shared" si="33"/>
        <v>190236.85311863566</v>
      </c>
      <c r="AA86" s="991">
        <f t="shared" si="33"/>
        <v>191490.87682987473</v>
      </c>
      <c r="AB86" s="991">
        <f t="shared" si="33"/>
        <v>192107.21859098983</v>
      </c>
      <c r="AC86" s="991">
        <f t="shared" si="33"/>
        <v>191872.76926622755</v>
      </c>
      <c r="AD86" s="991">
        <f t="shared" si="33"/>
        <v>192874.14702188596</v>
      </c>
      <c r="AE86" s="991">
        <f t="shared" si="33"/>
        <v>195503.78396463854</v>
      </c>
      <c r="AF86" s="991">
        <f t="shared" si="33"/>
        <v>198116.44207053381</v>
      </c>
      <c r="AG86" s="991">
        <f t="shared" si="33"/>
        <v>200975.39771601732</v>
      </c>
      <c r="AH86" s="991">
        <f t="shared" si="33"/>
        <v>204120.70646083189</v>
      </c>
      <c r="AI86" s="991">
        <f t="shared" si="33"/>
        <v>207994.93577801174</v>
      </c>
      <c r="AJ86" s="991">
        <f t="shared" si="33"/>
        <v>210347.98758079796</v>
      </c>
      <c r="AK86" s="991">
        <f t="shared" si="33"/>
        <v>212154.73770945848</v>
      </c>
      <c r="AL86" s="991">
        <f t="shared" si="33"/>
        <v>213764.45771006524</v>
      </c>
      <c r="AM86" s="991">
        <f t="shared" si="33"/>
        <v>214619.24103566611</v>
      </c>
      <c r="AN86" s="991">
        <f t="shared" si="33"/>
        <v>214362.00227646535</v>
      </c>
      <c r="AO86" s="991">
        <f t="shared" si="33"/>
        <v>213345.78683683503</v>
      </c>
      <c r="AP86" s="991">
        <f t="shared" si="33"/>
        <v>213599.90416969394</v>
      </c>
      <c r="AQ86" s="991">
        <f t="shared" si="33"/>
        <v>215488.87590584048</v>
      </c>
      <c r="AR86" s="991">
        <f t="shared" si="33"/>
        <v>218026.44891076611</v>
      </c>
      <c r="AS86" s="991">
        <f t="shared" si="33"/>
        <v>220883.85779439897</v>
      </c>
      <c r="AT86" s="991">
        <f t="shared" si="33"/>
        <v>224059.39703853911</v>
      </c>
      <c r="AU86" s="991">
        <f t="shared" si="33"/>
        <v>227077.94706073697</v>
      </c>
      <c r="AV86" s="991">
        <f t="shared" si="33"/>
        <v>228932.55443195222</v>
      </c>
      <c r="AW86" s="991">
        <f t="shared" si="33"/>
        <v>230432.91564072983</v>
      </c>
      <c r="AX86" s="991">
        <f t="shared" si="33"/>
        <v>231721.01404029995</v>
      </c>
      <c r="AY86" s="991">
        <f t="shared" si="33"/>
        <v>232341.74337917229</v>
      </c>
      <c r="AZ86" s="991">
        <f t="shared" si="33"/>
        <v>232150.15920180918</v>
      </c>
      <c r="BA86" s="991">
        <f t="shared" si="33"/>
        <v>231177.31793858897</v>
      </c>
      <c r="BB86" s="991">
        <f t="shared" si="33"/>
        <v>231513.69647476415</v>
      </c>
      <c r="BC86" s="991">
        <f t="shared" si="33"/>
        <v>233533.2566379536</v>
      </c>
      <c r="BD86" s="991">
        <f t="shared" si="33"/>
        <v>236222.63524405612</v>
      </c>
      <c r="BE86" s="991">
        <f t="shared" si="33"/>
        <v>239241.92195101432</v>
      </c>
      <c r="BF86" s="991">
        <f t="shared" si="33"/>
        <v>242588.15009075083</v>
      </c>
      <c r="BG86" s="991">
        <f t="shared" si="33"/>
        <v>245774.42423217243</v>
      </c>
      <c r="BH86" s="991">
        <f t="shared" si="33"/>
        <v>247762.37201437182</v>
      </c>
      <c r="BI86" s="991">
        <f t="shared" si="33"/>
        <v>249385.07974905692</v>
      </c>
      <c r="BJ86" s="991">
        <f t="shared" si="33"/>
        <v>250790.114440595</v>
      </c>
    </row>
    <row r="87" spans="2:62" ht="15" thickTop="1">
      <c r="D87" s="975"/>
      <c r="E87" s="975"/>
      <c r="F87" s="975"/>
      <c r="G87" s="975"/>
      <c r="H87" s="975"/>
      <c r="I87" s="975"/>
      <c r="J87" s="975"/>
      <c r="K87" s="975"/>
      <c r="L87" s="975"/>
      <c r="M87" s="975"/>
      <c r="N87" s="975"/>
      <c r="O87" s="975"/>
      <c r="P87" s="975"/>
      <c r="Q87" s="975"/>
      <c r="R87" s="975"/>
      <c r="S87" s="975"/>
      <c r="T87" s="975"/>
      <c r="U87" s="975"/>
      <c r="V87" s="975"/>
      <c r="W87" s="975"/>
      <c r="X87" s="975"/>
      <c r="Y87" s="975"/>
      <c r="Z87" s="975"/>
      <c r="AA87" s="975"/>
      <c r="AB87" s="975"/>
      <c r="AC87" s="975"/>
      <c r="AD87" s="975"/>
      <c r="AE87" s="975"/>
      <c r="AF87" s="975"/>
      <c r="AG87" s="975"/>
      <c r="AH87" s="975"/>
      <c r="AI87" s="975"/>
      <c r="AJ87" s="975"/>
      <c r="AK87" s="975"/>
      <c r="AL87" s="975"/>
      <c r="AM87" s="975"/>
      <c r="AN87" s="975"/>
      <c r="AO87" s="975"/>
      <c r="AP87" s="975"/>
      <c r="AQ87" s="975"/>
    </row>
    <row r="88" spans="2:62">
      <c r="D88" s="997"/>
      <c r="E88" s="997"/>
      <c r="F88" s="997"/>
      <c r="G88" s="997"/>
      <c r="H88" s="997"/>
      <c r="I88" s="997"/>
      <c r="J88" s="997"/>
      <c r="K88" s="997"/>
      <c r="L88" s="997"/>
      <c r="M88" s="997"/>
      <c r="N88" s="997"/>
      <c r="O88" s="997"/>
      <c r="P88" s="997"/>
      <c r="Q88" s="997"/>
      <c r="R88" s="997"/>
      <c r="S88" s="997"/>
      <c r="T88" s="997"/>
      <c r="U88" s="997"/>
      <c r="V88" s="997"/>
      <c r="W88" s="997"/>
      <c r="X88" s="997"/>
      <c r="Y88" s="997"/>
      <c r="Z88" s="997"/>
      <c r="AA88" s="997"/>
      <c r="AB88" s="997"/>
      <c r="AC88" s="997"/>
      <c r="AD88" s="997"/>
      <c r="AE88" s="997"/>
      <c r="AF88" s="997"/>
      <c r="AG88" s="997"/>
      <c r="AH88" s="997"/>
      <c r="AI88" s="997"/>
      <c r="AJ88" s="997"/>
      <c r="AK88" s="997"/>
      <c r="AL88" s="997"/>
      <c r="AM88" s="997"/>
      <c r="AN88" s="997"/>
      <c r="AO88" s="997"/>
      <c r="AP88" s="997"/>
      <c r="AQ88" s="997"/>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A4AF-F054-4FDB-AE7B-BB07B2C3DB2C}">
  <sheetPr>
    <tabColor rgb="FFFFC000"/>
  </sheetPr>
  <dimension ref="A1:BK78"/>
  <sheetViews>
    <sheetView workbookViewId="0">
      <pane xSplit="2" ySplit="7" topLeftCell="R20" activePane="bottomRight" state="frozen"/>
      <selection pane="topRight" activeCell="C1" sqref="C1"/>
      <selection pane="bottomLeft" activeCell="A5" sqref="A5"/>
      <selection pane="bottomRight" activeCell="C11" sqref="C11"/>
    </sheetView>
  </sheetViews>
  <sheetFormatPr defaultRowHeight="14.5"/>
  <cols>
    <col min="1" max="1" width="1.6328125" customWidth="1"/>
    <col min="2" max="2" width="43.36328125" customWidth="1"/>
    <col min="3" max="62" width="11.36328125" customWidth="1"/>
    <col min="63" max="63" width="3.36328125" customWidth="1"/>
  </cols>
  <sheetData>
    <row r="1" spans="1:63" ht="15" customHeight="1">
      <c r="B1" t="s">
        <v>924</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s="1098">
        <v>32</v>
      </c>
      <c r="AI1">
        <v>33</v>
      </c>
      <c r="AJ1">
        <v>34</v>
      </c>
      <c r="AK1">
        <v>35</v>
      </c>
      <c r="AL1">
        <v>36</v>
      </c>
      <c r="AM1">
        <v>37</v>
      </c>
      <c r="AN1">
        <v>38</v>
      </c>
      <c r="AO1">
        <v>39</v>
      </c>
      <c r="AP1">
        <v>40</v>
      </c>
      <c r="AQ1">
        <v>41</v>
      </c>
      <c r="AR1">
        <v>42</v>
      </c>
      <c r="AS1">
        <v>43</v>
      </c>
      <c r="AT1">
        <v>44</v>
      </c>
      <c r="AU1">
        <v>45</v>
      </c>
      <c r="AV1">
        <v>46</v>
      </c>
      <c r="AW1">
        <v>47</v>
      </c>
      <c r="AX1">
        <v>48</v>
      </c>
      <c r="AY1">
        <v>49</v>
      </c>
      <c r="AZ1">
        <v>50</v>
      </c>
      <c r="BA1">
        <v>51</v>
      </c>
      <c r="BB1">
        <v>52</v>
      </c>
      <c r="BC1">
        <v>53</v>
      </c>
      <c r="BD1">
        <v>54</v>
      </c>
      <c r="BE1">
        <v>55</v>
      </c>
      <c r="BF1">
        <v>56</v>
      </c>
      <c r="BG1">
        <v>57</v>
      </c>
      <c r="BH1">
        <v>58</v>
      </c>
      <c r="BI1">
        <v>59</v>
      </c>
      <c r="BJ1">
        <v>60</v>
      </c>
    </row>
    <row r="2" spans="1:63" ht="10.5" customHeight="1">
      <c r="B2" t="s">
        <v>925</v>
      </c>
      <c r="C2">
        <v>1</v>
      </c>
      <c r="D2">
        <v>2</v>
      </c>
      <c r="E2">
        <v>3</v>
      </c>
      <c r="F2">
        <v>4</v>
      </c>
      <c r="G2">
        <v>5</v>
      </c>
      <c r="H2">
        <v>6</v>
      </c>
      <c r="I2">
        <v>7</v>
      </c>
      <c r="J2">
        <v>8</v>
      </c>
      <c r="K2">
        <v>9</v>
      </c>
      <c r="L2">
        <v>10</v>
      </c>
      <c r="M2">
        <v>11</v>
      </c>
      <c r="N2">
        <v>12</v>
      </c>
      <c r="O2">
        <v>1</v>
      </c>
      <c r="P2">
        <v>2</v>
      </c>
      <c r="Q2">
        <v>3</v>
      </c>
      <c r="R2">
        <v>4</v>
      </c>
      <c r="S2">
        <v>5</v>
      </c>
      <c r="T2">
        <v>6</v>
      </c>
      <c r="U2">
        <v>7</v>
      </c>
      <c r="V2">
        <v>8</v>
      </c>
      <c r="W2">
        <v>9</v>
      </c>
      <c r="X2">
        <v>10</v>
      </c>
      <c r="Y2">
        <v>11</v>
      </c>
      <c r="Z2">
        <v>12</v>
      </c>
      <c r="AA2">
        <v>1</v>
      </c>
      <c r="AB2">
        <v>2</v>
      </c>
      <c r="AC2">
        <v>3</v>
      </c>
      <c r="AD2">
        <v>4</v>
      </c>
      <c r="AE2">
        <v>5</v>
      </c>
      <c r="AF2">
        <v>6</v>
      </c>
      <c r="AG2">
        <v>7</v>
      </c>
      <c r="AH2" s="1098">
        <v>8</v>
      </c>
      <c r="AI2">
        <v>9</v>
      </c>
      <c r="AJ2">
        <v>10</v>
      </c>
      <c r="AK2">
        <v>11</v>
      </c>
      <c r="AL2">
        <v>12</v>
      </c>
      <c r="AM2">
        <v>1</v>
      </c>
      <c r="AN2">
        <v>2</v>
      </c>
      <c r="AO2">
        <v>3</v>
      </c>
      <c r="AP2">
        <v>4</v>
      </c>
      <c r="AQ2">
        <v>5</v>
      </c>
      <c r="AR2">
        <v>6</v>
      </c>
      <c r="AS2">
        <v>7</v>
      </c>
      <c r="AT2">
        <v>8</v>
      </c>
      <c r="AU2">
        <v>9</v>
      </c>
      <c r="AV2">
        <v>10</v>
      </c>
      <c r="AW2">
        <v>11</v>
      </c>
      <c r="AX2">
        <v>12</v>
      </c>
      <c r="AY2">
        <v>1</v>
      </c>
      <c r="AZ2">
        <v>2</v>
      </c>
      <c r="BA2">
        <v>3</v>
      </c>
      <c r="BB2">
        <v>4</v>
      </c>
      <c r="BC2">
        <v>5</v>
      </c>
      <c r="BD2">
        <v>6</v>
      </c>
      <c r="BE2">
        <v>7</v>
      </c>
      <c r="BF2">
        <v>8</v>
      </c>
      <c r="BG2">
        <v>9</v>
      </c>
      <c r="BH2">
        <v>10</v>
      </c>
      <c r="BI2">
        <v>11</v>
      </c>
      <c r="BJ2">
        <v>12</v>
      </c>
    </row>
    <row r="3" spans="1:63" ht="12.75" customHeight="1">
      <c r="B3" t="s">
        <v>926</v>
      </c>
      <c r="C3">
        <v>1</v>
      </c>
      <c r="D3">
        <v>1</v>
      </c>
      <c r="E3">
        <v>1</v>
      </c>
      <c r="F3">
        <v>1</v>
      </c>
      <c r="G3">
        <v>1</v>
      </c>
      <c r="H3">
        <v>1</v>
      </c>
      <c r="I3">
        <v>1</v>
      </c>
      <c r="J3">
        <v>1</v>
      </c>
      <c r="K3">
        <v>1</v>
      </c>
      <c r="L3">
        <v>1</v>
      </c>
      <c r="M3">
        <v>1</v>
      </c>
      <c r="N3">
        <v>1</v>
      </c>
      <c r="O3">
        <v>2</v>
      </c>
      <c r="P3">
        <v>2</v>
      </c>
      <c r="Q3">
        <v>2</v>
      </c>
      <c r="R3">
        <v>2</v>
      </c>
      <c r="S3">
        <v>2</v>
      </c>
      <c r="T3">
        <v>2</v>
      </c>
      <c r="U3">
        <v>2</v>
      </c>
      <c r="V3">
        <v>2</v>
      </c>
      <c r="W3">
        <v>2</v>
      </c>
      <c r="X3">
        <v>2</v>
      </c>
      <c r="Y3">
        <v>2</v>
      </c>
      <c r="Z3">
        <v>2</v>
      </c>
      <c r="AA3">
        <v>3</v>
      </c>
      <c r="AB3">
        <v>3</v>
      </c>
      <c r="AC3">
        <v>3</v>
      </c>
      <c r="AD3">
        <v>3</v>
      </c>
      <c r="AE3">
        <v>3</v>
      </c>
      <c r="AF3">
        <v>3</v>
      </c>
      <c r="AG3">
        <v>3</v>
      </c>
      <c r="AH3">
        <v>3</v>
      </c>
      <c r="AI3">
        <v>3</v>
      </c>
      <c r="AJ3">
        <v>3</v>
      </c>
      <c r="AK3">
        <v>3</v>
      </c>
      <c r="AL3">
        <v>3</v>
      </c>
      <c r="AM3">
        <v>4</v>
      </c>
      <c r="AN3">
        <v>4</v>
      </c>
      <c r="AO3">
        <v>4</v>
      </c>
      <c r="AP3">
        <v>4</v>
      </c>
      <c r="AQ3">
        <v>4</v>
      </c>
      <c r="AR3">
        <v>4</v>
      </c>
      <c r="AS3">
        <v>4</v>
      </c>
      <c r="AT3">
        <v>4</v>
      </c>
      <c r="AU3">
        <v>4</v>
      </c>
      <c r="AV3">
        <v>4</v>
      </c>
      <c r="AW3">
        <v>4</v>
      </c>
      <c r="AX3">
        <v>4</v>
      </c>
      <c r="AY3">
        <v>5</v>
      </c>
      <c r="AZ3">
        <v>5</v>
      </c>
      <c r="BA3">
        <v>5</v>
      </c>
      <c r="BB3">
        <v>5</v>
      </c>
      <c r="BC3">
        <v>5</v>
      </c>
      <c r="BD3">
        <v>5</v>
      </c>
      <c r="BE3">
        <v>5</v>
      </c>
      <c r="BF3">
        <v>5</v>
      </c>
      <c r="BG3">
        <v>5</v>
      </c>
      <c r="BH3">
        <v>5</v>
      </c>
      <c r="BI3">
        <v>5</v>
      </c>
      <c r="BJ3">
        <v>5</v>
      </c>
    </row>
    <row r="4" spans="1:63" ht="15" thickBot="1"/>
    <row r="5" spans="1:63" ht="16">
      <c r="A5" s="823"/>
      <c r="B5" s="823"/>
      <c r="C5" s="824" t="s">
        <v>658</v>
      </c>
      <c r="D5" s="825"/>
      <c r="E5" s="825"/>
      <c r="F5" s="825"/>
      <c r="G5" s="825"/>
      <c r="H5" s="825"/>
      <c r="I5" s="825"/>
      <c r="J5" s="825"/>
      <c r="K5" s="825"/>
      <c r="L5" s="825"/>
      <c r="M5" s="825"/>
      <c r="N5" s="826"/>
      <c r="O5" s="824" t="s">
        <v>659</v>
      </c>
      <c r="P5" s="825"/>
      <c r="Q5" s="825"/>
      <c r="R5" s="825"/>
      <c r="S5" s="825"/>
      <c r="T5" s="825"/>
      <c r="U5" s="825"/>
      <c r="V5" s="825"/>
      <c r="W5" s="825"/>
      <c r="X5" s="825"/>
      <c r="Y5" s="825"/>
      <c r="Z5" s="826"/>
      <c r="AA5" s="824" t="s">
        <v>660</v>
      </c>
      <c r="AB5" s="825"/>
      <c r="AC5" s="825"/>
      <c r="AD5" s="825"/>
      <c r="AE5" s="825"/>
      <c r="AF5" s="825"/>
      <c r="AG5" s="825"/>
      <c r="AH5" s="825"/>
      <c r="AI5" s="825"/>
      <c r="AJ5" s="825"/>
      <c r="AK5" s="825"/>
      <c r="AL5" s="826"/>
      <c r="AM5" s="824" t="s">
        <v>661</v>
      </c>
      <c r="AN5" s="825"/>
      <c r="AO5" s="825"/>
      <c r="AP5" s="825"/>
      <c r="AQ5" s="825"/>
      <c r="AR5" s="825"/>
      <c r="AS5" s="825"/>
      <c r="AT5" s="825"/>
      <c r="AU5" s="825"/>
      <c r="AV5" s="825"/>
      <c r="AW5" s="825"/>
      <c r="AX5" s="826"/>
      <c r="AY5" s="824" t="s">
        <v>662</v>
      </c>
      <c r="AZ5" s="825"/>
      <c r="BA5" s="825"/>
      <c r="BB5" s="825"/>
      <c r="BC5" s="825"/>
      <c r="BD5" s="825"/>
      <c r="BE5" s="825"/>
      <c r="BF5" s="825"/>
      <c r="BG5" s="825"/>
      <c r="BH5" s="825"/>
      <c r="BI5" s="825"/>
      <c r="BJ5" s="826"/>
      <c r="BK5" s="823"/>
    </row>
    <row r="6" spans="1:63">
      <c r="C6" s="992">
        <v>1</v>
      </c>
      <c r="D6" s="993">
        <f>C6+1</f>
        <v>2</v>
      </c>
      <c r="E6" s="993">
        <f t="shared" ref="E6:BJ6" si="0">D6+1</f>
        <v>3</v>
      </c>
      <c r="F6" s="993">
        <f t="shared" si="0"/>
        <v>4</v>
      </c>
      <c r="G6" s="993">
        <f t="shared" si="0"/>
        <v>5</v>
      </c>
      <c r="H6" s="993">
        <f t="shared" si="0"/>
        <v>6</v>
      </c>
      <c r="I6" s="993">
        <f t="shared" si="0"/>
        <v>7</v>
      </c>
      <c r="J6" s="993">
        <f t="shared" si="0"/>
        <v>8</v>
      </c>
      <c r="K6" s="993">
        <f t="shared" si="0"/>
        <v>9</v>
      </c>
      <c r="L6" s="993">
        <f t="shared" si="0"/>
        <v>10</v>
      </c>
      <c r="M6" s="993">
        <f t="shared" si="0"/>
        <v>11</v>
      </c>
      <c r="N6" s="993">
        <f t="shared" si="0"/>
        <v>12</v>
      </c>
      <c r="O6" s="993">
        <f t="shared" si="0"/>
        <v>13</v>
      </c>
      <c r="P6" s="993">
        <f t="shared" si="0"/>
        <v>14</v>
      </c>
      <c r="Q6" s="993">
        <f t="shared" si="0"/>
        <v>15</v>
      </c>
      <c r="R6" s="993">
        <f t="shared" si="0"/>
        <v>16</v>
      </c>
      <c r="S6" s="993">
        <f t="shared" si="0"/>
        <v>17</v>
      </c>
      <c r="T6" s="993">
        <f t="shared" si="0"/>
        <v>18</v>
      </c>
      <c r="U6" s="993">
        <f t="shared" si="0"/>
        <v>19</v>
      </c>
      <c r="V6" s="993">
        <f t="shared" si="0"/>
        <v>20</v>
      </c>
      <c r="W6" s="993">
        <f t="shared" si="0"/>
        <v>21</v>
      </c>
      <c r="X6" s="993">
        <f t="shared" si="0"/>
        <v>22</v>
      </c>
      <c r="Y6" s="993">
        <f t="shared" si="0"/>
        <v>23</v>
      </c>
      <c r="Z6" s="993">
        <f t="shared" si="0"/>
        <v>24</v>
      </c>
      <c r="AA6" s="993">
        <f t="shared" si="0"/>
        <v>25</v>
      </c>
      <c r="AB6" s="993">
        <f t="shared" si="0"/>
        <v>26</v>
      </c>
      <c r="AC6" s="993">
        <f t="shared" si="0"/>
        <v>27</v>
      </c>
      <c r="AD6" s="993">
        <f t="shared" si="0"/>
        <v>28</v>
      </c>
      <c r="AE6" s="993">
        <f t="shared" si="0"/>
        <v>29</v>
      </c>
      <c r="AF6" s="993">
        <f t="shared" si="0"/>
        <v>30</v>
      </c>
      <c r="AG6" s="993">
        <f t="shared" si="0"/>
        <v>31</v>
      </c>
      <c r="AH6" s="993">
        <f t="shared" si="0"/>
        <v>32</v>
      </c>
      <c r="AI6" s="993">
        <f t="shared" si="0"/>
        <v>33</v>
      </c>
      <c r="AJ6" s="993">
        <f t="shared" si="0"/>
        <v>34</v>
      </c>
      <c r="AK6" s="993">
        <f t="shared" si="0"/>
        <v>35</v>
      </c>
      <c r="AL6" s="993">
        <f t="shared" si="0"/>
        <v>36</v>
      </c>
      <c r="AM6" s="993">
        <f t="shared" si="0"/>
        <v>37</v>
      </c>
      <c r="AN6" s="993">
        <f t="shared" si="0"/>
        <v>38</v>
      </c>
      <c r="AO6" s="993">
        <f t="shared" si="0"/>
        <v>39</v>
      </c>
      <c r="AP6" s="993">
        <f t="shared" si="0"/>
        <v>40</v>
      </c>
      <c r="AQ6" s="993">
        <f t="shared" si="0"/>
        <v>41</v>
      </c>
      <c r="AR6" s="993">
        <f t="shared" si="0"/>
        <v>42</v>
      </c>
      <c r="AS6" s="993">
        <f t="shared" si="0"/>
        <v>43</v>
      </c>
      <c r="AT6" s="993">
        <f t="shared" si="0"/>
        <v>44</v>
      </c>
      <c r="AU6" s="993">
        <f t="shared" si="0"/>
        <v>45</v>
      </c>
      <c r="AV6" s="993">
        <f t="shared" si="0"/>
        <v>46</v>
      </c>
      <c r="AW6" s="993">
        <f t="shared" si="0"/>
        <v>47</v>
      </c>
      <c r="AX6" s="993">
        <f t="shared" si="0"/>
        <v>48</v>
      </c>
      <c r="AY6" s="993">
        <f t="shared" si="0"/>
        <v>49</v>
      </c>
      <c r="AZ6" s="993">
        <f t="shared" si="0"/>
        <v>50</v>
      </c>
      <c r="BA6" s="993">
        <f t="shared" si="0"/>
        <v>51</v>
      </c>
      <c r="BB6" s="993">
        <f t="shared" si="0"/>
        <v>52</v>
      </c>
      <c r="BC6" s="993">
        <f t="shared" si="0"/>
        <v>53</v>
      </c>
      <c r="BD6" s="993">
        <f t="shared" si="0"/>
        <v>54</v>
      </c>
      <c r="BE6" s="993">
        <f t="shared" si="0"/>
        <v>55</v>
      </c>
      <c r="BF6" s="993">
        <f t="shared" si="0"/>
        <v>56</v>
      </c>
      <c r="BG6" s="993">
        <f t="shared" si="0"/>
        <v>57</v>
      </c>
      <c r="BH6" s="993">
        <f t="shared" si="0"/>
        <v>58</v>
      </c>
      <c r="BI6" s="993">
        <f t="shared" si="0"/>
        <v>59</v>
      </c>
      <c r="BJ6" s="993">
        <f t="shared" si="0"/>
        <v>60</v>
      </c>
    </row>
    <row r="7" spans="1:63" ht="15" thickBot="1">
      <c r="C7" s="830">
        <f>EOMONTH('Property Data'!H2,0)</f>
        <v>45961</v>
      </c>
      <c r="D7" s="831">
        <f>+EOMONTH(C7,1)</f>
        <v>45991</v>
      </c>
      <c r="E7" s="831">
        <f>+EOMONTH(D7,1)</f>
        <v>46022</v>
      </c>
      <c r="F7" s="831">
        <f>+EOMONTH(E7,1)</f>
        <v>46053</v>
      </c>
      <c r="G7" s="831">
        <f t="shared" ref="G7:BJ7" si="1">+EOMONTH(F7,1)</f>
        <v>46081</v>
      </c>
      <c r="H7" s="831">
        <f t="shared" si="1"/>
        <v>46112</v>
      </c>
      <c r="I7" s="831">
        <f t="shared" si="1"/>
        <v>46142</v>
      </c>
      <c r="J7" s="831">
        <f t="shared" si="1"/>
        <v>46173</v>
      </c>
      <c r="K7" s="831">
        <f t="shared" si="1"/>
        <v>46203</v>
      </c>
      <c r="L7" s="831">
        <f t="shared" si="1"/>
        <v>46234</v>
      </c>
      <c r="M7" s="831">
        <f t="shared" si="1"/>
        <v>46265</v>
      </c>
      <c r="N7" s="832">
        <f t="shared" si="1"/>
        <v>46295</v>
      </c>
      <c r="O7" s="830">
        <f t="shared" si="1"/>
        <v>46326</v>
      </c>
      <c r="P7" s="831">
        <f t="shared" si="1"/>
        <v>46356</v>
      </c>
      <c r="Q7" s="831">
        <f t="shared" si="1"/>
        <v>46387</v>
      </c>
      <c r="R7" s="831">
        <f t="shared" si="1"/>
        <v>46418</v>
      </c>
      <c r="S7" s="831">
        <f t="shared" si="1"/>
        <v>46446</v>
      </c>
      <c r="T7" s="831">
        <f t="shared" si="1"/>
        <v>46477</v>
      </c>
      <c r="U7" s="831">
        <f t="shared" si="1"/>
        <v>46507</v>
      </c>
      <c r="V7" s="831">
        <f t="shared" si="1"/>
        <v>46538</v>
      </c>
      <c r="W7" s="831">
        <f t="shared" si="1"/>
        <v>46568</v>
      </c>
      <c r="X7" s="831">
        <f t="shared" si="1"/>
        <v>46599</v>
      </c>
      <c r="Y7" s="831">
        <f t="shared" si="1"/>
        <v>46630</v>
      </c>
      <c r="Z7" s="832">
        <f t="shared" si="1"/>
        <v>46660</v>
      </c>
      <c r="AA7" s="830">
        <f t="shared" si="1"/>
        <v>46691</v>
      </c>
      <c r="AB7" s="831">
        <f t="shared" si="1"/>
        <v>46721</v>
      </c>
      <c r="AC7" s="831">
        <f t="shared" si="1"/>
        <v>46752</v>
      </c>
      <c r="AD7" s="831">
        <f t="shared" si="1"/>
        <v>46783</v>
      </c>
      <c r="AE7" s="831">
        <f t="shared" si="1"/>
        <v>46812</v>
      </c>
      <c r="AF7" s="831">
        <f t="shared" si="1"/>
        <v>46843</v>
      </c>
      <c r="AG7" s="831">
        <f t="shared" si="1"/>
        <v>46873</v>
      </c>
      <c r="AH7" s="831">
        <f t="shared" si="1"/>
        <v>46904</v>
      </c>
      <c r="AI7" s="831">
        <f t="shared" si="1"/>
        <v>46934</v>
      </c>
      <c r="AJ7" s="831">
        <f t="shared" si="1"/>
        <v>46965</v>
      </c>
      <c r="AK7" s="831">
        <f t="shared" si="1"/>
        <v>46996</v>
      </c>
      <c r="AL7" s="832">
        <f t="shared" si="1"/>
        <v>47026</v>
      </c>
      <c r="AM7" s="830">
        <f t="shared" si="1"/>
        <v>47057</v>
      </c>
      <c r="AN7" s="831">
        <f t="shared" si="1"/>
        <v>47087</v>
      </c>
      <c r="AO7" s="831">
        <f t="shared" si="1"/>
        <v>47118</v>
      </c>
      <c r="AP7" s="831">
        <f t="shared" si="1"/>
        <v>47149</v>
      </c>
      <c r="AQ7" s="831">
        <f t="shared" si="1"/>
        <v>47177</v>
      </c>
      <c r="AR7" s="831">
        <f t="shared" si="1"/>
        <v>47208</v>
      </c>
      <c r="AS7" s="831">
        <f t="shared" si="1"/>
        <v>47238</v>
      </c>
      <c r="AT7" s="831">
        <f t="shared" si="1"/>
        <v>47269</v>
      </c>
      <c r="AU7" s="831">
        <f t="shared" si="1"/>
        <v>47299</v>
      </c>
      <c r="AV7" s="831">
        <f t="shared" si="1"/>
        <v>47330</v>
      </c>
      <c r="AW7" s="831">
        <f t="shared" si="1"/>
        <v>47361</v>
      </c>
      <c r="AX7" s="832">
        <f t="shared" si="1"/>
        <v>47391</v>
      </c>
      <c r="AY7" s="830">
        <f t="shared" si="1"/>
        <v>47422</v>
      </c>
      <c r="AZ7" s="831">
        <f t="shared" si="1"/>
        <v>47452</v>
      </c>
      <c r="BA7" s="831">
        <f t="shared" si="1"/>
        <v>47483</v>
      </c>
      <c r="BB7" s="831">
        <f t="shared" si="1"/>
        <v>47514</v>
      </c>
      <c r="BC7" s="831">
        <f t="shared" si="1"/>
        <v>47542</v>
      </c>
      <c r="BD7" s="831">
        <f t="shared" si="1"/>
        <v>47573</v>
      </c>
      <c r="BE7" s="831">
        <f t="shared" si="1"/>
        <v>47603</v>
      </c>
      <c r="BF7" s="831">
        <f t="shared" si="1"/>
        <v>47634</v>
      </c>
      <c r="BG7" s="831">
        <f t="shared" si="1"/>
        <v>47664</v>
      </c>
      <c r="BH7" s="831">
        <f t="shared" si="1"/>
        <v>47695</v>
      </c>
      <c r="BI7" s="831">
        <f t="shared" si="1"/>
        <v>47726</v>
      </c>
      <c r="BJ7" s="832">
        <f t="shared" si="1"/>
        <v>47756</v>
      </c>
    </row>
    <row r="8" spans="1:63">
      <c r="AH8" s="1098"/>
    </row>
    <row r="9" spans="1:63">
      <c r="B9" s="833" t="s">
        <v>715</v>
      </c>
      <c r="C9" s="834">
        <f>+SUMIF('Rental Income Model'!$1:$1,C$6,'Rental Income Model'!$18:$18)</f>
        <v>4.3650000000000008E-2</v>
      </c>
      <c r="D9" s="834">
        <f>+SUMIF('Rental Income Model'!$1:$1,D$6,'Rental Income Model'!$18:$18)</f>
        <v>9.4839187500000005E-2</v>
      </c>
      <c r="E9" s="834">
        <f>+SUMIF('Rental Income Model'!$1:$1,E$6,'Rental Income Model'!$18:$18)</f>
        <v>0.14134128890625</v>
      </c>
      <c r="F9" s="834">
        <f>+SUMIF('Rental Income Model'!$1:$1,F$6,'Rental Income Model'!$18:$18)</f>
        <v>0.18814613451679685</v>
      </c>
      <c r="G9" s="834">
        <f>+SUMIF('Rental Income Model'!$1:$1,G$6,'Rental Income Model'!$18:$18)</f>
        <v>0.23645326014500095</v>
      </c>
      <c r="H9" s="834">
        <f>+SUMIF('Rental Income Model'!$1:$1,H$6,'Rental Income Model'!$18:$18)</f>
        <v>0.28439977919028842</v>
      </c>
      <c r="I9" s="834">
        <f>+SUMIF('Rental Income Model'!$1:$1,I$6,'Rental Income Model'!$18:$18)</f>
        <v>0.33381147386660404</v>
      </c>
      <c r="J9" s="834">
        <f>+SUMIF('Rental Income Model'!$1:$1,J$6,'Rental Income Model'!$18:$18)</f>
        <v>0.38485307228127286</v>
      </c>
      <c r="K9" s="834">
        <f>+SUMIF('Rental Income Model'!$1:$1,K$6,'Rental Income Model'!$18:$18)</f>
        <v>0.44188670707072519</v>
      </c>
      <c r="L9" s="834">
        <f>+SUMIF('Rental Income Model'!$1:$1,L$6,'Rental Income Model'!$18:$18)</f>
        <v>0.50149123878789614</v>
      </c>
      <c r="M9" s="834">
        <f>+SUMIF('Rental Income Model'!$1:$1,M$6,'Rental Income Model'!$18:$18)</f>
        <v>0.56487413304244083</v>
      </c>
      <c r="N9" s="834">
        <f>+SUMIF('Rental Income Model'!$1:$1,N$6,'Rental Income Model'!$18:$18)</f>
        <v>0.60980004878944616</v>
      </c>
      <c r="O9" s="834">
        <f>+SUMIF('Rental Income Model'!$1:$1,O$6,'Rental Income Model'!$18:$18)</f>
        <v>0.64478964644755277</v>
      </c>
      <c r="P9" s="834">
        <f>+SUMIF('Rental Income Model'!$1:$1,P$6,'Rental Income Model'!$18:$18)</f>
        <v>0.67595774341807013</v>
      </c>
      <c r="Q9" s="834">
        <f>+SUMIF('Rental Income Model'!$1:$1,Q$6,'Rental Income Model'!$18:$18)</f>
        <v>0.70132231399058464</v>
      </c>
      <c r="R9" s="834">
        <f>+SUMIF('Rental Income Model'!$1:$1,R$6,'Rental Income Model'!$18:$18)</f>
        <v>0.72681869829105539</v>
      </c>
      <c r="S9" s="834">
        <f>+SUMIF('Rental Income Model'!$1:$1,S$6,'Rental Income Model'!$18:$18)</f>
        <v>0.75460276337650267</v>
      </c>
      <c r="T9" s="834">
        <f>+SUMIF('Rental Income Model'!$1:$1,T$6,'Rental Income Model'!$18:$18)</f>
        <v>0.78036361829923639</v>
      </c>
      <c r="U9" s="834">
        <f>+SUMIF('Rental Income Model'!$1:$1,U$6,'Rental Income Model'!$18:$18)</f>
        <v>0.8083251533385265</v>
      </c>
      <c r="V9" s="834">
        <f>+SUMIF('Rental Income Model'!$1:$1,V$6,'Rental Income Model'!$18:$18)</f>
        <v>0.83474226990490763</v>
      </c>
      <c r="W9" s="834">
        <f>+SUMIF('Rental Income Model'!$1:$1,W$6,'Rental Income Model'!$18:$18)</f>
        <v>0.86679394506013774</v>
      </c>
      <c r="X9" s="834">
        <f>+SUMIF('Rental Income Model'!$1:$1,X$6,'Rental Income Model'!$18:$18)</f>
        <v>0.8982439182191797</v>
      </c>
      <c r="Y9" s="834">
        <f>+SUMIF('Rental Income Model'!$1:$1,Y$6,'Rental Income Model'!$18:$18)</f>
        <v>0.9314198929215769</v>
      </c>
      <c r="Z9" s="834">
        <f>+SUMIF('Rental Income Model'!$1:$1,Z$6,'Rental Income Model'!$18:$18)</f>
        <v>0.92946512407858628</v>
      </c>
      <c r="AA9" s="834">
        <f>+SUMIF('Rental Income Model'!$1:$1,AA$6,'Rental Income Model'!$18:$18)</f>
        <v>0.92479525444406752</v>
      </c>
      <c r="AB9" s="834">
        <f>+SUMIF('Rental Income Model'!$1:$1,AB$6,'Rental Income Model'!$18:$18)</f>
        <v>0.91685952731353348</v>
      </c>
      <c r="AC9" s="834">
        <f>+SUMIF('Rental Income Model'!$1:$1,AC$6,'Rental Income Model'!$18:$18)</f>
        <v>0.90584572949300535</v>
      </c>
      <c r="AD9" s="834">
        <f>+SUMIF('Rental Income Model'!$1:$1,AD$6,'Rental Income Model'!$18:$18)</f>
        <v>0.90394772504715748</v>
      </c>
      <c r="AE9" s="834">
        <f>+SUMIF('Rental Income Model'!$1:$1,AE$6,'Rental Income Model'!$18:$18)</f>
        <v>0.90852073085694596</v>
      </c>
      <c r="AF9" s="834">
        <f>+SUMIF('Rental Income Model'!$1:$1,AF$6,'Rental Income Model'!$18:$18)</f>
        <v>0.91424453883267154</v>
      </c>
      <c r="AG9" s="834">
        <f>+SUMIF('Rental Income Model'!$1:$1,AG$6,'Rental Income Model'!$18:$18)</f>
        <v>0.9210529778497929</v>
      </c>
      <c r="AH9" s="1115">
        <f>+SUMIF('Rental Income Model'!$1:$1,AH$6,'Rental Income Model'!$18:$18)</f>
        <v>0.92888368162342982</v>
      </c>
      <c r="AI9" s="834">
        <f>+SUMIF('Rental Income Model'!$1:$1,AI$6,'Rental Income Model'!$18:$18)</f>
        <v>0.94</v>
      </c>
      <c r="AJ9" s="834">
        <f>+SUMIF('Rental Income Model'!$1:$1,AJ$6,'Rental Income Model'!$18:$18)</f>
        <v>0.94</v>
      </c>
      <c r="AK9" s="834">
        <f>+SUMIF('Rental Income Model'!$1:$1,AK$6,'Rental Income Model'!$18:$18)</f>
        <v>0.94</v>
      </c>
      <c r="AL9" s="834">
        <f>+SUMIF('Rental Income Model'!$1:$1,AL$6,'Rental Income Model'!$18:$18)</f>
        <v>0.93755187499999992</v>
      </c>
      <c r="AM9" s="834">
        <f>+SUMIF('Rental Income Model'!$1:$1,AM$6,'Rental Income Model'!$18:$18)</f>
        <v>0.93241701718750003</v>
      </c>
      <c r="AN9" s="834">
        <f>+SUMIF('Rental Income Model'!$1:$1,AN$6,'Rental Income Model'!$18:$18)</f>
        <v>0.92404303869921878</v>
      </c>
      <c r="AO9" s="834">
        <f>+SUMIF('Rental Income Model'!$1:$1,AO$6,'Rental Income Model'!$18:$18)</f>
        <v>0.91261618897401364</v>
      </c>
      <c r="AP9" s="834">
        <f>+SUMIF('Rental Income Model'!$1:$1,AP$6,'Rental Income Model'!$18:$18)</f>
        <v>0.91032888310800775</v>
      </c>
      <c r="AQ9" s="834">
        <f>+SUMIF('Rental Income Model'!$1:$1,AQ$6,'Rental Income Model'!$18:$18)</f>
        <v>0.91453497232929726</v>
      </c>
      <c r="AR9" s="834">
        <f>+SUMIF('Rental Income Model'!$1:$1,AR$6,'Rental Income Model'!$18:$18)</f>
        <v>0.91991296142036261</v>
      </c>
      <c r="AS9" s="834">
        <f>+SUMIF('Rental Income Model'!$1:$1,AS$6,'Rental Income Model'!$18:$18)</f>
        <v>0.92639546613869195</v>
      </c>
      <c r="AT9" s="834">
        <f>+SUMIF('Rental Income Model'!$1:$1,AT$6,'Rental Income Model'!$18:$18)</f>
        <v>0.93391897683571712</v>
      </c>
      <c r="AU9" s="834">
        <f>+SUMIF('Rental Income Model'!$1:$1,AU$6,'Rental Income Model'!$18:$18)</f>
        <v>0.94</v>
      </c>
      <c r="AV9" s="834">
        <f>+SUMIF('Rental Income Model'!$1:$1,AV$6,'Rental Income Model'!$18:$18)</f>
        <v>0.94</v>
      </c>
      <c r="AW9" s="834">
        <f>+SUMIF('Rental Income Model'!$1:$1,AW$6,'Rental Income Model'!$18:$18)</f>
        <v>0.94</v>
      </c>
      <c r="AX9" s="834">
        <f>+SUMIF('Rental Income Model'!$1:$1,AX$6,'Rental Income Model'!$18:$18)</f>
        <v>0.93755187499999992</v>
      </c>
      <c r="AY9" s="834">
        <f>+SUMIF('Rental Income Model'!$1:$1,AY$6,'Rental Income Model'!$18:$18)</f>
        <v>0.93241701718750003</v>
      </c>
      <c r="AZ9" s="834">
        <f>+SUMIF('Rental Income Model'!$1:$1,AZ$6,'Rental Income Model'!$18:$18)</f>
        <v>0.92404303869921878</v>
      </c>
      <c r="BA9" s="834">
        <f>+SUMIF('Rental Income Model'!$1:$1,BA$6,'Rental Income Model'!$18:$18)</f>
        <v>0.91261618897401364</v>
      </c>
      <c r="BB9" s="834">
        <f>+SUMIF('Rental Income Model'!$1:$1,BB$6,'Rental Income Model'!$18:$18)</f>
        <v>0.91032888310800775</v>
      </c>
      <c r="BC9" s="834">
        <f>+SUMIF('Rental Income Model'!$1:$1,BC$6,'Rental Income Model'!$18:$18)</f>
        <v>0.91453497232929726</v>
      </c>
      <c r="BD9" s="834">
        <f>+SUMIF('Rental Income Model'!$1:$1,BD$6,'Rental Income Model'!$18:$18)</f>
        <v>0.91991296142036261</v>
      </c>
      <c r="BE9" s="834">
        <f>+SUMIF('Rental Income Model'!$1:$1,BE$6,'Rental Income Model'!$18:$18)</f>
        <v>0.92639546613869195</v>
      </c>
      <c r="BF9" s="834">
        <f>+SUMIF('Rental Income Model'!$1:$1,BF$6,'Rental Income Model'!$18:$18)</f>
        <v>0.93391897683571712</v>
      </c>
      <c r="BG9" s="834">
        <f>+SUMIF('Rental Income Model'!$1:$1,BG$6,'Rental Income Model'!$18:$18)</f>
        <v>0.94</v>
      </c>
      <c r="BH9" s="834">
        <f>+SUMIF('Rental Income Model'!$1:$1,BH$6,'Rental Income Model'!$18:$18)</f>
        <v>0.94</v>
      </c>
      <c r="BI9" s="834">
        <f>+SUMIF('Rental Income Model'!$1:$1,BI$6,'Rental Income Model'!$18:$18)</f>
        <v>0.94</v>
      </c>
      <c r="BJ9" s="834">
        <f>+SUMIF('Rental Income Model'!$1:$1,BJ$6,'Rental Income Model'!$18:$18)</f>
        <v>0.93755187499999992</v>
      </c>
    </row>
    <row r="10" spans="1:63">
      <c r="B10" s="835" t="s">
        <v>716</v>
      </c>
      <c r="C10" s="836">
        <f>SUMIF('Rental Income Model'!$1:$1,C$6,'Rental Income Model'!$20:$20)</f>
        <v>39.293376494989239</v>
      </c>
      <c r="D10" s="836">
        <f>SUMIF('Rental Income Model'!$1:$1,D$6,'Rental Income Model'!$20:$20)</f>
        <v>35</v>
      </c>
      <c r="E10" s="836">
        <f>SUMIF('Rental Income Model'!$1:$1,E$6,'Rental Income Model'!$20:$20)</f>
        <v>33</v>
      </c>
      <c r="F10" s="836">
        <f>SUMIF('Rental Income Model'!$1:$1,F$6,'Rental Income Model'!$20:$20)</f>
        <v>34</v>
      </c>
      <c r="G10" s="836">
        <f>SUMIF('Rental Income Model'!$1:$1,G$6,'Rental Income Model'!$20:$20)</f>
        <v>36</v>
      </c>
      <c r="H10" s="836">
        <f>SUMIF('Rental Income Model'!$1:$1,H$6,'Rental Income Model'!$20:$20)</f>
        <v>37</v>
      </c>
      <c r="I10" s="836">
        <f>SUMIF('Rental Income Model'!$1:$1,I$6,'Rental Income Model'!$20:$20)</f>
        <v>39</v>
      </c>
      <c r="J10" s="836">
        <f>SUMIF('Rental Income Model'!$1:$1,J$6,'Rental Income Model'!$20:$20)</f>
        <v>42</v>
      </c>
      <c r="K10" s="836">
        <f>SUMIF('Rental Income Model'!$1:$1,K$6,'Rental Income Model'!$20:$20)</f>
        <v>47</v>
      </c>
      <c r="L10" s="836">
        <f>SUMIF('Rental Income Model'!$1:$1,L$6,'Rental Income Model'!$20:$20)</f>
        <v>52</v>
      </c>
      <c r="M10" s="836">
        <f>SUMIF('Rental Income Model'!$1:$1,M$6,'Rental Income Model'!$20:$20)</f>
        <v>57</v>
      </c>
      <c r="N10" s="836">
        <f>SUMIF('Rental Income Model'!$1:$1,N$6,'Rental Income Model'!$20:$20)</f>
        <v>49</v>
      </c>
      <c r="O10" s="836">
        <f>SUMIF('Rental Income Model'!$1:$1,O$6,'Rental Income Model'!$20:$20)</f>
        <v>43</v>
      </c>
      <c r="P10" s="836">
        <f>SUMIF('Rental Income Model'!$1:$1,P$6,'Rental Income Model'!$20:$20)</f>
        <v>42</v>
      </c>
      <c r="Q10" s="836">
        <f>SUMIF('Rental Income Model'!$1:$1,Q$6,'Rental Income Model'!$20:$20)</f>
        <v>39</v>
      </c>
      <c r="R10" s="836">
        <f>SUMIF('Rental Income Model'!$1:$1,R$6,'Rental Income Model'!$20:$20)</f>
        <v>41</v>
      </c>
      <c r="S10" s="836">
        <f>SUMIF('Rental Income Model'!$1:$1,S$6,'Rental Income Model'!$20:$20)</f>
        <v>43</v>
      </c>
      <c r="T10" s="836">
        <f>SUMIF('Rental Income Model'!$1:$1,T$6,'Rental Income Model'!$20:$20)</f>
        <v>44</v>
      </c>
      <c r="U10" s="836">
        <f>SUMIF('Rental Income Model'!$1:$1,U$6,'Rental Income Model'!$20:$20)</f>
        <v>47</v>
      </c>
      <c r="V10" s="836">
        <f>SUMIF('Rental Income Model'!$1:$1,V$6,'Rental Income Model'!$20:$20)</f>
        <v>48</v>
      </c>
      <c r="W10" s="836">
        <f>SUMIF('Rental Income Model'!$1:$1,W$6,'Rental Income Model'!$20:$20)</f>
        <v>53</v>
      </c>
      <c r="X10" s="836">
        <f>SUMIF('Rental Income Model'!$1:$1,X$6,'Rental Income Model'!$20:$20)</f>
        <v>55</v>
      </c>
      <c r="Y10" s="836">
        <f>SUMIF('Rental Income Model'!$1:$1,Y$6,'Rental Income Model'!$20:$20)</f>
        <v>58</v>
      </c>
      <c r="Z10" s="836">
        <f>SUMIF('Rental Income Model'!$1:$1,Z$6,'Rental Income Model'!$20:$20)</f>
        <v>35</v>
      </c>
      <c r="AA10" s="836">
        <f>SUMIF('Rental Income Model'!$1:$1,AA$6,'Rental Income Model'!$20:$20)</f>
        <v>33</v>
      </c>
      <c r="AB10" s="836">
        <f>SUMIF('Rental Income Model'!$1:$1,AB$6,'Rental Income Model'!$20:$20)</f>
        <v>31</v>
      </c>
      <c r="AC10" s="836">
        <f>SUMIF('Rental Income Model'!$1:$1,AC$6,'Rental Income Model'!$20:$20)</f>
        <v>28</v>
      </c>
      <c r="AD10" s="836">
        <f>SUMIF('Rental Income Model'!$1:$1,AD$6,'Rental Income Model'!$20:$20)</f>
        <v>34</v>
      </c>
      <c r="AE10" s="836">
        <f>SUMIF('Rental Income Model'!$1:$1,AE$6,'Rental Income Model'!$20:$20)</f>
        <v>39</v>
      </c>
      <c r="AF10" s="836">
        <f>SUMIF('Rental Income Model'!$1:$1,AF$6,'Rental Income Model'!$20:$20)</f>
        <v>39</v>
      </c>
      <c r="AG10" s="836">
        <f>SUMIF('Rental Income Model'!$1:$1,AG$6,'Rental Income Model'!$20:$20)</f>
        <v>41</v>
      </c>
      <c r="AH10" s="1116">
        <f>SUMIF('Rental Income Model'!$1:$1,AH$6,'Rental Income Model'!$20:$20)</f>
        <v>41</v>
      </c>
      <c r="AI10" s="836">
        <f>SUMIF('Rental Income Model'!$1:$1,AI$6,'Rental Income Model'!$20:$20)</f>
        <v>44</v>
      </c>
      <c r="AJ10" s="836">
        <f>SUMIF('Rental Income Model'!$1:$1,AJ$6,'Rental Income Model'!$20:$20)</f>
        <v>38</v>
      </c>
      <c r="AK10" s="836">
        <f>SUMIF('Rental Income Model'!$1:$1,AK$6,'Rental Income Model'!$20:$20)</f>
        <v>38</v>
      </c>
      <c r="AL10" s="836">
        <f>SUMIF('Rental Income Model'!$1:$1,AL$6,'Rental Income Model'!$20:$20)</f>
        <v>35</v>
      </c>
      <c r="AM10" s="836">
        <f>SUMIF('Rental Income Model'!$1:$1,AM$6,'Rental Income Model'!$20:$20)</f>
        <v>33</v>
      </c>
      <c r="AN10" s="836">
        <f>SUMIF('Rental Income Model'!$1:$1,AN$6,'Rental Income Model'!$20:$20)</f>
        <v>31</v>
      </c>
      <c r="AO10" s="836">
        <f>SUMIF('Rental Income Model'!$1:$1,AO$6,'Rental Income Model'!$20:$20)</f>
        <v>28</v>
      </c>
      <c r="AP10" s="836">
        <f>SUMIF('Rental Income Model'!$1:$1,AP$6,'Rental Income Model'!$20:$20)</f>
        <v>34</v>
      </c>
      <c r="AQ10" s="836">
        <f>SUMIF('Rental Income Model'!$1:$1,AQ$6,'Rental Income Model'!$20:$20)</f>
        <v>39</v>
      </c>
      <c r="AR10" s="836">
        <f>SUMIF('Rental Income Model'!$1:$1,AR$6,'Rental Income Model'!$20:$20)</f>
        <v>39</v>
      </c>
      <c r="AS10" s="836">
        <f>SUMIF('Rental Income Model'!$1:$1,AS$6,'Rental Income Model'!$20:$20)</f>
        <v>40</v>
      </c>
      <c r="AT10" s="836">
        <f>SUMIF('Rental Income Model'!$1:$1,AT$6,'Rental Income Model'!$20:$20)</f>
        <v>42</v>
      </c>
      <c r="AU10" s="836">
        <f>SUMIF('Rental Income Model'!$1:$1,AU$6,'Rental Income Model'!$20:$20)</f>
        <v>41</v>
      </c>
      <c r="AV10" s="836">
        <f>SUMIF('Rental Income Model'!$1:$1,AV$6,'Rental Income Model'!$20:$20)</f>
        <v>37</v>
      </c>
      <c r="AW10" s="836">
        <f>SUMIF('Rental Income Model'!$1:$1,AW$6,'Rental Income Model'!$20:$20)</f>
        <v>38</v>
      </c>
      <c r="AX10" s="836">
        <f>SUMIF('Rental Income Model'!$1:$1,AX$6,'Rental Income Model'!$20:$20)</f>
        <v>35</v>
      </c>
      <c r="AY10" s="836">
        <f>SUMIF('Rental Income Model'!$1:$1,AY$6,'Rental Income Model'!$20:$20)</f>
        <v>33</v>
      </c>
      <c r="AZ10" s="836">
        <f>SUMIF('Rental Income Model'!$1:$1,AZ$6,'Rental Income Model'!$20:$20)</f>
        <v>31</v>
      </c>
      <c r="BA10" s="836">
        <f>SUMIF('Rental Income Model'!$1:$1,BA$6,'Rental Income Model'!$20:$20)</f>
        <v>28</v>
      </c>
      <c r="BB10" s="836">
        <f>SUMIF('Rental Income Model'!$1:$1,BB$6,'Rental Income Model'!$20:$20)</f>
        <v>35</v>
      </c>
      <c r="BC10" s="836">
        <f>SUMIF('Rental Income Model'!$1:$1,BC$6,'Rental Income Model'!$20:$20)</f>
        <v>38</v>
      </c>
      <c r="BD10" s="836">
        <f>SUMIF('Rental Income Model'!$1:$1,BD$6,'Rental Income Model'!$20:$20)</f>
        <v>39</v>
      </c>
      <c r="BE10" s="836">
        <f>SUMIF('Rental Income Model'!$1:$1,BE$6,'Rental Income Model'!$20:$20)</f>
        <v>41</v>
      </c>
      <c r="BF10" s="836">
        <f>SUMIF('Rental Income Model'!$1:$1,BF$6,'Rental Income Model'!$20:$20)</f>
        <v>41</v>
      </c>
      <c r="BG10" s="836">
        <f>SUMIF('Rental Income Model'!$1:$1,BG$6,'Rental Income Model'!$20:$20)</f>
        <v>41</v>
      </c>
      <c r="BH10" s="836">
        <f>SUMIF('Rental Income Model'!$1:$1,BH$6,'Rental Income Model'!$20:$20)</f>
        <v>38</v>
      </c>
      <c r="BI10" s="836">
        <f>SUMIF('Rental Income Model'!$1:$1,BI$6,'Rental Income Model'!$20:$20)</f>
        <v>38</v>
      </c>
      <c r="BJ10" s="836">
        <f>SUMIF('Rental Income Model'!$1:$1,BJ$6,'Rental Income Model'!$20:$20)</f>
        <v>35</v>
      </c>
    </row>
    <row r="11" spans="1:63">
      <c r="B11" s="837" t="s">
        <v>720</v>
      </c>
      <c r="C11" s="838">
        <f>SUMIF('Rental Income Model'!$1:$1,C$6,'Rental Income Model'!$25:$25)</f>
        <v>2.0530008753380269</v>
      </c>
      <c r="D11" s="838">
        <f>SUMIF('Rental Income Model'!$1:$1,D$6,'Rental Income Model'!$25:$25)</f>
        <v>2.0332778193765626</v>
      </c>
      <c r="E11" s="838">
        <f>SUMIF('Rental Income Model'!$1:$1,E$6,'Rental Income Model'!$25:$25)</f>
        <v>2.0225943572344516</v>
      </c>
      <c r="F11" s="838">
        <f>SUMIF('Rental Income Model'!$1:$1,F$6,'Rental Income Model'!$25:$25)</f>
        <v>2.0284521470405559</v>
      </c>
      <c r="G11" s="838">
        <f>SUMIF('Rental Income Model'!$1:$1,G$6,'Rental Income Model'!$25:$25)</f>
        <v>2.050101598081151</v>
      </c>
      <c r="H11" s="838">
        <f>SUMIF('Rental Income Model'!$1:$1,H$6,'Rental Income Model'!$25:$25)</f>
        <v>2.0833135242400309</v>
      </c>
      <c r="I11" s="838">
        <f>SUMIF('Rental Income Model'!$1:$1,I$6,'Rental Income Model'!$25:$25)</f>
        <v>2.1673083200422041</v>
      </c>
      <c r="J11" s="838">
        <f>SUMIF('Rental Income Model'!$1:$1,J$6,'Rental Income Model'!$25:$25)</f>
        <v>2.2528932066653464</v>
      </c>
      <c r="K11" s="838">
        <f>SUMIF('Rental Income Model'!$1:$1,K$6,'Rental Income Model'!$25:$25)</f>
        <v>2.3339288383889416</v>
      </c>
      <c r="L11" s="838">
        <f>SUMIF('Rental Income Model'!$1:$1,L$6,'Rental Income Model'!$25:$25)</f>
        <v>2.4088611495214081</v>
      </c>
      <c r="M11" s="838">
        <f>SUMIF('Rental Income Model'!$1:$1,M$6,'Rental Income Model'!$25:$25)</f>
        <v>2.4861341996092015</v>
      </c>
      <c r="N11" s="838">
        <f>SUMIF('Rental Income Model'!$1:$1,N$6,'Rental Income Model'!$25:$25)</f>
        <v>2.5422466446354943</v>
      </c>
      <c r="O11" s="838">
        <f>SUMIF('Rental Income Model'!$1:$1,O$6,'Rental Income Model'!$25:$25)</f>
        <v>2.5847261096703549</v>
      </c>
      <c r="P11" s="838">
        <f>SUMIF('Rental Income Model'!$1:$1,P$6,'Rental Income Model'!$25:$25)</f>
        <v>2.619977984829061</v>
      </c>
      <c r="Q11" s="838">
        <f>SUMIF('Rental Income Model'!$1:$1,Q$6,'Rental Income Model'!$25:$25)</f>
        <v>2.6570264064207123</v>
      </c>
      <c r="R11" s="838">
        <f>SUMIF('Rental Income Model'!$1:$1,R$6,'Rental Income Model'!$25:$25)</f>
        <v>2.7013976215423758</v>
      </c>
      <c r="S11" s="838">
        <f>SUMIF('Rental Income Model'!$1:$1,S$6,'Rental Income Model'!$25:$25)</f>
        <v>2.7473055073397865</v>
      </c>
      <c r="T11" s="838">
        <f>SUMIF('Rental Income Model'!$1:$1,T$6,'Rental Income Model'!$25:$25)</f>
        <v>2.7841775511562274</v>
      </c>
      <c r="U11" s="838">
        <f>SUMIF('Rental Income Model'!$1:$1,U$6,'Rental Income Model'!$25:$25)</f>
        <v>2.8164558021833002</v>
      </c>
      <c r="V11" s="838">
        <f>SUMIF('Rental Income Model'!$1:$1,V$6,'Rental Income Model'!$25:$25)</f>
        <v>2.8534273161078465</v>
      </c>
      <c r="W11" s="838">
        <f>SUMIF('Rental Income Model'!$1:$1,W$6,'Rental Income Model'!$25:$25)</f>
        <v>2.8930398193099842</v>
      </c>
      <c r="X11" s="838">
        <f>SUMIF('Rental Income Model'!$1:$1,X$6,'Rental Income Model'!$25:$25)</f>
        <v>2.9369487379824024</v>
      </c>
      <c r="Y11" s="838">
        <f>SUMIF('Rental Income Model'!$1:$1,Y$6,'Rental Income Model'!$25:$25)</f>
        <v>2.9812347458027495</v>
      </c>
      <c r="Z11" s="838">
        <f>SUMIF('Rental Income Model'!$1:$1,Z$6,'Rental Income Model'!$25:$25)</f>
        <v>3.0058729519673184</v>
      </c>
      <c r="AA11" s="838">
        <f>SUMIF('Rental Income Model'!$1:$1,AA$6,'Rental Income Model'!$25:$25)</f>
        <v>3.0349669278093092</v>
      </c>
      <c r="AB11" s="838">
        <f>SUMIF('Rental Income Model'!$1:$1,AB$6,'Rental Income Model'!$25:$25)</f>
        <v>3.0657789841265801</v>
      </c>
      <c r="AC11" s="838">
        <f>SUMIF('Rental Income Model'!$1:$1,AC$6,'Rental Income Model'!$25:$25)</f>
        <v>3.0948002769083751</v>
      </c>
      <c r="AD11" s="838">
        <f>SUMIF('Rental Income Model'!$1:$1,AD$6,'Rental Income Model'!$25:$25)</f>
        <v>3.1266777033156488</v>
      </c>
      <c r="AE11" s="838">
        <f>SUMIF('Rental Income Model'!$1:$1,AE$6,'Rental Income Model'!$25:$25)</f>
        <v>3.1607443771112886</v>
      </c>
      <c r="AF11" s="838">
        <f>SUMIF('Rental Income Model'!$1:$1,AF$6,'Rental Income Model'!$25:$25)</f>
        <v>3.1852638978309638</v>
      </c>
      <c r="AG11" s="838">
        <f>SUMIF('Rental Income Model'!$1:$1,AG$6,'Rental Income Model'!$25:$25)</f>
        <v>3.2096149449030849</v>
      </c>
      <c r="AH11" s="1117">
        <f>SUMIF('Rental Income Model'!$1:$1,AH$6,'Rental Income Model'!$25:$25)</f>
        <v>3.234578786030859</v>
      </c>
      <c r="AI11" s="838">
        <f>SUMIF('Rental Income Model'!$1:$1,AI$6,'Rental Income Model'!$25:$25)</f>
        <v>3.2620643799297397</v>
      </c>
      <c r="AJ11" s="838">
        <f>SUMIF('Rental Income Model'!$1:$1,AJ$6,'Rental Income Model'!$25:$25)</f>
        <v>3.2873943463686675</v>
      </c>
      <c r="AK11" s="838">
        <f>SUMIF('Rental Income Model'!$1:$1,AK$6,'Rental Income Model'!$25:$25)</f>
        <v>3.3153095837368727</v>
      </c>
      <c r="AL11" s="838">
        <f>SUMIF('Rental Income Model'!$1:$1,AL$6,'Rental Income Model'!$25:$25)</f>
        <v>3.3427005092135222</v>
      </c>
      <c r="AM11" s="838">
        <f>SUMIF('Rental Income Model'!$1:$1,AM$6,'Rental Income Model'!$25:$25)</f>
        <v>3.3685863348189535</v>
      </c>
      <c r="AN11" s="838">
        <f>SUMIF('Rental Income Model'!$1:$1,AN$6,'Rental Income Model'!$25:$25)</f>
        <v>3.3898729452316889</v>
      </c>
      <c r="AO11" s="838">
        <f>SUMIF('Rental Income Model'!$1:$1,AO$6,'Rental Income Model'!$25:$25)</f>
        <v>3.4116697668487972</v>
      </c>
      <c r="AP11" s="838">
        <f>SUMIF('Rental Income Model'!$1:$1,AP$6,'Rental Income Model'!$25:$25)</f>
        <v>3.433920942595369</v>
      </c>
      <c r="AQ11" s="838">
        <f>SUMIF('Rental Income Model'!$1:$1,AQ$6,'Rental Income Model'!$25:$25)</f>
        <v>3.4562026385802187</v>
      </c>
      <c r="AR11" s="838">
        <f>SUMIF('Rental Income Model'!$1:$1,AR$6,'Rental Income Model'!$25:$25)</f>
        <v>3.4789538734216552</v>
      </c>
      <c r="AS11" s="838">
        <f>SUMIF('Rental Income Model'!$1:$1,AS$6,'Rental Income Model'!$25:$25)</f>
        <v>3.50230984579493</v>
      </c>
      <c r="AT11" s="838">
        <f>SUMIF('Rental Income Model'!$1:$1,AT$6,'Rental Income Model'!$25:$25)</f>
        <v>3.5263891978626107</v>
      </c>
      <c r="AU11" s="838">
        <f>SUMIF('Rental Income Model'!$1:$1,AU$6,'Rental Income Model'!$25:$25)</f>
        <v>3.550732692485389</v>
      </c>
      <c r="AV11" s="838">
        <f>SUMIF('Rental Income Model'!$1:$1,AV$6,'Rental Income Model'!$25:$25)</f>
        <v>3.5738124549865447</v>
      </c>
      <c r="AW11" s="838">
        <f>SUMIF('Rental Income Model'!$1:$1,AW$6,'Rental Income Model'!$25:$25)</f>
        <v>3.5970422359439569</v>
      </c>
      <c r="AX11" s="838">
        <f>SUMIF('Rental Income Model'!$1:$1,AX$6,'Rental Income Model'!$25:$25)</f>
        <v>3.6200561718982445</v>
      </c>
      <c r="AY11" s="838">
        <f>SUMIF('Rental Income Model'!$1:$1,AY$6,'Rental Income Model'!$25:$25)</f>
        <v>3.6436879109286533</v>
      </c>
      <c r="AZ11" s="838">
        <f>SUMIF('Rental Income Model'!$1:$1,AZ$6,'Rental Income Model'!$25:$25)</f>
        <v>3.668331900839668</v>
      </c>
      <c r="BA11" s="838">
        <f>SUMIF('Rental Income Model'!$1:$1,BA$6,'Rental Income Model'!$25:$25)</f>
        <v>3.6941592143775588</v>
      </c>
      <c r="BB11" s="838">
        <f>SUMIF('Rental Income Model'!$1:$1,BB$6,'Rental Income Model'!$25:$25)</f>
        <v>3.7187043940526738</v>
      </c>
      <c r="BC11" s="838">
        <f>SUMIF('Rental Income Model'!$1:$1,BC$6,'Rental Income Model'!$25:$25)</f>
        <v>3.7419946155472918</v>
      </c>
      <c r="BD11" s="838">
        <f>SUMIF('Rental Income Model'!$1:$1,BD$6,'Rental Income Model'!$25:$25)</f>
        <v>3.7655405293994417</v>
      </c>
      <c r="BE11" s="838">
        <f>SUMIF('Rental Income Model'!$1:$1,BE$6,'Rental Income Model'!$25:$25)</f>
        <v>3.789498229126794</v>
      </c>
      <c r="BF11" s="838">
        <f>SUMIF('Rental Income Model'!$1:$1,BF$6,'Rental Income Model'!$25:$25)</f>
        <v>3.814007075563818</v>
      </c>
      <c r="BG11" s="838">
        <f>SUMIF('Rental Income Model'!$1:$1,BG$6,'Rental Income Model'!$25:$25)</f>
        <v>3.8390788343521267</v>
      </c>
      <c r="BH11" s="838">
        <f>SUMIF('Rental Income Model'!$1:$1,BH$6,'Rental Income Model'!$25:$25)</f>
        <v>3.8640328467754155</v>
      </c>
      <c r="BI11" s="838">
        <f>SUMIF('Rental Income Model'!$1:$1,BI$6,'Rental Income Model'!$25:$25)</f>
        <v>3.889149060279455</v>
      </c>
      <c r="BJ11" s="838">
        <f>SUMIF('Rental Income Model'!$1:$1,BJ$6,'Rental Income Model'!$25:$25)</f>
        <v>3.9145347811204232</v>
      </c>
    </row>
    <row r="12" spans="1:63">
      <c r="O12" s="839"/>
      <c r="Z12" s="840"/>
      <c r="AH12" s="1098"/>
      <c r="AM12" s="839"/>
      <c r="AX12" s="840"/>
    </row>
    <row r="13" spans="1:63">
      <c r="B13" s="4" t="s">
        <v>811</v>
      </c>
      <c r="C13" s="996"/>
      <c r="D13" s="996"/>
      <c r="E13" s="996"/>
      <c r="F13" s="996"/>
      <c r="G13" s="996"/>
      <c r="H13" s="996"/>
      <c r="I13" s="996"/>
      <c r="J13" s="996"/>
      <c r="K13" s="996"/>
      <c r="L13" s="996"/>
      <c r="M13" s="996"/>
      <c r="N13" s="996"/>
      <c r="O13" s="996"/>
      <c r="P13" s="996"/>
      <c r="Q13" s="996"/>
      <c r="R13" s="996"/>
      <c r="S13" s="996"/>
      <c r="T13" s="996"/>
      <c r="U13" s="996"/>
      <c r="V13" s="996"/>
      <c r="Z13" s="840"/>
      <c r="AH13" s="1098"/>
      <c r="AM13" s="839"/>
      <c r="AX13" s="840"/>
    </row>
    <row r="14" spans="1:63">
      <c r="B14" s="401" t="s">
        <v>812</v>
      </c>
      <c r="C14" s="841">
        <f>'Rental Income Model'!C30</f>
        <v>38.360144303585948</v>
      </c>
      <c r="D14" s="841">
        <f>'Rental Income Model'!D30</f>
        <v>5830.6569726143798</v>
      </c>
      <c r="E14" s="841">
        <f>'Rental Income Model'!E30</f>
        <v>12791.660845650218</v>
      </c>
      <c r="F14" s="841">
        <f>'Rental Income Model'!F30</f>
        <v>19024.273804950488</v>
      </c>
      <c r="G14" s="841">
        <f>'Rental Income Model'!G30</f>
        <v>25406.643570072676</v>
      </c>
      <c r="H14" s="841">
        <f>'Rental Income Model'!H30</f>
        <v>32263.447856822353</v>
      </c>
      <c r="I14" s="841">
        <f>'Rental Income Model'!I30</f>
        <v>40397.338419864238</v>
      </c>
      <c r="J14" s="841">
        <f>'Rental Income Model'!J30</f>
        <v>49127.281590051076</v>
      </c>
      <c r="K14" s="841">
        <f>'Rental Income Model'!K30</f>
        <v>58333.219535757613</v>
      </c>
      <c r="L14" s="841">
        <f>'Rental Income Model'!L30</f>
        <v>68934.906640143628</v>
      </c>
      <c r="M14" s="841">
        <f>'Rental Income Model'!M30</f>
        <v>79908.364349334603</v>
      </c>
      <c r="N14" s="841">
        <f>'Rental Income Model'!N30</f>
        <v>92903.850392354769</v>
      </c>
      <c r="O14" s="841">
        <f>'Rental Income Model'!O30</f>
        <v>103985.83539149772</v>
      </c>
      <c r="P14" s="841">
        <f>'Rental Income Model'!P30</f>
        <v>111845.05866014058</v>
      </c>
      <c r="Q14" s="841">
        <f>'Rental Income Model'!Q30</f>
        <v>120016.34684813923</v>
      </c>
      <c r="R14" s="841">
        <f>'Rental Income Model'!R30</f>
        <v>127829.7347440758</v>
      </c>
      <c r="S14" s="841">
        <f>'Rental Income Model'!S30</f>
        <v>134826.1997296029</v>
      </c>
      <c r="T14" s="841">
        <f>'Rental Income Model'!T30</f>
        <v>142666.46490484182</v>
      </c>
      <c r="U14" s="841">
        <f>'Rental Income Model'!U30</f>
        <v>149235.12130809992</v>
      </c>
      <c r="V14" s="841">
        <f>'Rental Income Model'!V30</f>
        <v>157213.33804400213</v>
      </c>
      <c r="W14" s="841">
        <f>'Rental Income Model'!W30</f>
        <v>164915.70931645622</v>
      </c>
      <c r="X14" s="841">
        <f>'Rental Income Model'!X30</f>
        <v>175013.9731682908</v>
      </c>
      <c r="Y14" s="841">
        <f>'Rental Income Model'!Y30</f>
        <v>184269.6609696087</v>
      </c>
      <c r="Z14" s="841">
        <f>'Rental Income Model'!Z30</f>
        <v>190236.85311863566</v>
      </c>
      <c r="AA14" s="841">
        <f>'Rental Income Model'!AA30</f>
        <v>191490.87682987473</v>
      </c>
      <c r="AB14" s="841">
        <f>'Rental Income Model'!AB30</f>
        <v>192107.21859098983</v>
      </c>
      <c r="AC14" s="841">
        <f>'Rental Income Model'!AC30</f>
        <v>191872.76926622755</v>
      </c>
      <c r="AD14" s="841">
        <f>'Rental Income Model'!AD30</f>
        <v>192874.14702188596</v>
      </c>
      <c r="AE14" s="841">
        <f>'Rental Income Model'!AE30</f>
        <v>195503.78396463854</v>
      </c>
      <c r="AF14" s="841">
        <f>'Rental Income Model'!AF30</f>
        <v>198116.44207053381</v>
      </c>
      <c r="AG14" s="841">
        <f>'Rental Income Model'!AG30</f>
        <v>200975.39771601732</v>
      </c>
      <c r="AH14" s="1097">
        <f>'Rental Income Model'!AH30</f>
        <v>204120.70646083189</v>
      </c>
      <c r="AI14" s="841">
        <f>'Rental Income Model'!AI30</f>
        <v>207994.93577801174</v>
      </c>
      <c r="AJ14" s="841">
        <f>'Rental Income Model'!AJ30</f>
        <v>210347.98758079796</v>
      </c>
      <c r="AK14" s="841">
        <f>'Rental Income Model'!AK30</f>
        <v>212154.73770945848</v>
      </c>
      <c r="AL14" s="841">
        <f>'Rental Income Model'!AL30</f>
        <v>213764.45771006524</v>
      </c>
      <c r="AM14" s="841">
        <f>'Rental Income Model'!AM30</f>
        <v>214619.24103566611</v>
      </c>
      <c r="AN14" s="841">
        <f>'Rental Income Model'!AN30</f>
        <v>214362.00227646535</v>
      </c>
      <c r="AO14" s="841">
        <f>'Rental Income Model'!AO30</f>
        <v>213345.78683683503</v>
      </c>
      <c r="AP14" s="841">
        <f>'Rental Income Model'!AP30</f>
        <v>213599.90416969394</v>
      </c>
      <c r="AQ14" s="841">
        <f>'Rental Income Model'!AQ30</f>
        <v>215488.87590584048</v>
      </c>
      <c r="AR14" s="841">
        <f>'Rental Income Model'!AR30</f>
        <v>218026.44891076611</v>
      </c>
      <c r="AS14" s="841">
        <f>'Rental Income Model'!AS30</f>
        <v>220883.85779439897</v>
      </c>
      <c r="AT14" s="841">
        <f>'Rental Income Model'!AT30</f>
        <v>224059.39703853911</v>
      </c>
      <c r="AU14" s="841">
        <f>'Rental Income Model'!AU30</f>
        <v>227077.94706073697</v>
      </c>
      <c r="AV14" s="841">
        <f>'Rental Income Model'!AV30</f>
        <v>228932.55443195222</v>
      </c>
      <c r="AW14" s="841">
        <f>'Rental Income Model'!AW30</f>
        <v>230432.91564072983</v>
      </c>
      <c r="AX14" s="841">
        <f>'Rental Income Model'!AX30</f>
        <v>231721.01404029995</v>
      </c>
      <c r="AY14" s="841">
        <f>'Rental Income Model'!AY30</f>
        <v>232341.74337917229</v>
      </c>
      <c r="AZ14" s="841">
        <f>'Rental Income Model'!AZ30</f>
        <v>232150.15920180918</v>
      </c>
      <c r="BA14" s="841">
        <f>'Rental Income Model'!BA30</f>
        <v>231177.31793858897</v>
      </c>
      <c r="BB14" s="841">
        <f>'Rental Income Model'!BB30</f>
        <v>231513.69647476415</v>
      </c>
      <c r="BC14" s="841">
        <f>'Rental Income Model'!BC30</f>
        <v>233533.2566379536</v>
      </c>
      <c r="BD14" s="841">
        <f>'Rental Income Model'!BD30</f>
        <v>236222.63524405612</v>
      </c>
      <c r="BE14" s="841">
        <f>'Rental Income Model'!BE30</f>
        <v>239241.92195101432</v>
      </c>
      <c r="BF14" s="841">
        <f>'Rental Income Model'!BF30</f>
        <v>242588.15009075083</v>
      </c>
      <c r="BG14" s="841">
        <f>'Rental Income Model'!BG30</f>
        <v>245774.42423217243</v>
      </c>
      <c r="BH14" s="841">
        <f>'Rental Income Model'!BH30</f>
        <v>247762.37201437182</v>
      </c>
      <c r="BI14" s="841">
        <f>'Rental Income Model'!BI30</f>
        <v>249385.07974905692</v>
      </c>
      <c r="BJ14" s="841">
        <f>'Rental Income Model'!BJ30</f>
        <v>250790.114440595</v>
      </c>
    </row>
    <row r="15" spans="1:63">
      <c r="B15" s="401" t="s">
        <v>813</v>
      </c>
      <c r="C15" s="841">
        <f>(SUMIF('Rental Income Model'!$1:$1,C$6,'Rental Income Model'!$58:$58)+SUMIF('Rental Income Model'!$1:$1,C$6,'Rental Income Model'!$112:$112))*'Property Data'!$H$29</f>
        <v>228.68895896993541</v>
      </c>
      <c r="D15" s="841">
        <f>(SUMIF('Rental Income Model'!$1:$1,D$6,'Rental Income Model'!$58:$58)+SUMIF('Rental Income Model'!$1:$1,D$6,'Rental Income Model'!$112:$112))*'Property Data'!$H$29</f>
        <v>496.8179230949354</v>
      </c>
      <c r="E15" s="841">
        <f>(SUMIF('Rental Income Model'!$1:$1,E$6,'Rental Income Model'!$58:$58)+SUMIF('Rental Income Model'!$1:$1,E$6,'Rental Income Model'!$112:$112))*'Property Data'!$H$29</f>
        <v>740.39593026087289</v>
      </c>
      <c r="F15" s="841">
        <f>(SUMIF('Rental Income Model'!$1:$1,F$6,'Rental Income Model'!$58:$58)+SUMIF('Rental Income Model'!$1:$1,F$6,'Rental Income Model'!$112:$112))*'Property Data'!$H$29</f>
        <v>985.55971156891746</v>
      </c>
      <c r="G15" s="841">
        <f>(SUMIF('Rental Income Model'!$1:$1,G$6,'Rental Income Model'!$58:$58)+SUMIF('Rental Income Model'!$1:$1,G$6,'Rental Income Model'!$112:$112))*'Property Data'!$H$29</f>
        <v>1238.5924356094506</v>
      </c>
      <c r="H15" s="841">
        <f>(SUMIF('Rental Income Model'!$1:$1,H$6,'Rental Income Model'!$58:$58)+SUMIF('Rental Income Model'!$1:$1,H$6,'Rental Income Model'!$112:$112))*'Property Data'!$H$29</f>
        <v>1489.7363023686664</v>
      </c>
      <c r="I15" s="841">
        <f>(SUMIF('Rental Income Model'!$1:$1,I$6,'Rental Income Model'!$58:$58)+SUMIF('Rental Income Model'!$1:$1,I$6,'Rental Income Model'!$112:$112))*'Property Data'!$H$29</f>
        <v>1748.5547590832075</v>
      </c>
      <c r="J15" s="841">
        <f>(SUMIF('Rental Income Model'!$1:$1,J$6,'Rental Income Model'!$58:$58)+SUMIF('Rental Income Model'!$1:$1,J$6,'Rental Income Model'!$112:$112))*'Property Data'!$H$29</f>
        <v>2015.910651579243</v>
      </c>
      <c r="K15" s="841">
        <f>(SUMIF('Rental Income Model'!$1:$1,K$6,'Rental Income Model'!$58:$58)+SUMIF('Rental Income Model'!$1:$1,K$6,'Rental Income Model'!$112:$112))*'Property Data'!$H$29</f>
        <v>2314.6528306063938</v>
      </c>
      <c r="L15" s="841">
        <f>(SUMIF('Rental Income Model'!$1:$1,L$6,'Rental Income Model'!$58:$58)+SUMIF('Rental Income Model'!$1:$1,L$6,'Rental Income Model'!$112:$112))*'Property Data'!$H$29</f>
        <v>2626.8613677409357</v>
      </c>
      <c r="M15" s="841">
        <f>(SUMIF('Rental Income Model'!$1:$1,M$6,'Rental Income Model'!$58:$58)+SUMIF('Rental Income Model'!$1:$1,M$6,'Rental Income Model'!$112:$112))*'Property Data'!$H$29</f>
        <v>2958.8609678462408</v>
      </c>
      <c r="N15" s="841">
        <f>(SUMIF('Rental Income Model'!$1:$1,N$6,'Rental Income Model'!$58:$58)+SUMIF('Rental Income Model'!$1:$1,N$6,'Rental Income Model'!$112:$112))*'Property Data'!$H$29</f>
        <v>3194.1829145290549</v>
      </c>
      <c r="O15" s="841">
        <f>(SUMIF('Rental Income Model'!$1:$1,O$6,'Rental Income Model'!$58:$58)+SUMIF('Rental Income Model'!$1:$1,O$6,'Rental Income Model'!$112:$112))*'Property Data'!$H$29</f>
        <v>3377.4584270622172</v>
      </c>
      <c r="P15" s="841">
        <f>(SUMIF('Rental Income Model'!$1:$1,P$6,'Rental Income Model'!$58:$58)+SUMIF('Rental Income Model'!$1:$1,P$6,'Rental Income Model'!$112:$112))*'Property Data'!$H$29</f>
        <v>3540.7169189937877</v>
      </c>
      <c r="Q15" s="841">
        <f>(SUMIF('Rental Income Model'!$1:$1,Q$6,'Rental Income Model'!$58:$58)+SUMIF('Rental Income Model'!$1:$1,Q$6,'Rental Income Model'!$112:$112))*'Property Data'!$H$29</f>
        <v>3673.5765396526185</v>
      </c>
      <c r="R15" s="841">
        <f>(SUMIF('Rental Income Model'!$1:$1,R$6,'Rental Income Model'!$58:$58)+SUMIF('Rental Income Model'!$1:$1,R$6,'Rental Income Model'!$112:$112))*'Property Data'!$H$29</f>
        <v>3807.1266006184851</v>
      </c>
      <c r="S15" s="841">
        <f>(SUMIF('Rental Income Model'!$1:$1,S$6,'Rental Income Model'!$58:$58)+SUMIF('Rental Income Model'!$1:$1,S$6,'Rental Income Model'!$112:$112))*'Property Data'!$H$29</f>
        <v>3952.659533536058</v>
      </c>
      <c r="T15" s="841">
        <f>(SUMIF('Rental Income Model'!$1:$1,T$6,'Rental Income Model'!$58:$58)+SUMIF('Rental Income Model'!$1:$1,T$6,'Rental Income Model'!$112:$112))*'Property Data'!$H$29</f>
        <v>4087.594891621336</v>
      </c>
      <c r="U15" s="841">
        <f>(SUMIF('Rental Income Model'!$1:$1,U$6,'Rental Income Model'!$58:$58)+SUMIF('Rental Income Model'!$1:$1,U$6,'Rental Income Model'!$112:$112))*'Property Data'!$H$29</f>
        <v>4234.0574121571372</v>
      </c>
      <c r="V15" s="841">
        <f>(SUMIF('Rental Income Model'!$1:$1,V$6,'Rental Income Model'!$58:$58)+SUMIF('Rental Income Model'!$1:$1,V$6,'Rental Income Model'!$112:$112))*'Property Data'!$H$29</f>
        <v>4372.4302687318414</v>
      </c>
      <c r="W15" s="841">
        <f>(SUMIF('Rental Income Model'!$1:$1,W$6,'Rental Income Model'!$58:$58)+SUMIF('Rental Income Model'!$1:$1,W$6,'Rental Income Model'!$112:$112))*'Property Data'!$H$29</f>
        <v>4540.3169431949373</v>
      </c>
      <c r="X15" s="841">
        <f>(SUMIF('Rental Income Model'!$1:$1,X$6,'Rental Income Model'!$58:$58)+SUMIF('Rental Income Model'!$1:$1,X$6,'Rental Income Model'!$112:$112))*'Property Data'!$H$29</f>
        <v>4705.0519026019992</v>
      </c>
      <c r="Y15" s="841">
        <f>(SUMIF('Rental Income Model'!$1:$1,Y$6,'Rental Income Model'!$58:$58)+SUMIF('Rental Income Model'!$1:$1,Y$6,'Rental Income Model'!$112:$112))*'Property Data'!$H$29</f>
        <v>4878.8276580931561</v>
      </c>
      <c r="Z15" s="841">
        <f>(SUMIF('Rental Income Model'!$1:$1,Z$6,'Rental Income Model'!$58:$58)+SUMIF('Rental Income Model'!$1:$1,Z$6,'Rental Income Model'!$112:$112))*'Property Data'!$H$29</f>
        <v>4868.5885788935711</v>
      </c>
      <c r="AA15" s="841">
        <f>(SUMIF('Rental Income Model'!$1:$1,AA$6,'Rental Income Model'!$58:$58)+SUMIF('Rental Income Model'!$1:$1,AA$6,'Rental Income Model'!$112:$112))*'Property Data'!$H$29</f>
        <v>4844.1278017479617</v>
      </c>
      <c r="AB15" s="841">
        <f>(SUMIF('Rental Income Model'!$1:$1,AB$6,'Rental Income Model'!$58:$58)+SUMIF('Rental Income Model'!$1:$1,AB$6,'Rental Income Model'!$112:$112))*'Property Data'!$H$29</f>
        <v>4802.560463038225</v>
      </c>
      <c r="AC15" s="841">
        <f>(SUMIF('Rental Income Model'!$1:$1,AC$6,'Rental Income Model'!$58:$58)+SUMIF('Rental Income Model'!$1:$1,AC$6,'Rental Income Model'!$112:$112))*'Property Data'!$H$29</f>
        <v>4744.8701900542983</v>
      </c>
      <c r="AD15" s="841">
        <f>(SUMIF('Rental Income Model'!$1:$1,AD$6,'Rental Income Model'!$58:$58)+SUMIF('Rental Income Model'!$1:$1,AD$6,'Rental Income Model'!$112:$112))*'Property Data'!$H$29</f>
        <v>4734.9284427669472</v>
      </c>
      <c r="AE15" s="841">
        <f>(SUMIF('Rental Income Model'!$1:$1,AE$6,'Rental Income Model'!$58:$58)+SUMIF('Rental Income Model'!$1:$1,AE$6,'Rental Income Model'!$112:$112))*'Property Data'!$H$29</f>
        <v>4758.8818471986187</v>
      </c>
      <c r="AF15" s="841">
        <f>(SUMIF('Rental Income Model'!$1:$1,AF$6,'Rental Income Model'!$58:$58)+SUMIF('Rental Income Model'!$1:$1,AF$6,'Rental Income Model'!$112:$112))*'Property Data'!$H$29</f>
        <v>4788.8631533754688</v>
      </c>
      <c r="AG15" s="841">
        <f>(SUMIF('Rental Income Model'!$1:$1,AG$6,'Rental Income Model'!$58:$58)+SUMIF('Rental Income Model'!$1:$1,AG$6,'Rental Income Model'!$112:$112))*'Property Data'!$H$29</f>
        <v>4824.5257569471505</v>
      </c>
      <c r="AH15" s="1097">
        <f>(SUMIF('Rental Income Model'!$1:$1,AH$6,'Rental Income Model'!$58:$58)+SUMIF('Rental Income Model'!$1:$1,AH$6,'Rental Income Model'!$112:$112))*'Property Data'!$H$29</f>
        <v>4865.5429833134613</v>
      </c>
      <c r="AI15" s="841">
        <f>(SUMIF('Rental Income Model'!$1:$1,AI$6,'Rental Income Model'!$58:$58)+SUMIF('Rental Income Model'!$1:$1,AI$6,'Rental Income Model'!$112:$112))*'Property Data'!$H$29</f>
        <v>4923.7702589699356</v>
      </c>
      <c r="AJ15" s="841">
        <f>(SUMIF('Rental Income Model'!$1:$1,AJ$6,'Rental Income Model'!$58:$58)+SUMIF('Rental Income Model'!$1:$1,AJ$6,'Rental Income Model'!$112:$112))*'Property Data'!$H$29</f>
        <v>4923.7702589699347</v>
      </c>
      <c r="AK15" s="841">
        <f>(SUMIF('Rental Income Model'!$1:$1,AK$6,'Rental Income Model'!$58:$58)+SUMIF('Rental Income Model'!$1:$1,AK$6,'Rental Income Model'!$112:$112))*'Property Data'!$H$29</f>
        <v>4923.7702589699347</v>
      </c>
      <c r="AL15" s="841">
        <f>(SUMIF('Rental Income Model'!$1:$1,AL$6,'Rental Income Model'!$58:$58)+SUMIF('Rental Income Model'!$1:$1,AL$6,'Rental Income Model'!$112:$112))*'Property Data'!$H$29</f>
        <v>4910.9469802199346</v>
      </c>
      <c r="AM15" s="841">
        <f>(SUMIF('Rental Income Model'!$1:$1,AM$6,'Rental Income Model'!$58:$58)+SUMIF('Rental Income Model'!$1:$1,AM$6,'Rental Income Model'!$112:$112))*'Property Data'!$H$29</f>
        <v>4884.0505949980598</v>
      </c>
      <c r="AN15" s="841">
        <f>(SUMIF('Rental Income Model'!$1:$1,AN$6,'Rental Income Model'!$58:$58)+SUMIF('Rental Income Model'!$1:$1,AN$6,'Rental Income Model'!$112:$112))*'Property Data'!$H$29</f>
        <v>4840.1876956764427</v>
      </c>
      <c r="AO15" s="841">
        <f>(SUMIF('Rental Income Model'!$1:$1,AO$6,'Rental Income Model'!$58:$58)+SUMIF('Rental Income Model'!$1:$1,AO$6,'Rental Income Model'!$112:$112))*'Property Data'!$H$29</f>
        <v>4780.3338568158179</v>
      </c>
      <c r="AP15" s="841">
        <f>(SUMIF('Rental Income Model'!$1:$1,AP$6,'Rental Income Model'!$58:$58)+SUMIF('Rental Income Model'!$1:$1,AP$6,'Rental Income Model'!$112:$112))*'Property Data'!$H$29</f>
        <v>4768.3529486896796</v>
      </c>
      <c r="AQ15" s="841">
        <f>(SUMIF('Rental Income Model'!$1:$1,AQ$6,'Rental Income Model'!$58:$58)+SUMIF('Rental Income Model'!$1:$1,AQ$6,'Rental Income Model'!$112:$112))*'Property Data'!$H$29</f>
        <v>4790.3844440307948</v>
      </c>
      <c r="AR15" s="841">
        <f>(SUMIF('Rental Income Model'!$1:$1,AR$6,'Rental Income Model'!$58:$58)+SUMIF('Rental Income Model'!$1:$1,AR$6,'Rental Income Model'!$112:$112))*'Property Data'!$H$29</f>
        <v>4818.5543508897954</v>
      </c>
      <c r="AS15" s="841">
        <f>(SUMIF('Rental Income Model'!$1:$1,AS$6,'Rental Income Model'!$58:$58)+SUMIF('Rental Income Model'!$1:$1,AS$6,'Rental Income Model'!$112:$112))*'Property Data'!$H$29</f>
        <v>4852.5097106044032</v>
      </c>
      <c r="AT15" s="841">
        <f>(SUMIF('Rental Income Model'!$1:$1,AT$6,'Rental Income Model'!$58:$58)+SUMIF('Rental Income Model'!$1:$1,AT$6,'Rental Income Model'!$112:$112))*'Property Data'!$H$29</f>
        <v>4891.9178596354213</v>
      </c>
      <c r="AU15" s="841">
        <f>(SUMIF('Rental Income Model'!$1:$1,AU$6,'Rental Income Model'!$58:$58)+SUMIF('Rental Income Model'!$1:$1,AU$6,'Rental Income Model'!$112:$112))*'Property Data'!$H$29</f>
        <v>4923.7702589699347</v>
      </c>
      <c r="AV15" s="841">
        <f>(SUMIF('Rental Income Model'!$1:$1,AV$6,'Rental Income Model'!$58:$58)+SUMIF('Rental Income Model'!$1:$1,AV$6,'Rental Income Model'!$112:$112))*'Property Data'!$H$29</f>
        <v>4923.7702589699338</v>
      </c>
      <c r="AW15" s="841">
        <f>(SUMIF('Rental Income Model'!$1:$1,AW$6,'Rental Income Model'!$58:$58)+SUMIF('Rental Income Model'!$1:$1,AW$6,'Rental Income Model'!$112:$112))*'Property Data'!$H$29</f>
        <v>4923.7702589699338</v>
      </c>
      <c r="AX15" s="841">
        <f>(SUMIF('Rental Income Model'!$1:$1,AX$6,'Rental Income Model'!$58:$58)+SUMIF('Rental Income Model'!$1:$1,AX$6,'Rental Income Model'!$112:$112))*'Property Data'!$H$29</f>
        <v>4910.9469802199337</v>
      </c>
      <c r="AY15" s="841">
        <f>(SUMIF('Rental Income Model'!$1:$1,AY$6,'Rental Income Model'!$58:$58)+SUMIF('Rental Income Model'!$1:$1,AY$6,'Rental Income Model'!$112:$112))*'Property Data'!$H$29</f>
        <v>4884.0505949980579</v>
      </c>
      <c r="AZ15" s="841">
        <f>(SUMIF('Rental Income Model'!$1:$1,AZ$6,'Rental Income Model'!$58:$58)+SUMIF('Rental Income Model'!$1:$1,AZ$6,'Rental Income Model'!$112:$112))*'Property Data'!$H$29</f>
        <v>4840.1876956764409</v>
      </c>
      <c r="BA15" s="841">
        <f>(SUMIF('Rental Income Model'!$1:$1,BA$6,'Rental Income Model'!$58:$58)+SUMIF('Rental Income Model'!$1:$1,BA$6,'Rental Income Model'!$112:$112))*'Property Data'!$H$29</f>
        <v>4780.3338568158169</v>
      </c>
      <c r="BB15" s="841">
        <f>(SUMIF('Rental Income Model'!$1:$1,BB$6,'Rental Income Model'!$58:$58)+SUMIF('Rental Income Model'!$1:$1,BB$6,'Rental Income Model'!$112:$112))*'Property Data'!$H$29</f>
        <v>4768.3529486896787</v>
      </c>
      <c r="BC15" s="841">
        <f>(SUMIF('Rental Income Model'!$1:$1,BC$6,'Rental Income Model'!$58:$58)+SUMIF('Rental Income Model'!$1:$1,BC$6,'Rental Income Model'!$112:$112))*'Property Data'!$H$29</f>
        <v>4790.384444030793</v>
      </c>
      <c r="BD15" s="841">
        <f>(SUMIF('Rental Income Model'!$1:$1,BD$6,'Rental Income Model'!$58:$58)+SUMIF('Rental Income Model'!$1:$1,BD$6,'Rental Income Model'!$112:$112))*'Property Data'!$H$29</f>
        <v>4818.5543508897936</v>
      </c>
      <c r="BE15" s="841">
        <f>(SUMIF('Rental Income Model'!$1:$1,BE$6,'Rental Income Model'!$58:$58)+SUMIF('Rental Income Model'!$1:$1,BE$6,'Rental Income Model'!$112:$112))*'Property Data'!$H$29</f>
        <v>4852.5097106044013</v>
      </c>
      <c r="BF15" s="841">
        <f>(SUMIF('Rental Income Model'!$1:$1,BF$6,'Rental Income Model'!$58:$58)+SUMIF('Rental Income Model'!$1:$1,BF$6,'Rental Income Model'!$112:$112))*'Property Data'!$H$29</f>
        <v>4891.9178596354195</v>
      </c>
      <c r="BG15" s="841">
        <f>(SUMIF('Rental Income Model'!$1:$1,BG$6,'Rental Income Model'!$58:$58)+SUMIF('Rental Income Model'!$1:$1,BG$6,'Rental Income Model'!$112:$112))*'Property Data'!$H$29</f>
        <v>4923.7702589699329</v>
      </c>
      <c r="BH15" s="841">
        <f>(SUMIF('Rental Income Model'!$1:$1,BH$6,'Rental Income Model'!$58:$58)+SUMIF('Rental Income Model'!$1:$1,BH$6,'Rental Income Model'!$112:$112))*'Property Data'!$H$29</f>
        <v>4923.7702589699329</v>
      </c>
      <c r="BI15" s="841">
        <f>(SUMIF('Rental Income Model'!$1:$1,BI$6,'Rental Income Model'!$58:$58)+SUMIF('Rental Income Model'!$1:$1,BI$6,'Rental Income Model'!$112:$112))*'Property Data'!$H$29</f>
        <v>4923.7702589699329</v>
      </c>
      <c r="BJ15" s="841">
        <f>(SUMIF('Rental Income Model'!$1:$1,BJ$6,'Rental Income Model'!$58:$58)+SUMIF('Rental Income Model'!$1:$1,BJ$6,'Rental Income Model'!$112:$112))*'Property Data'!$H$29</f>
        <v>4910.9469802199328</v>
      </c>
    </row>
    <row r="16" spans="1:63">
      <c r="B16" s="401" t="s">
        <v>814</v>
      </c>
      <c r="C16" s="841">
        <f>+C10*'Property Data'!$G$49</f>
        <v>785.86752989978481</v>
      </c>
      <c r="D16" s="841">
        <f>+D10*'Property Data'!$G$49</f>
        <v>700</v>
      </c>
      <c r="E16" s="841">
        <f>+E10*'Property Data'!$G$49</f>
        <v>660</v>
      </c>
      <c r="F16" s="841">
        <f>+F10*'Property Data'!$G$49</f>
        <v>680</v>
      </c>
      <c r="G16" s="841">
        <f>+G10*'Property Data'!$G$49</f>
        <v>720</v>
      </c>
      <c r="H16" s="841">
        <f>+H10*'Property Data'!$G$49</f>
        <v>740</v>
      </c>
      <c r="I16" s="841">
        <f>+I10*'Property Data'!$G$49</f>
        <v>780</v>
      </c>
      <c r="J16" s="841">
        <f>+J10*'Property Data'!$G$49</f>
        <v>840</v>
      </c>
      <c r="K16" s="841">
        <f>+K10*'Property Data'!$G$49</f>
        <v>940</v>
      </c>
      <c r="L16" s="841">
        <f>+L10*'Property Data'!$G$49</f>
        <v>1040</v>
      </c>
      <c r="M16" s="841">
        <f>+M10*'Property Data'!$G$49</f>
        <v>1140</v>
      </c>
      <c r="N16" s="841">
        <f>+N10*'Property Data'!$G$49</f>
        <v>980</v>
      </c>
      <c r="O16" s="841">
        <f>+O10*'Property Data'!$G$49</f>
        <v>860</v>
      </c>
      <c r="P16" s="841">
        <f>+P10*'Property Data'!$G$49</f>
        <v>840</v>
      </c>
      <c r="Q16" s="841">
        <f>+Q10*'Property Data'!$G$49</f>
        <v>780</v>
      </c>
      <c r="R16" s="841">
        <f>+R10*'Property Data'!$G$49</f>
        <v>820</v>
      </c>
      <c r="S16" s="841">
        <f>+S10*'Property Data'!$G$49</f>
        <v>860</v>
      </c>
      <c r="T16" s="841">
        <f>+T10*'Property Data'!$G$49</f>
        <v>880</v>
      </c>
      <c r="U16" s="841">
        <f>+U10*'Property Data'!$G$49</f>
        <v>940</v>
      </c>
      <c r="V16" s="841">
        <f>+V10*'Property Data'!$G$49</f>
        <v>960</v>
      </c>
      <c r="W16" s="841">
        <f>+W10*'Property Data'!$G$49</f>
        <v>1060</v>
      </c>
      <c r="X16" s="841">
        <f>+X10*'Property Data'!$G$49</f>
        <v>1100</v>
      </c>
      <c r="Y16" s="841">
        <f>+Y10*'Property Data'!$G$49</f>
        <v>1160</v>
      </c>
      <c r="Z16" s="841">
        <f>+Z10*'Property Data'!$G$49</f>
        <v>700</v>
      </c>
      <c r="AA16" s="841">
        <f>+AA10*'Property Data'!$G$49</f>
        <v>660</v>
      </c>
      <c r="AB16" s="841">
        <f>+AB10*'Property Data'!$G$49</f>
        <v>620</v>
      </c>
      <c r="AC16" s="841">
        <f>+AC10*'Property Data'!$G$49</f>
        <v>560</v>
      </c>
      <c r="AD16" s="841">
        <f>+AD10*'Property Data'!$G$49</f>
        <v>680</v>
      </c>
      <c r="AE16" s="841">
        <f>+AE10*'Property Data'!$G$49</f>
        <v>780</v>
      </c>
      <c r="AF16" s="841">
        <f>+AF10*'Property Data'!$G$49</f>
        <v>780</v>
      </c>
      <c r="AG16" s="841">
        <f>+AG10*'Property Data'!$G$49</f>
        <v>820</v>
      </c>
      <c r="AH16" s="1097">
        <f>+AH10*'Property Data'!$G$49</f>
        <v>820</v>
      </c>
      <c r="AI16" s="841">
        <f>+AI10*'Property Data'!$G$49</f>
        <v>880</v>
      </c>
      <c r="AJ16" s="841">
        <f>+AJ10*'Property Data'!$G$49</f>
        <v>760</v>
      </c>
      <c r="AK16" s="841">
        <f>+AK10*'Property Data'!$G$49</f>
        <v>760</v>
      </c>
      <c r="AL16" s="841">
        <f>+AL10*'Property Data'!$G$49</f>
        <v>700</v>
      </c>
      <c r="AM16" s="841">
        <f>+AM10*'Property Data'!$G$49</f>
        <v>660</v>
      </c>
      <c r="AN16" s="841">
        <f>+AN10*'Property Data'!$G$49</f>
        <v>620</v>
      </c>
      <c r="AO16" s="841">
        <f>+AO10*'Property Data'!$G$49</f>
        <v>560</v>
      </c>
      <c r="AP16" s="841">
        <f>+AP10*'Property Data'!$G$49</f>
        <v>680</v>
      </c>
      <c r="AQ16" s="841">
        <f>+AQ10*'Property Data'!$G$49</f>
        <v>780</v>
      </c>
      <c r="AR16" s="841">
        <f>+AR10*'Property Data'!$G$49</f>
        <v>780</v>
      </c>
      <c r="AS16" s="841">
        <f>+AS10*'Property Data'!$G$49</f>
        <v>800</v>
      </c>
      <c r="AT16" s="841">
        <f>+AT10*'Property Data'!$G$49</f>
        <v>840</v>
      </c>
      <c r="AU16" s="841">
        <f>+AU10*'Property Data'!$G$49</f>
        <v>820</v>
      </c>
      <c r="AV16" s="841">
        <f>+AV10*'Property Data'!$G$49</f>
        <v>740</v>
      </c>
      <c r="AW16" s="841">
        <f>+AW10*'Property Data'!$G$49</f>
        <v>760</v>
      </c>
      <c r="AX16" s="841">
        <f>+AX10*'Property Data'!$G$49</f>
        <v>700</v>
      </c>
      <c r="AY16" s="841">
        <f>+AY10*'Property Data'!$G$49</f>
        <v>660</v>
      </c>
      <c r="AZ16" s="841">
        <f>+AZ10*'Property Data'!$G$49</f>
        <v>620</v>
      </c>
      <c r="BA16" s="841">
        <f>+BA10*'Property Data'!$G$49</f>
        <v>560</v>
      </c>
      <c r="BB16" s="841">
        <f>+BB10*'Property Data'!$G$49</f>
        <v>700</v>
      </c>
      <c r="BC16" s="841">
        <f>+BC10*'Property Data'!$G$49</f>
        <v>760</v>
      </c>
      <c r="BD16" s="841">
        <f>+BD10*'Property Data'!$G$49</f>
        <v>780</v>
      </c>
      <c r="BE16" s="841">
        <f>+BE10*'Property Data'!$G$49</f>
        <v>820</v>
      </c>
      <c r="BF16" s="841">
        <f>+BF10*'Property Data'!$G$49</f>
        <v>820</v>
      </c>
      <c r="BG16" s="841">
        <f>+BG10*'Property Data'!$G$49</f>
        <v>820</v>
      </c>
      <c r="BH16" s="841">
        <f>+BH10*'Property Data'!$G$49</f>
        <v>760</v>
      </c>
      <c r="BI16" s="841">
        <f>+BI10*'Property Data'!$G$49</f>
        <v>760</v>
      </c>
      <c r="BJ16" s="841">
        <f>+BJ10*'Property Data'!$G$49</f>
        <v>700</v>
      </c>
    </row>
    <row r="17" spans="2:62">
      <c r="B17" s="401" t="s">
        <v>815</v>
      </c>
      <c r="C17" s="841">
        <f>C10*'Property Data'!$G$51</f>
        <v>3536.4038845490313</v>
      </c>
      <c r="D17" s="841">
        <f>D10*'Property Data'!$G$51</f>
        <v>3150</v>
      </c>
      <c r="E17" s="841">
        <f>E10*'Property Data'!$G$51</f>
        <v>2970</v>
      </c>
      <c r="F17" s="841">
        <f>F10*'Property Data'!$G$51</f>
        <v>3060</v>
      </c>
      <c r="G17" s="841">
        <f>G10*'Property Data'!$G$51</f>
        <v>3240</v>
      </c>
      <c r="H17" s="841">
        <f>H10*'Property Data'!$G$51</f>
        <v>3330</v>
      </c>
      <c r="I17" s="841">
        <f>I10*'Property Data'!$G$51</f>
        <v>3510</v>
      </c>
      <c r="J17" s="841">
        <f>J10*'Property Data'!$G$51</f>
        <v>3780</v>
      </c>
      <c r="K17" s="841">
        <f>K10*'Property Data'!$G$51</f>
        <v>4230</v>
      </c>
      <c r="L17" s="841">
        <f>L10*'Property Data'!$G$51</f>
        <v>4680</v>
      </c>
      <c r="M17" s="841">
        <f>M10*'Property Data'!$G$51</f>
        <v>5130</v>
      </c>
      <c r="N17" s="841">
        <f>N10*'Property Data'!$G$51</f>
        <v>4410</v>
      </c>
      <c r="O17" s="841">
        <f>O10*'Property Data'!$G$51</f>
        <v>3870</v>
      </c>
      <c r="P17" s="841">
        <f>P10*'Property Data'!$G$51</f>
        <v>3780</v>
      </c>
      <c r="Q17" s="841">
        <f>Q10*'Property Data'!$G$51</f>
        <v>3510</v>
      </c>
      <c r="R17" s="841">
        <f>R10*'Property Data'!$G$51</f>
        <v>3690</v>
      </c>
      <c r="S17" s="841">
        <f>S10*'Property Data'!$G$51</f>
        <v>3870</v>
      </c>
      <c r="T17" s="841">
        <f>T10*'Property Data'!$G$51</f>
        <v>3960</v>
      </c>
      <c r="U17" s="841">
        <f>U10*'Property Data'!$G$51</f>
        <v>4230</v>
      </c>
      <c r="V17" s="841">
        <f>V10*'Property Data'!$G$51</f>
        <v>4320</v>
      </c>
      <c r="W17" s="841">
        <f>W10*'Property Data'!$G$51</f>
        <v>4770</v>
      </c>
      <c r="X17" s="841">
        <f>X10*'Property Data'!$G$51</f>
        <v>4950</v>
      </c>
      <c r="Y17" s="841">
        <f>Y10*'Property Data'!$G$51</f>
        <v>5220</v>
      </c>
      <c r="Z17" s="841">
        <f>Z10*'Property Data'!$G$51</f>
        <v>3150</v>
      </c>
      <c r="AA17" s="841">
        <f>AA10*'Property Data'!$G$51</f>
        <v>2970</v>
      </c>
      <c r="AB17" s="841">
        <f>AB10*'Property Data'!$G$51</f>
        <v>2790</v>
      </c>
      <c r="AC17" s="841">
        <f>AC10*'Property Data'!$G$51</f>
        <v>2520</v>
      </c>
      <c r="AD17" s="841">
        <f>AD10*'Property Data'!$G$51</f>
        <v>3060</v>
      </c>
      <c r="AE17" s="841">
        <f>AE10*'Property Data'!$G$51</f>
        <v>3510</v>
      </c>
      <c r="AF17" s="841">
        <f>AF10*'Property Data'!$G$51</f>
        <v>3510</v>
      </c>
      <c r="AG17" s="841">
        <f>AG10*'Property Data'!$G$51</f>
        <v>3690</v>
      </c>
      <c r="AH17" s="1097">
        <f>AH10*'Property Data'!$G$51</f>
        <v>3690</v>
      </c>
      <c r="AI17" s="841">
        <f>AI10*'Property Data'!$G$51</f>
        <v>3960</v>
      </c>
      <c r="AJ17" s="841">
        <f>AJ10*'Property Data'!$G$51</f>
        <v>3420</v>
      </c>
      <c r="AK17" s="841">
        <f>AK10*'Property Data'!$G$51</f>
        <v>3420</v>
      </c>
      <c r="AL17" s="841">
        <f>AL10*'Property Data'!$G$51</f>
        <v>3150</v>
      </c>
      <c r="AM17" s="841">
        <f>AM10*'Property Data'!$G$51</f>
        <v>2970</v>
      </c>
      <c r="AN17" s="841">
        <f>AN10*'Property Data'!$G$51</f>
        <v>2790</v>
      </c>
      <c r="AO17" s="841">
        <f>AO10*'Property Data'!$G$51</f>
        <v>2520</v>
      </c>
      <c r="AP17" s="841">
        <f>AP10*'Property Data'!$G$51</f>
        <v>3060</v>
      </c>
      <c r="AQ17" s="841">
        <f>AQ10*'Property Data'!$G$51</f>
        <v>3510</v>
      </c>
      <c r="AR17" s="841">
        <f>AR10*'Property Data'!$G$51</f>
        <v>3510</v>
      </c>
      <c r="AS17" s="841">
        <f>AS10*'Property Data'!$G$51</f>
        <v>3600</v>
      </c>
      <c r="AT17" s="841">
        <f>AT10*'Property Data'!$G$51</f>
        <v>3780</v>
      </c>
      <c r="AU17" s="841">
        <f>AU10*'Property Data'!$G$51</f>
        <v>3690</v>
      </c>
      <c r="AV17" s="841">
        <f>AV10*'Property Data'!$G$51</f>
        <v>3330</v>
      </c>
      <c r="AW17" s="841">
        <f>AW10*'Property Data'!$G$51</f>
        <v>3420</v>
      </c>
      <c r="AX17" s="841">
        <f>AX10*'Property Data'!$G$51</f>
        <v>3150</v>
      </c>
      <c r="AY17" s="841">
        <f>AY10*'Property Data'!$G$51</f>
        <v>2970</v>
      </c>
      <c r="AZ17" s="841">
        <f>AZ10*'Property Data'!$G$51</f>
        <v>2790</v>
      </c>
      <c r="BA17" s="841">
        <f>BA10*'Property Data'!$G$51</f>
        <v>2520</v>
      </c>
      <c r="BB17" s="841">
        <f>BB10*'Property Data'!$G$51</f>
        <v>3150</v>
      </c>
      <c r="BC17" s="841">
        <f>BC10*'Property Data'!$G$51</f>
        <v>3420</v>
      </c>
      <c r="BD17" s="841">
        <f>BD10*'Property Data'!$G$51</f>
        <v>3510</v>
      </c>
      <c r="BE17" s="841">
        <f>BE10*'Property Data'!$G$51</f>
        <v>3690</v>
      </c>
      <c r="BF17" s="841">
        <f>BF10*'Property Data'!$G$51</f>
        <v>3690</v>
      </c>
      <c r="BG17" s="841">
        <f>BG10*'Property Data'!$G$51</f>
        <v>3690</v>
      </c>
      <c r="BH17" s="841">
        <f>BH10*'Property Data'!$G$51</f>
        <v>3420</v>
      </c>
      <c r="BI17" s="841">
        <f>BI10*'Property Data'!$G$51</f>
        <v>3420</v>
      </c>
      <c r="BJ17" s="841">
        <f>BJ10*'Property Data'!$G$51</f>
        <v>3150</v>
      </c>
    </row>
    <row r="18" spans="2:62" ht="15" thickBot="1">
      <c r="B18" s="845" t="s">
        <v>816</v>
      </c>
      <c r="C18" s="846">
        <f>+SUM(C14:C17)</f>
        <v>4589.3205177223372</v>
      </c>
      <c r="D18" s="846">
        <f t="shared" ref="D18:BJ18" si="2">+SUM(D14:D17)</f>
        <v>10177.474895709314</v>
      </c>
      <c r="E18" s="846">
        <f t="shared" si="2"/>
        <v>17162.056775911093</v>
      </c>
      <c r="F18" s="846">
        <f t="shared" si="2"/>
        <v>23749.833516519404</v>
      </c>
      <c r="G18" s="846">
        <f t="shared" si="2"/>
        <v>30605.236005682127</v>
      </c>
      <c r="H18" s="846">
        <f t="shared" si="2"/>
        <v>37823.18415919102</v>
      </c>
      <c r="I18" s="846">
        <f t="shared" si="2"/>
        <v>46435.893178947445</v>
      </c>
      <c r="J18" s="846">
        <f t="shared" si="2"/>
        <v>55763.19224163032</v>
      </c>
      <c r="K18" s="846">
        <f t="shared" si="2"/>
        <v>65817.872366363998</v>
      </c>
      <c r="L18" s="846">
        <f t="shared" si="2"/>
        <v>77281.768007884559</v>
      </c>
      <c r="M18" s="846">
        <f t="shared" si="2"/>
        <v>89137.225317180841</v>
      </c>
      <c r="N18" s="846">
        <f t="shared" si="2"/>
        <v>101488.03330688382</v>
      </c>
      <c r="O18" s="847">
        <f t="shared" si="2"/>
        <v>112093.29381855993</v>
      </c>
      <c r="P18" s="846">
        <f t="shared" si="2"/>
        <v>120005.77557913437</v>
      </c>
      <c r="Q18" s="846">
        <f t="shared" si="2"/>
        <v>127979.92338779185</v>
      </c>
      <c r="R18" s="846">
        <f t="shared" si="2"/>
        <v>136146.86134469428</v>
      </c>
      <c r="S18" s="846">
        <f t="shared" si="2"/>
        <v>143508.85926313896</v>
      </c>
      <c r="T18" s="846">
        <f t="shared" si="2"/>
        <v>151594.05979646315</v>
      </c>
      <c r="U18" s="846">
        <f t="shared" si="2"/>
        <v>158639.17872025704</v>
      </c>
      <c r="V18" s="846">
        <f t="shared" si="2"/>
        <v>166865.76831273397</v>
      </c>
      <c r="W18" s="846">
        <f t="shared" si="2"/>
        <v>175286.02625965117</v>
      </c>
      <c r="X18" s="846">
        <f t="shared" si="2"/>
        <v>185769.02507089279</v>
      </c>
      <c r="Y18" s="846">
        <f t="shared" si="2"/>
        <v>195528.48862770185</v>
      </c>
      <c r="Z18" s="848">
        <f t="shared" si="2"/>
        <v>198955.44169752923</v>
      </c>
      <c r="AA18" s="846">
        <f t="shared" si="2"/>
        <v>199965.00463162269</v>
      </c>
      <c r="AB18" s="846">
        <f t="shared" si="2"/>
        <v>200319.77905402804</v>
      </c>
      <c r="AC18" s="846">
        <f t="shared" si="2"/>
        <v>199697.63945628185</v>
      </c>
      <c r="AD18" s="846">
        <f t="shared" si="2"/>
        <v>201349.07546465291</v>
      </c>
      <c r="AE18" s="846">
        <f t="shared" si="2"/>
        <v>204552.66581183716</v>
      </c>
      <c r="AF18" s="846">
        <f t="shared" si="2"/>
        <v>207195.30522390929</v>
      </c>
      <c r="AG18" s="846">
        <f t="shared" si="2"/>
        <v>210309.92347296447</v>
      </c>
      <c r="AH18" s="846">
        <f t="shared" si="2"/>
        <v>213496.24944414536</v>
      </c>
      <c r="AI18" s="846">
        <f t="shared" si="2"/>
        <v>217758.70603698169</v>
      </c>
      <c r="AJ18" s="846">
        <f t="shared" si="2"/>
        <v>219451.7578397679</v>
      </c>
      <c r="AK18" s="846">
        <f t="shared" si="2"/>
        <v>221258.50796842843</v>
      </c>
      <c r="AL18" s="846">
        <f t="shared" si="2"/>
        <v>222525.40469028518</v>
      </c>
      <c r="AM18" s="847">
        <f t="shared" si="2"/>
        <v>223133.29163066417</v>
      </c>
      <c r="AN18" s="846">
        <f t="shared" si="2"/>
        <v>222612.18997214179</v>
      </c>
      <c r="AO18" s="846">
        <f t="shared" si="2"/>
        <v>221206.12069365085</v>
      </c>
      <c r="AP18" s="846">
        <f t="shared" si="2"/>
        <v>222108.25711838363</v>
      </c>
      <c r="AQ18" s="846">
        <f t="shared" si="2"/>
        <v>224569.26034987127</v>
      </c>
      <c r="AR18" s="846">
        <f t="shared" si="2"/>
        <v>227135.00326165589</v>
      </c>
      <c r="AS18" s="846">
        <f t="shared" si="2"/>
        <v>230136.36750500338</v>
      </c>
      <c r="AT18" s="846">
        <f t="shared" si="2"/>
        <v>233571.31489817455</v>
      </c>
      <c r="AU18" s="846">
        <f t="shared" si="2"/>
        <v>236511.71731970692</v>
      </c>
      <c r="AV18" s="846">
        <f t="shared" si="2"/>
        <v>237926.32469092216</v>
      </c>
      <c r="AW18" s="846">
        <f t="shared" si="2"/>
        <v>239536.68589969978</v>
      </c>
      <c r="AX18" s="848">
        <f t="shared" si="2"/>
        <v>240481.9610205199</v>
      </c>
      <c r="AY18" s="846">
        <f t="shared" si="2"/>
        <v>240855.79397417034</v>
      </c>
      <c r="AZ18" s="846">
        <f t="shared" si="2"/>
        <v>240400.34689748561</v>
      </c>
      <c r="BA18" s="846">
        <f t="shared" si="2"/>
        <v>239037.65179540479</v>
      </c>
      <c r="BB18" s="846">
        <f t="shared" si="2"/>
        <v>240132.04942345383</v>
      </c>
      <c r="BC18" s="846">
        <f t="shared" si="2"/>
        <v>242503.64108198439</v>
      </c>
      <c r="BD18" s="846">
        <f t="shared" si="2"/>
        <v>245331.1895949459</v>
      </c>
      <c r="BE18" s="846">
        <f t="shared" si="2"/>
        <v>248604.43166161873</v>
      </c>
      <c r="BF18" s="846">
        <f t="shared" si="2"/>
        <v>251990.06795038626</v>
      </c>
      <c r="BG18" s="846">
        <f t="shared" si="2"/>
        <v>255208.19449114235</v>
      </c>
      <c r="BH18" s="846">
        <f t="shared" si="2"/>
        <v>256866.14227334177</v>
      </c>
      <c r="BI18" s="846">
        <f t="shared" si="2"/>
        <v>258488.85000802687</v>
      </c>
      <c r="BJ18" s="846">
        <f t="shared" si="2"/>
        <v>259551.06142081495</v>
      </c>
    </row>
    <row r="19" spans="2:62" ht="15" thickTop="1">
      <c r="C19" s="841"/>
      <c r="D19" s="841"/>
      <c r="E19" s="841"/>
      <c r="F19" s="841"/>
      <c r="G19" s="841"/>
      <c r="H19" s="841"/>
      <c r="I19" s="841"/>
      <c r="J19" s="841"/>
      <c r="K19" s="841"/>
      <c r="L19" s="841"/>
      <c r="M19" s="841"/>
      <c r="N19" s="841"/>
      <c r="O19" s="842"/>
      <c r="P19" s="843"/>
      <c r="Q19" s="843"/>
      <c r="R19" s="843"/>
      <c r="S19" s="843"/>
      <c r="T19" s="843"/>
      <c r="U19" s="843"/>
      <c r="V19" s="843"/>
      <c r="W19" s="843"/>
      <c r="X19" s="843"/>
      <c r="Y19" s="843"/>
      <c r="Z19" s="844"/>
      <c r="AA19" s="841"/>
      <c r="AB19" s="841"/>
      <c r="AC19" s="841"/>
      <c r="AD19" s="841"/>
      <c r="AE19" s="841"/>
      <c r="AF19" s="841"/>
      <c r="AG19" s="841"/>
      <c r="AH19" s="1097"/>
      <c r="AI19" s="841"/>
      <c r="AJ19" s="841"/>
      <c r="AK19" s="841"/>
      <c r="AL19" s="841"/>
      <c r="AM19" s="842"/>
      <c r="AN19" s="843"/>
      <c r="AO19" s="843"/>
      <c r="AP19" s="843"/>
      <c r="AQ19" s="843"/>
      <c r="AR19" s="843"/>
      <c r="AS19" s="843"/>
      <c r="AT19" s="843"/>
      <c r="AU19" s="843"/>
      <c r="AV19" s="843"/>
      <c r="AW19" s="843"/>
      <c r="AX19" s="844"/>
      <c r="AY19" s="841"/>
      <c r="AZ19" s="841"/>
      <c r="BA19" s="841"/>
      <c r="BB19" s="841"/>
      <c r="BC19" s="841"/>
      <c r="BD19" s="841"/>
      <c r="BE19" s="841"/>
      <c r="BF19" s="841"/>
      <c r="BG19" s="841"/>
      <c r="BH19" s="841"/>
      <c r="BI19" s="841"/>
      <c r="BJ19" s="841"/>
    </row>
    <row r="20" spans="2:62">
      <c r="B20" s="4" t="s">
        <v>817</v>
      </c>
      <c r="C20" s="841"/>
      <c r="D20" s="841"/>
      <c r="E20" s="841"/>
      <c r="F20" s="841"/>
      <c r="G20" s="841"/>
      <c r="H20" s="841"/>
      <c r="I20" s="841"/>
      <c r="J20" s="841"/>
      <c r="K20" s="841"/>
      <c r="L20" s="841"/>
      <c r="M20" s="841"/>
      <c r="N20" s="841"/>
      <c r="O20" s="842"/>
      <c r="P20" s="843"/>
      <c r="Q20" s="843"/>
      <c r="R20" s="843"/>
      <c r="S20" s="843"/>
      <c r="T20" s="843"/>
      <c r="U20" s="843"/>
      <c r="V20" s="843"/>
      <c r="W20" s="843"/>
      <c r="X20" s="843"/>
      <c r="Y20" s="843"/>
      <c r="Z20" s="844"/>
      <c r="AA20" s="841"/>
      <c r="AB20" s="841"/>
      <c r="AC20" s="841"/>
      <c r="AD20" s="841"/>
      <c r="AE20" s="841"/>
      <c r="AF20" s="841"/>
      <c r="AG20" s="841"/>
      <c r="AH20" s="1097"/>
      <c r="AI20" s="841"/>
      <c r="AJ20" s="841"/>
      <c r="AK20" s="841"/>
      <c r="AL20" s="841"/>
      <c r="AM20" s="842"/>
      <c r="AN20" s="843"/>
      <c r="AO20" s="843"/>
      <c r="AP20" s="843"/>
      <c r="AQ20" s="843"/>
      <c r="AR20" s="843"/>
      <c r="AS20" s="843"/>
      <c r="AT20" s="843"/>
      <c r="AU20" s="843"/>
      <c r="AV20" s="843"/>
      <c r="AW20" s="843"/>
      <c r="AX20" s="844"/>
      <c r="AY20" s="841"/>
      <c r="AZ20" s="841"/>
      <c r="BA20" s="841"/>
      <c r="BB20" s="841"/>
      <c r="BC20" s="841"/>
      <c r="BD20" s="841"/>
      <c r="BE20" s="841"/>
      <c r="BF20" s="841"/>
      <c r="BG20" s="841"/>
      <c r="BH20" s="841"/>
      <c r="BI20" s="841"/>
      <c r="BJ20" s="841"/>
    </row>
    <row r="21" spans="2:62">
      <c r="B21" s="401" t="s">
        <v>818</v>
      </c>
      <c r="C21" s="841">
        <f>+'Property Data'!$H$30</f>
        <v>299</v>
      </c>
      <c r="D21" s="841">
        <f>+'Property Data'!$H$30</f>
        <v>299</v>
      </c>
      <c r="E21" s="841">
        <f>+'Property Data'!$H$30</f>
        <v>299</v>
      </c>
      <c r="F21" s="841">
        <f>+'Property Data'!$H$30</f>
        <v>299</v>
      </c>
      <c r="G21" s="841">
        <f>+'Property Data'!$H$30</f>
        <v>299</v>
      </c>
      <c r="H21" s="841">
        <f>+'Property Data'!$H$30</f>
        <v>299</v>
      </c>
      <c r="I21" s="841">
        <f>+'Property Data'!$H$30</f>
        <v>299</v>
      </c>
      <c r="J21" s="841">
        <f>+'Property Data'!$H$30</f>
        <v>299</v>
      </c>
      <c r="K21" s="841">
        <f>+'Property Data'!$H$30</f>
        <v>299</v>
      </c>
      <c r="L21" s="841">
        <f>+'Property Data'!$H$30</f>
        <v>299</v>
      </c>
      <c r="M21" s="841">
        <f>+'Property Data'!$H$30</f>
        <v>299</v>
      </c>
      <c r="N21" s="841">
        <f>+'Property Data'!$H$30</f>
        <v>299</v>
      </c>
      <c r="O21" s="841">
        <f>+'Property Data'!$H$30</f>
        <v>299</v>
      </c>
      <c r="P21" s="841">
        <f>+'Property Data'!$H$30</f>
        <v>299</v>
      </c>
      <c r="Q21" s="841">
        <f>+'Property Data'!$H$30</f>
        <v>299</v>
      </c>
      <c r="R21" s="841">
        <f>+'Property Data'!$H$30</f>
        <v>299</v>
      </c>
      <c r="S21" s="841">
        <f>+'Property Data'!$H$30</f>
        <v>299</v>
      </c>
      <c r="T21" s="841">
        <f>+'Property Data'!$H$30</f>
        <v>299</v>
      </c>
      <c r="U21" s="841">
        <f>+'Property Data'!$H$30</f>
        <v>299</v>
      </c>
      <c r="V21" s="841">
        <f>+'Property Data'!$H$30</f>
        <v>299</v>
      </c>
      <c r="W21" s="841">
        <f>+'Property Data'!$H$30</f>
        <v>299</v>
      </c>
      <c r="X21" s="841">
        <f>+'Property Data'!$H$30</f>
        <v>299</v>
      </c>
      <c r="Y21" s="841">
        <f>+'Property Data'!$H$30</f>
        <v>299</v>
      </c>
      <c r="Z21" s="841">
        <f>+'Property Data'!$H$30</f>
        <v>299</v>
      </c>
      <c r="AA21" s="841">
        <f>+'Property Data'!$H$30</f>
        <v>299</v>
      </c>
      <c r="AB21" s="841">
        <f>+'Property Data'!$H$30</f>
        <v>299</v>
      </c>
      <c r="AC21" s="841">
        <f>+'Property Data'!$H$30</f>
        <v>299</v>
      </c>
      <c r="AD21" s="841">
        <f>+'Property Data'!$H$30</f>
        <v>299</v>
      </c>
      <c r="AE21" s="841">
        <f>+'Property Data'!$H$30</f>
        <v>299</v>
      </c>
      <c r="AF21" s="841">
        <f>+'Property Data'!$H$30</f>
        <v>299</v>
      </c>
      <c r="AG21" s="841">
        <f>+'Property Data'!$H$30</f>
        <v>299</v>
      </c>
      <c r="AH21" s="1097">
        <f>+'Property Data'!$H$30</f>
        <v>299</v>
      </c>
      <c r="AI21" s="841">
        <f>+'Property Data'!$H$30</f>
        <v>299</v>
      </c>
      <c r="AJ21" s="841">
        <f>+'Property Data'!$H$30</f>
        <v>299</v>
      </c>
      <c r="AK21" s="841">
        <f>+'Property Data'!$H$30</f>
        <v>299</v>
      </c>
      <c r="AL21" s="841">
        <f>+'Property Data'!$H$30</f>
        <v>299</v>
      </c>
      <c r="AM21" s="841">
        <f>+'Property Data'!$H$30</f>
        <v>299</v>
      </c>
      <c r="AN21" s="841">
        <f>+'Property Data'!$H$30</f>
        <v>299</v>
      </c>
      <c r="AO21" s="841">
        <f>+'Property Data'!$H$30</f>
        <v>299</v>
      </c>
      <c r="AP21" s="841">
        <f>+'Property Data'!$H$30</f>
        <v>299</v>
      </c>
      <c r="AQ21" s="841">
        <f>+'Property Data'!$H$30</f>
        <v>299</v>
      </c>
      <c r="AR21" s="841">
        <f>+'Property Data'!$H$30</f>
        <v>299</v>
      </c>
      <c r="AS21" s="841">
        <f>+'Property Data'!$H$30</f>
        <v>299</v>
      </c>
      <c r="AT21" s="841">
        <f>+'Property Data'!$H$30</f>
        <v>299</v>
      </c>
      <c r="AU21" s="841">
        <f>+'Property Data'!$H$30</f>
        <v>299</v>
      </c>
      <c r="AV21" s="841">
        <f>+'Property Data'!$H$30</f>
        <v>299</v>
      </c>
      <c r="AW21" s="841">
        <f>+'Property Data'!$H$30</f>
        <v>299</v>
      </c>
      <c r="AX21" s="841">
        <f>+'Property Data'!$H$30</f>
        <v>299</v>
      </c>
      <c r="AY21" s="841">
        <f>+'Property Data'!$H$30</f>
        <v>299</v>
      </c>
      <c r="AZ21" s="841">
        <f>+'Property Data'!$H$30</f>
        <v>299</v>
      </c>
      <c r="BA21" s="841">
        <f>+'Property Data'!$H$30</f>
        <v>299</v>
      </c>
      <c r="BB21" s="841">
        <f>+'Property Data'!$H$30</f>
        <v>299</v>
      </c>
      <c r="BC21" s="841">
        <f>+'Property Data'!$H$30</f>
        <v>299</v>
      </c>
      <c r="BD21" s="841">
        <f>+'Property Data'!$H$30</f>
        <v>299</v>
      </c>
      <c r="BE21" s="841">
        <f>+'Property Data'!$H$30</f>
        <v>299</v>
      </c>
      <c r="BF21" s="841">
        <f>+'Property Data'!$H$30</f>
        <v>299</v>
      </c>
      <c r="BG21" s="841">
        <f>+'Property Data'!$H$30</f>
        <v>299</v>
      </c>
      <c r="BH21" s="841">
        <f>+'Property Data'!$H$30</f>
        <v>299</v>
      </c>
      <c r="BI21" s="841">
        <f>+'Property Data'!$H$30</f>
        <v>299</v>
      </c>
      <c r="BJ21" s="841">
        <f>+'Property Data'!$H$30</f>
        <v>299</v>
      </c>
    </row>
    <row r="22" spans="2:62">
      <c r="B22" s="401" t="s">
        <v>819</v>
      </c>
      <c r="C22" s="841">
        <f>+'Property Data'!$H$31</f>
        <v>549</v>
      </c>
      <c r="D22" s="841">
        <f>+'Property Data'!$H$31</f>
        <v>549</v>
      </c>
      <c r="E22" s="841">
        <f>+'Property Data'!$H$31</f>
        <v>549</v>
      </c>
      <c r="F22" s="841">
        <f>+'Property Data'!$H$31</f>
        <v>549</v>
      </c>
      <c r="G22" s="841">
        <f>+'Property Data'!$H$31</f>
        <v>549</v>
      </c>
      <c r="H22" s="841">
        <f>+'Property Data'!$H$31</f>
        <v>549</v>
      </c>
      <c r="I22" s="841">
        <f>+'Property Data'!$H$31</f>
        <v>549</v>
      </c>
      <c r="J22" s="841">
        <f>+'Property Data'!$H$31</f>
        <v>549</v>
      </c>
      <c r="K22" s="841">
        <f>+'Property Data'!$H$31</f>
        <v>549</v>
      </c>
      <c r="L22" s="841">
        <f>+'Property Data'!$H$31</f>
        <v>549</v>
      </c>
      <c r="M22" s="841">
        <f>+'Property Data'!$H$31</f>
        <v>549</v>
      </c>
      <c r="N22" s="841">
        <f>+'Property Data'!$H$31</f>
        <v>549</v>
      </c>
      <c r="O22" s="841">
        <f>+'Property Data'!$H$31</f>
        <v>549</v>
      </c>
      <c r="P22" s="841">
        <f>+'Property Data'!$H$31</f>
        <v>549</v>
      </c>
      <c r="Q22" s="841">
        <f>+'Property Data'!$H$31</f>
        <v>549</v>
      </c>
      <c r="R22" s="841">
        <f>+'Property Data'!$H$31</f>
        <v>549</v>
      </c>
      <c r="S22" s="841">
        <f>+'Property Data'!$H$31</f>
        <v>549</v>
      </c>
      <c r="T22" s="841">
        <f>+'Property Data'!$H$31</f>
        <v>549</v>
      </c>
      <c r="U22" s="841">
        <f>+'Property Data'!$H$31</f>
        <v>549</v>
      </c>
      <c r="V22" s="841">
        <f>+'Property Data'!$H$31</f>
        <v>549</v>
      </c>
      <c r="W22" s="841">
        <f>+'Property Data'!$H$31</f>
        <v>549</v>
      </c>
      <c r="X22" s="841">
        <f>+'Property Data'!$H$31</f>
        <v>549</v>
      </c>
      <c r="Y22" s="841">
        <f>+'Property Data'!$H$31</f>
        <v>549</v>
      </c>
      <c r="Z22" s="841">
        <f>+'Property Data'!$H$31</f>
        <v>549</v>
      </c>
      <c r="AA22" s="841">
        <f>+'Property Data'!$H$31</f>
        <v>549</v>
      </c>
      <c r="AB22" s="841">
        <f>+'Property Data'!$H$31</f>
        <v>549</v>
      </c>
      <c r="AC22" s="841">
        <f>+'Property Data'!$H$31</f>
        <v>549</v>
      </c>
      <c r="AD22" s="841">
        <f>+'Property Data'!$H$31</f>
        <v>549</v>
      </c>
      <c r="AE22" s="841">
        <f>+'Property Data'!$H$31</f>
        <v>549</v>
      </c>
      <c r="AF22" s="841">
        <f>+'Property Data'!$H$31</f>
        <v>549</v>
      </c>
      <c r="AG22" s="841">
        <f>+'Property Data'!$H$31</f>
        <v>549</v>
      </c>
      <c r="AH22" s="1097">
        <f>+'Property Data'!$H$31</f>
        <v>549</v>
      </c>
      <c r="AI22" s="841">
        <f>+'Property Data'!$H$31</f>
        <v>549</v>
      </c>
      <c r="AJ22" s="841">
        <f>+'Property Data'!$H$31</f>
        <v>549</v>
      </c>
      <c r="AK22" s="841">
        <f>+'Property Data'!$H$31</f>
        <v>549</v>
      </c>
      <c r="AL22" s="841">
        <f>+'Property Data'!$H$31</f>
        <v>549</v>
      </c>
      <c r="AM22" s="841">
        <f>+'Property Data'!$H$31</f>
        <v>549</v>
      </c>
      <c r="AN22" s="841">
        <f>+'Property Data'!$H$31</f>
        <v>549</v>
      </c>
      <c r="AO22" s="841">
        <f>+'Property Data'!$H$31</f>
        <v>549</v>
      </c>
      <c r="AP22" s="841">
        <f>+'Property Data'!$H$31</f>
        <v>549</v>
      </c>
      <c r="AQ22" s="841">
        <f>+'Property Data'!$H$31</f>
        <v>549</v>
      </c>
      <c r="AR22" s="841">
        <f>+'Property Data'!$H$31</f>
        <v>549</v>
      </c>
      <c r="AS22" s="841">
        <f>+'Property Data'!$H$31</f>
        <v>549</v>
      </c>
      <c r="AT22" s="841">
        <f>+'Property Data'!$H$31</f>
        <v>549</v>
      </c>
      <c r="AU22" s="841">
        <f>+'Property Data'!$H$31</f>
        <v>549</v>
      </c>
      <c r="AV22" s="841">
        <f>+'Property Data'!$H$31</f>
        <v>549</v>
      </c>
      <c r="AW22" s="841">
        <f>+'Property Data'!$H$31</f>
        <v>549</v>
      </c>
      <c r="AX22" s="841">
        <f>+'Property Data'!$H$31</f>
        <v>549</v>
      </c>
      <c r="AY22" s="841">
        <f>+'Property Data'!$H$31</f>
        <v>549</v>
      </c>
      <c r="AZ22" s="841">
        <f>+'Property Data'!$H$31</f>
        <v>549</v>
      </c>
      <c r="BA22" s="841">
        <f>+'Property Data'!$H$31</f>
        <v>549</v>
      </c>
      <c r="BB22" s="841">
        <f>+'Property Data'!$H$31</f>
        <v>549</v>
      </c>
      <c r="BC22" s="841">
        <f>+'Property Data'!$H$31</f>
        <v>549</v>
      </c>
      <c r="BD22" s="841">
        <f>+'Property Data'!$H$31</f>
        <v>549</v>
      </c>
      <c r="BE22" s="841">
        <f>+'Property Data'!$H$31</f>
        <v>549</v>
      </c>
      <c r="BF22" s="841">
        <f>+'Property Data'!$H$31</f>
        <v>549</v>
      </c>
      <c r="BG22" s="841">
        <f>+'Property Data'!$H$31</f>
        <v>549</v>
      </c>
      <c r="BH22" s="841">
        <f>+'Property Data'!$H$31</f>
        <v>549</v>
      </c>
      <c r="BI22" s="841">
        <f>+'Property Data'!$H$31</f>
        <v>549</v>
      </c>
      <c r="BJ22" s="841">
        <f>+'Property Data'!$H$31</f>
        <v>549</v>
      </c>
    </row>
    <row r="23" spans="2:62">
      <c r="B23" s="401" t="s">
        <v>820</v>
      </c>
      <c r="C23" s="841">
        <f>+MAX('Property Data'!$H$33,'Property Data'!$H$32*(C18-C15-C32))</f>
        <v>171.80888341484462</v>
      </c>
      <c r="D23" s="841">
        <f>+MAX('Property Data'!$H$33,'Property Data'!$H$32*(D18-D15-D32))</f>
        <v>381.41788472100654</v>
      </c>
      <c r="E23" s="841">
        <f>+MAX('Property Data'!$H$33,'Property Data'!$H$32*(E18-E15-E32))</f>
        <v>647.01343731861857</v>
      </c>
      <c r="F23" s="841">
        <f>+MAX('Property Data'!$H$33,'Property Data'!$H$32*(F18-F15-F32))</f>
        <v>896.91238791504918</v>
      </c>
      <c r="G23" s="841">
        <f>+MAX('Property Data'!$H$33,'Property Data'!$H$32*(G18-G15-G32))</f>
        <v>1157.0457566608634</v>
      </c>
      <c r="H23" s="841">
        <f>+MAX('Property Data'!$H$33,'Property Data'!$H$32*(H18-H15-H32))</f>
        <v>1431.5378455588009</v>
      </c>
      <c r="I23" s="841">
        <f>+MAX('Property Data'!$H$33,'Property Data'!$H$32*(I18-I15-I32))</f>
        <v>1760.6811337426509</v>
      </c>
      <c r="J23" s="841">
        <f>+MAX('Property Data'!$H$33,'Property Data'!$H$32*(J18-J15-J32))</f>
        <v>2117.6428946480123</v>
      </c>
      <c r="K23" s="841">
        <f>+MAX('Property Data'!$H$33,'Property Data'!$H$32*(K18-K15-K32))</f>
        <v>2502.0268497088496</v>
      </c>
      <c r="L23" s="841">
        <f>+MAX('Property Data'!$H$33,'Property Data'!$H$32*(L18-L15-L32))</f>
        <v>2941.403321621659</v>
      </c>
      <c r="M23" s="841">
        <f>+MAX('Property Data'!$H$33,'Property Data'!$H$32*(M18-M15-M32))</f>
        <v>3395.4275553637835</v>
      </c>
      <c r="N23" s="841">
        <f>+MAX('Property Data'!$H$33,'Property Data'!$H$32*(N18-N15-N32))</f>
        <v>3872.7777054587782</v>
      </c>
      <c r="O23" s="841">
        <f>+MAX('Property Data'!$H$33,'Property Data'!$H$32*(O18-O15-O32))</f>
        <v>4283.403914425011</v>
      </c>
      <c r="P23" s="841">
        <f>+MAX('Property Data'!$H$33,'Property Data'!$H$32*(P18-P15-P32))</f>
        <v>4588.7233112095391</v>
      </c>
      <c r="Q23" s="841">
        <f>+MAX('Property Data'!$H$33,'Property Data'!$H$32*(Q18-Q15-Q32))</f>
        <v>4897.6700658166856</v>
      </c>
      <c r="R23" s="841">
        <f>+MAX('Property Data'!$H$33,'Property Data'!$H$32*(R18-R15-R32))</f>
        <v>5214.1855489165864</v>
      </c>
      <c r="S23" s="841">
        <f>+MAX('Property Data'!$H$33,'Property Data'!$H$32*(S18-S15-S32))</f>
        <v>5498.514269346354</v>
      </c>
      <c r="T23" s="841">
        <f>+MAX('Property Data'!$H$33,'Property Data'!$H$32*(T18-T15-T32))</f>
        <v>5811.7547172507684</v>
      </c>
      <c r="U23" s="841">
        <f>+MAX('Property Data'!$H$33,'Property Data'!$H$32*(U18-U15-U32))</f>
        <v>6083.5617795391372</v>
      </c>
      <c r="V23" s="841">
        <f>+MAX('Property Data'!$H$33,'Property Data'!$H$32*(V18-V15-V32))</f>
        <v>6402.2375189336844</v>
      </c>
      <c r="W23" s="841">
        <f>+MAX('Property Data'!$H$33,'Property Data'!$H$32*(W18-W15-W32))</f>
        <v>6727.3809470683755</v>
      </c>
      <c r="X23" s="841">
        <f>+MAX('Property Data'!$H$33,'Property Data'!$H$32*(X18-X15-X32))</f>
        <v>7133.9205428306577</v>
      </c>
      <c r="Y23" s="841">
        <f>+MAX('Property Data'!$H$33,'Property Data'!$H$32*(Y18-Y15-Y32))</f>
        <v>7511.5966422025822</v>
      </c>
      <c r="Z23" s="841">
        <f>+MAX('Property Data'!$H$33,'Property Data'!$H$32*(Z18-Z15-Z32))</f>
        <v>7647.0220128742458</v>
      </c>
      <c r="AA23" s="841">
        <f>+MAX('Property Data'!$H$33,'Property Data'!$H$32*(AA18-AA15-AA32))</f>
        <v>7687.7625470970643</v>
      </c>
      <c r="AB23" s="841">
        <f>+MAX('Property Data'!$H$33,'Property Data'!$H$32*(AB18-AB15-AB32))</f>
        <v>7703.378412484999</v>
      </c>
      <c r="AC23" s="841">
        <f>+MAX('Property Data'!$H$33,'Property Data'!$H$32*(AC18-AC15-AC32))</f>
        <v>7681.1391090893658</v>
      </c>
      <c r="AD23" s="841">
        <f>+MAX('Property Data'!$H$33,'Property Data'!$H$32*(AD18-AD15-AD32))</f>
        <v>7746.5973926623074</v>
      </c>
      <c r="AE23" s="841">
        <f>+MAX('Property Data'!$H$33,'Property Data'!$H$32*(AE18-AE15-AE32))</f>
        <v>7871.8750882067588</v>
      </c>
      <c r="AF23" s="841">
        <f>+MAX('Property Data'!$H$33,'Property Data'!$H$32*(AF18-AF15-AF32))</f>
        <v>7974.8138175790327</v>
      </c>
      <c r="AG23" s="841">
        <f>+MAX('Property Data'!$H$33,'Property Data'!$H$32*(AG18-AG15-AG32))</f>
        <v>8096.1246700110823</v>
      </c>
      <c r="AH23" s="1097">
        <f>+MAX('Property Data'!$H$33,'Property Data'!$H$32*(AH18-AH15-AH32))</f>
        <v>8220.0498345567757</v>
      </c>
      <c r="AI23" s="841">
        <f>+MAX('Property Data'!$H$33,'Property Data'!$H$32*(AI18-AI15-AI32))</f>
        <v>8385.6964696536634</v>
      </c>
      <c r="AJ23" s="841">
        <f>+MAX('Property Data'!$H$33,'Property Data'!$H$32*(AJ18-AJ15-AJ32))</f>
        <v>8452.4027106834383</v>
      </c>
      <c r="AK23" s="841">
        <f>+MAX('Property Data'!$H$33,'Property Data'!$H$32*(AK18-AK15-AK32))</f>
        <v>8523.5886657526644</v>
      </c>
      <c r="AL23" s="841">
        <f>+MAX('Property Data'!$H$33,'Property Data'!$H$32*(AL18-AL15-AL32))</f>
        <v>8574.0096337765699</v>
      </c>
      <c r="AM23" s="841">
        <f>+MAX('Property Data'!$H$33,'Property Data'!$H$32*(AM18-AM15-AM32))</f>
        <v>8599.020096805245</v>
      </c>
      <c r="AN23" s="841">
        <f>+MAX('Property Data'!$H$33,'Property Data'!$H$32*(AN18-AN15-AN32))</f>
        <v>8580.2168896927342</v>
      </c>
      <c r="AO23" s="841">
        <f>+MAX('Property Data'!$H$33,'Property Data'!$H$32*(AO18-AO15-AO32))</f>
        <v>8527.176001371301</v>
      </c>
      <c r="AP23" s="841">
        <f>+MAX('Property Data'!$H$33,'Property Data'!$H$32*(AP18-AP15-AP32))</f>
        <v>8563.1922242859418</v>
      </c>
      <c r="AQ23" s="841">
        <f>+MAX('Property Data'!$H$33,'Property Data'!$H$32*(AQ18-AQ15-AQ32))</f>
        <v>8659.287710690116</v>
      </c>
      <c r="AR23" s="841">
        <f>+MAX('Property Data'!$H$33,'Property Data'!$H$32*(AR18-AR15-AR32))</f>
        <v>8759.268087084185</v>
      </c>
      <c r="AS23" s="841">
        <f>+MAX('Property Data'!$H$33,'Property Data'!$H$32*(AS18-AS15-AS32))</f>
        <v>8876.1839970993187</v>
      </c>
      <c r="AT23" s="841">
        <f>+MAX('Property Data'!$H$33,'Property Data'!$H$32*(AT18-AT15-AT32))</f>
        <v>9009.9682433184407</v>
      </c>
      <c r="AU23" s="841">
        <f>+MAX('Property Data'!$H$33,'Property Data'!$H$32*(AU18-AU15-AU32))</f>
        <v>9124.5651141930375</v>
      </c>
      <c r="AV23" s="841">
        <f>+MAX('Property Data'!$H$33,'Property Data'!$H$32*(AV18-AV15-AV32))</f>
        <v>9180.3006446189174</v>
      </c>
      <c r="AW23" s="841">
        <f>+MAX('Property Data'!$H$33,'Property Data'!$H$32*(AW18-AW15-AW32))</f>
        <v>9243.7488762447556</v>
      </c>
      <c r="AX23" s="841">
        <f>+MAX('Property Data'!$H$33,'Property Data'!$H$32*(AX18-AX15-AX32))</f>
        <v>9281.497953187818</v>
      </c>
      <c r="AY23" s="841">
        <f>+MAX('Property Data'!$H$33,'Property Data'!$H$32*(AY18-AY15-AY32))</f>
        <v>9297.2866891393878</v>
      </c>
      <c r="AZ23" s="841">
        <f>+MAX('Property Data'!$H$33,'Property Data'!$H$32*(AZ18-AZ15-AZ32))</f>
        <v>9281.070272551282</v>
      </c>
      <c r="BA23" s="841">
        <f>+MAX('Property Data'!$H$33,'Property Data'!$H$32*(BA18-BA15-BA32))</f>
        <v>9229.7383267804053</v>
      </c>
      <c r="BB23" s="841">
        <f>+MAX('Property Data'!$H$33,'Property Data'!$H$32*(BB18-BB15-BB32))</f>
        <v>9273.3296411057072</v>
      </c>
      <c r="BC23" s="841">
        <f>+MAX('Property Data'!$H$33,'Property Data'!$H$32*(BC18-BC15-BC32))</f>
        <v>9365.9023115353721</v>
      </c>
      <c r="BD23" s="841">
        <f>+MAX('Property Data'!$H$33,'Property Data'!$H$32*(BD18-BD15-BD32))</f>
        <v>9476.1978286158101</v>
      </c>
      <c r="BE23" s="841">
        <f>+MAX('Property Data'!$H$33,'Property Data'!$H$32*(BE18-BE15-BE32))</f>
        <v>9603.8257248699647</v>
      </c>
      <c r="BF23" s="841">
        <f>+MAX('Property Data'!$H$33,'Property Data'!$H$32*(BF18-BF15-BF32))</f>
        <v>9735.6671135755823</v>
      </c>
      <c r="BG23" s="841">
        <f>+MAX('Property Data'!$H$33,'Property Data'!$H$32*(BG18-BG15-BG32))</f>
        <v>9861.2063147475947</v>
      </c>
      <c r="BH23" s="841">
        <f>+MAX('Property Data'!$H$33,'Property Data'!$H$32*(BH18-BH15-BH32))</f>
        <v>9926.5294573662522</v>
      </c>
      <c r="BI23" s="841">
        <f>+MAX('Property Data'!$H$33,'Property Data'!$H$32*(BI18-BI15-BI32))</f>
        <v>9990.4641421128435</v>
      </c>
      <c r="BJ23" s="841">
        <f>+MAX('Property Data'!$H$33,'Property Data'!$H$32*(BJ18-BJ15-BJ32))</f>
        <v>10032.820508959443</v>
      </c>
    </row>
    <row r="24" spans="2:62">
      <c r="B24" s="849" t="s">
        <v>821</v>
      </c>
      <c r="C24" s="850">
        <f>+SUM(C21:C23)</f>
        <v>1019.8088834148446</v>
      </c>
      <c r="D24" s="850">
        <f t="shared" ref="D24:BJ24" si="3">+SUM(D21:D23)</f>
        <v>1229.4178847210064</v>
      </c>
      <c r="E24" s="850">
        <f t="shared" si="3"/>
        <v>1495.0134373186186</v>
      </c>
      <c r="F24" s="850">
        <f t="shared" si="3"/>
        <v>1744.9123879150493</v>
      </c>
      <c r="G24" s="850">
        <f t="shared" si="3"/>
        <v>2005.0457566608634</v>
      </c>
      <c r="H24" s="850">
        <f t="shared" si="3"/>
        <v>2279.5378455588007</v>
      </c>
      <c r="I24" s="850">
        <f t="shared" si="3"/>
        <v>2608.6811337426507</v>
      </c>
      <c r="J24" s="850">
        <f t="shared" si="3"/>
        <v>2965.6428946480123</v>
      </c>
      <c r="K24" s="850">
        <f t="shared" si="3"/>
        <v>3350.0268497088496</v>
      </c>
      <c r="L24" s="850">
        <f t="shared" si="3"/>
        <v>3789.403321621659</v>
      </c>
      <c r="M24" s="850">
        <f t="shared" si="3"/>
        <v>4243.4275553637835</v>
      </c>
      <c r="N24" s="850">
        <f t="shared" si="3"/>
        <v>4720.7777054587787</v>
      </c>
      <c r="O24" s="851">
        <f t="shared" si="3"/>
        <v>5131.403914425011</v>
      </c>
      <c r="P24" s="850">
        <f t="shared" si="3"/>
        <v>5436.7233112095391</v>
      </c>
      <c r="Q24" s="850">
        <f t="shared" si="3"/>
        <v>5745.6700658166856</v>
      </c>
      <c r="R24" s="850">
        <f t="shared" si="3"/>
        <v>6062.1855489165864</v>
      </c>
      <c r="S24" s="850">
        <f t="shared" si="3"/>
        <v>6346.514269346354</v>
      </c>
      <c r="T24" s="850">
        <f t="shared" si="3"/>
        <v>6659.7547172507684</v>
      </c>
      <c r="U24" s="850">
        <f t="shared" si="3"/>
        <v>6931.5617795391372</v>
      </c>
      <c r="V24" s="850">
        <f t="shared" si="3"/>
        <v>7250.2375189336844</v>
      </c>
      <c r="W24" s="850">
        <f t="shared" si="3"/>
        <v>7575.3809470683755</v>
      </c>
      <c r="X24" s="850">
        <f t="shared" si="3"/>
        <v>7981.9205428306577</v>
      </c>
      <c r="Y24" s="850">
        <f t="shared" si="3"/>
        <v>8359.5966422025813</v>
      </c>
      <c r="Z24" s="852">
        <f t="shared" si="3"/>
        <v>8495.0220128742458</v>
      </c>
      <c r="AA24" s="850">
        <f t="shared" si="3"/>
        <v>8535.7625470970634</v>
      </c>
      <c r="AB24" s="850">
        <f t="shared" si="3"/>
        <v>8551.378412484999</v>
      </c>
      <c r="AC24" s="850">
        <f t="shared" si="3"/>
        <v>8529.1391090893667</v>
      </c>
      <c r="AD24" s="850">
        <f t="shared" si="3"/>
        <v>8594.5973926623083</v>
      </c>
      <c r="AE24" s="850">
        <f t="shared" si="3"/>
        <v>8719.8750882067579</v>
      </c>
      <c r="AF24" s="850">
        <f t="shared" si="3"/>
        <v>8822.8138175790336</v>
      </c>
      <c r="AG24" s="850">
        <f t="shared" si="3"/>
        <v>8944.1246700110823</v>
      </c>
      <c r="AH24" s="1118">
        <f t="shared" si="3"/>
        <v>9068.0498345567757</v>
      </c>
      <c r="AI24" s="850">
        <f t="shared" si="3"/>
        <v>9233.6964696536634</v>
      </c>
      <c r="AJ24" s="850">
        <f t="shared" si="3"/>
        <v>9300.4027106834383</v>
      </c>
      <c r="AK24" s="850">
        <f t="shared" si="3"/>
        <v>9371.5886657526644</v>
      </c>
      <c r="AL24" s="850">
        <f t="shared" si="3"/>
        <v>9422.0096337765699</v>
      </c>
      <c r="AM24" s="851">
        <f t="shared" si="3"/>
        <v>9447.020096805245</v>
      </c>
      <c r="AN24" s="850">
        <f t="shared" si="3"/>
        <v>9428.2168896927342</v>
      </c>
      <c r="AO24" s="850">
        <f t="shared" si="3"/>
        <v>9375.176001371301</v>
      </c>
      <c r="AP24" s="850">
        <f t="shared" si="3"/>
        <v>9411.1922242859418</v>
      </c>
      <c r="AQ24" s="850">
        <f t="shared" si="3"/>
        <v>9507.287710690116</v>
      </c>
      <c r="AR24" s="850">
        <f t="shared" si="3"/>
        <v>9607.268087084185</v>
      </c>
      <c r="AS24" s="850">
        <f t="shared" si="3"/>
        <v>9724.1839970993187</v>
      </c>
      <c r="AT24" s="850">
        <f t="shared" si="3"/>
        <v>9857.9682433184407</v>
      </c>
      <c r="AU24" s="850">
        <f t="shared" si="3"/>
        <v>9972.5651141930375</v>
      </c>
      <c r="AV24" s="850">
        <f t="shared" si="3"/>
        <v>10028.300644618917</v>
      </c>
      <c r="AW24" s="850">
        <f t="shared" si="3"/>
        <v>10091.748876244756</v>
      </c>
      <c r="AX24" s="852">
        <f t="shared" si="3"/>
        <v>10129.497953187818</v>
      </c>
      <c r="AY24" s="850">
        <f t="shared" si="3"/>
        <v>10145.286689139388</v>
      </c>
      <c r="AZ24" s="850">
        <f t="shared" si="3"/>
        <v>10129.070272551282</v>
      </c>
      <c r="BA24" s="850">
        <f t="shared" si="3"/>
        <v>10077.738326780405</v>
      </c>
      <c r="BB24" s="850">
        <f t="shared" si="3"/>
        <v>10121.329641105707</v>
      </c>
      <c r="BC24" s="850">
        <f t="shared" si="3"/>
        <v>10213.902311535372</v>
      </c>
      <c r="BD24" s="850">
        <f t="shared" si="3"/>
        <v>10324.19782861581</v>
      </c>
      <c r="BE24" s="850">
        <f t="shared" si="3"/>
        <v>10451.825724869965</v>
      </c>
      <c r="BF24" s="850">
        <f t="shared" si="3"/>
        <v>10583.667113575582</v>
      </c>
      <c r="BG24" s="850">
        <f t="shared" si="3"/>
        <v>10709.206314747595</v>
      </c>
      <c r="BH24" s="850">
        <f t="shared" si="3"/>
        <v>10774.529457366252</v>
      </c>
      <c r="BI24" s="850">
        <f t="shared" si="3"/>
        <v>10838.464142112844</v>
      </c>
      <c r="BJ24" s="850">
        <f t="shared" si="3"/>
        <v>10880.820508959443</v>
      </c>
    </row>
    <row r="25" spans="2:62">
      <c r="C25" s="841"/>
      <c r="D25" s="841"/>
      <c r="E25" s="841"/>
      <c r="F25" s="841"/>
      <c r="G25" s="841"/>
      <c r="H25" s="841"/>
      <c r="I25" s="841"/>
      <c r="J25" s="841"/>
      <c r="K25" s="841"/>
      <c r="L25" s="841"/>
      <c r="M25" s="841"/>
      <c r="N25" s="841"/>
      <c r="O25" s="842"/>
      <c r="P25" s="843"/>
      <c r="Q25" s="843"/>
      <c r="R25" s="843"/>
      <c r="S25" s="843"/>
      <c r="T25" s="843"/>
      <c r="U25" s="843"/>
      <c r="V25" s="843"/>
      <c r="W25" s="843"/>
      <c r="X25" s="843"/>
      <c r="Y25" s="843"/>
      <c r="Z25" s="844"/>
      <c r="AA25" s="841"/>
      <c r="AB25" s="841"/>
      <c r="AC25" s="841"/>
      <c r="AD25" s="841"/>
      <c r="AE25" s="841"/>
      <c r="AF25" s="841"/>
      <c r="AG25" s="841"/>
      <c r="AH25" s="1097"/>
      <c r="AI25" s="841"/>
      <c r="AJ25" s="841"/>
      <c r="AK25" s="841"/>
      <c r="AL25" s="841"/>
      <c r="AM25" s="842"/>
      <c r="AN25" s="843"/>
      <c r="AO25" s="843"/>
      <c r="AP25" s="843"/>
      <c r="AQ25" s="843"/>
      <c r="AR25" s="843"/>
      <c r="AS25" s="843"/>
      <c r="AT25" s="843"/>
      <c r="AU25" s="843"/>
      <c r="AV25" s="843"/>
      <c r="AW25" s="843"/>
      <c r="AX25" s="844"/>
      <c r="AY25" s="841"/>
      <c r="AZ25" s="841"/>
      <c r="BA25" s="841"/>
      <c r="BB25" s="841"/>
      <c r="BC25" s="841"/>
      <c r="BD25" s="841"/>
      <c r="BE25" s="841"/>
      <c r="BF25" s="841"/>
      <c r="BG25" s="841"/>
      <c r="BH25" s="841"/>
      <c r="BI25" s="841"/>
      <c r="BJ25" s="841"/>
    </row>
    <row r="26" spans="2:62">
      <c r="B26" s="4" t="s">
        <v>822</v>
      </c>
      <c r="C26" s="841"/>
      <c r="D26" s="841"/>
      <c r="E26" s="841"/>
      <c r="F26" s="841"/>
      <c r="G26" s="841"/>
      <c r="H26" s="841"/>
      <c r="I26" s="841"/>
      <c r="J26" s="841"/>
      <c r="K26" s="841"/>
      <c r="L26" s="841"/>
      <c r="M26" s="841"/>
      <c r="N26" s="841"/>
      <c r="O26" s="842"/>
      <c r="P26" s="843"/>
      <c r="Q26" s="843"/>
      <c r="R26" s="843"/>
      <c r="S26" s="843"/>
      <c r="T26" s="843"/>
      <c r="U26" s="843"/>
      <c r="V26" s="843"/>
      <c r="W26" s="843"/>
      <c r="X26" s="843"/>
      <c r="Y26" s="843"/>
      <c r="Z26" s="844"/>
      <c r="AA26" s="841"/>
      <c r="AB26" s="841"/>
      <c r="AC26" s="841"/>
      <c r="AD26" s="841"/>
      <c r="AE26" s="841"/>
      <c r="AF26" s="841"/>
      <c r="AG26" s="841"/>
      <c r="AH26" s="1097"/>
      <c r="AI26" s="841"/>
      <c r="AJ26" s="841"/>
      <c r="AK26" s="841"/>
      <c r="AL26" s="841"/>
      <c r="AM26" s="842"/>
      <c r="AN26" s="843"/>
      <c r="AO26" s="843"/>
      <c r="AP26" s="843"/>
      <c r="AQ26" s="843"/>
      <c r="AR26" s="843"/>
      <c r="AS26" s="843"/>
      <c r="AT26" s="843"/>
      <c r="AU26" s="843"/>
      <c r="AV26" s="843"/>
      <c r="AW26" s="843"/>
      <c r="AX26" s="844"/>
      <c r="AY26" s="841"/>
      <c r="AZ26" s="841"/>
      <c r="BA26" s="841"/>
      <c r="BB26" s="841"/>
      <c r="BC26" s="841"/>
      <c r="BD26" s="841"/>
      <c r="BE26" s="841"/>
      <c r="BF26" s="841"/>
      <c r="BG26" s="841"/>
      <c r="BH26" s="841"/>
      <c r="BI26" s="841"/>
      <c r="BJ26" s="841"/>
    </row>
    <row r="27" spans="2:62">
      <c r="B27" s="401" t="s">
        <v>823</v>
      </c>
      <c r="C27" s="841">
        <f>+C16*'Property Data'!$G$52</f>
        <v>392.93376494989241</v>
      </c>
      <c r="D27" s="841">
        <f>+D16*'Property Data'!$G$52</f>
        <v>350</v>
      </c>
      <c r="E27" s="841">
        <f>+E16*'Property Data'!$G$52</f>
        <v>330</v>
      </c>
      <c r="F27" s="841">
        <f>+F16*'Property Data'!$G$52</f>
        <v>340</v>
      </c>
      <c r="G27" s="841">
        <f>+G16*'Property Data'!$G$52</f>
        <v>360</v>
      </c>
      <c r="H27" s="841">
        <f>+H16*'Property Data'!$G$52</f>
        <v>370</v>
      </c>
      <c r="I27" s="841">
        <f>+I16*'Property Data'!$G$52</f>
        <v>390</v>
      </c>
      <c r="J27" s="841">
        <f>+J16*'Property Data'!$G$52</f>
        <v>420</v>
      </c>
      <c r="K27" s="841">
        <f>+K16*'Property Data'!$G$52</f>
        <v>470</v>
      </c>
      <c r="L27" s="841">
        <f>+L16*'Property Data'!$G$52</f>
        <v>520</v>
      </c>
      <c r="M27" s="841">
        <f>+M16*'Property Data'!$G$52</f>
        <v>570</v>
      </c>
      <c r="N27" s="841">
        <f>+N16*'Property Data'!$G$52</f>
        <v>490</v>
      </c>
      <c r="O27" s="841">
        <f>+O16*'Property Data'!$G$52</f>
        <v>430</v>
      </c>
      <c r="P27" s="841">
        <f>+P16*'Property Data'!$G$52</f>
        <v>420</v>
      </c>
      <c r="Q27" s="841">
        <f>+Q16*'Property Data'!$G$52</f>
        <v>390</v>
      </c>
      <c r="R27" s="841">
        <f>+R16*'Property Data'!$G$52</f>
        <v>410</v>
      </c>
      <c r="S27" s="841">
        <f>+S16*'Property Data'!$G$52</f>
        <v>430</v>
      </c>
      <c r="T27" s="841">
        <f>+T16*'Property Data'!$G$52</f>
        <v>440</v>
      </c>
      <c r="U27" s="841">
        <f>+U16*'Property Data'!$G$52</f>
        <v>470</v>
      </c>
      <c r="V27" s="841">
        <f>+V16*'Property Data'!$G$52</f>
        <v>480</v>
      </c>
      <c r="W27" s="841">
        <f>+W16*'Property Data'!$G$52</f>
        <v>530</v>
      </c>
      <c r="X27" s="841">
        <f>+X16*'Property Data'!$G$52</f>
        <v>550</v>
      </c>
      <c r="Y27" s="841">
        <f>+Y16*'Property Data'!$G$52</f>
        <v>580</v>
      </c>
      <c r="Z27" s="841">
        <f>+Z16*'Property Data'!$G$52</f>
        <v>350</v>
      </c>
      <c r="AA27" s="841">
        <f>+AA16*'Property Data'!$G$52</f>
        <v>330</v>
      </c>
      <c r="AB27" s="841">
        <f>+AB16*'Property Data'!$G$52</f>
        <v>310</v>
      </c>
      <c r="AC27" s="841">
        <f>+AC16*'Property Data'!$G$52</f>
        <v>280</v>
      </c>
      <c r="AD27" s="841">
        <f>+AD16*'Property Data'!$G$52</f>
        <v>340</v>
      </c>
      <c r="AE27" s="841">
        <f>+AE16*'Property Data'!$G$52</f>
        <v>390</v>
      </c>
      <c r="AF27" s="841">
        <f>+AF16*'Property Data'!$G$52</f>
        <v>390</v>
      </c>
      <c r="AG27" s="841">
        <f>+AG16*'Property Data'!$G$52</f>
        <v>410</v>
      </c>
      <c r="AH27" s="1097">
        <f>+AH16*'Property Data'!$G$52</f>
        <v>410</v>
      </c>
      <c r="AI27" s="841">
        <f>+AI16*'Property Data'!$G$52</f>
        <v>440</v>
      </c>
      <c r="AJ27" s="841">
        <f>+AJ16*'Property Data'!$G$52</f>
        <v>380</v>
      </c>
      <c r="AK27" s="841">
        <f>+AK16*'Property Data'!$G$52</f>
        <v>380</v>
      </c>
      <c r="AL27" s="841">
        <f>+AL16*'Property Data'!$G$52</f>
        <v>350</v>
      </c>
      <c r="AM27" s="841">
        <f>+AM16*'Property Data'!$G$52</f>
        <v>330</v>
      </c>
      <c r="AN27" s="841">
        <f>+AN16*'Property Data'!$G$52</f>
        <v>310</v>
      </c>
      <c r="AO27" s="841">
        <f>+AO16*'Property Data'!$G$52</f>
        <v>280</v>
      </c>
      <c r="AP27" s="841">
        <f>+AP16*'Property Data'!$G$52</f>
        <v>340</v>
      </c>
      <c r="AQ27" s="841">
        <f>+AQ16*'Property Data'!$G$52</f>
        <v>390</v>
      </c>
      <c r="AR27" s="841">
        <f>+AR16*'Property Data'!$G$52</f>
        <v>390</v>
      </c>
      <c r="AS27" s="841">
        <f>+AS16*'Property Data'!$G$52</f>
        <v>400</v>
      </c>
      <c r="AT27" s="841">
        <f>+AT16*'Property Data'!$G$52</f>
        <v>420</v>
      </c>
      <c r="AU27" s="841">
        <f>+AU16*'Property Data'!$G$52</f>
        <v>410</v>
      </c>
      <c r="AV27" s="841">
        <f>+AV16*'Property Data'!$G$52</f>
        <v>370</v>
      </c>
      <c r="AW27" s="841">
        <f>+AW16*'Property Data'!$G$52</f>
        <v>380</v>
      </c>
      <c r="AX27" s="841">
        <f>+AX16*'Property Data'!$G$52</f>
        <v>350</v>
      </c>
      <c r="AY27" s="841">
        <f>+AY16*'Property Data'!$G$52</f>
        <v>330</v>
      </c>
      <c r="AZ27" s="841">
        <f>+AZ16*'Property Data'!$G$52</f>
        <v>310</v>
      </c>
      <c r="BA27" s="841">
        <f>+BA16*'Property Data'!$G$52</f>
        <v>280</v>
      </c>
      <c r="BB27" s="841">
        <f>+BB16*'Property Data'!$G$52</f>
        <v>350</v>
      </c>
      <c r="BC27" s="841">
        <f>+BC16*'Property Data'!$G$52</f>
        <v>380</v>
      </c>
      <c r="BD27" s="841">
        <f>+BD16*'Property Data'!$G$52</f>
        <v>390</v>
      </c>
      <c r="BE27" s="841">
        <f>+BE16*'Property Data'!$G$52</f>
        <v>410</v>
      </c>
      <c r="BF27" s="841">
        <f>+BF16*'Property Data'!$G$52</f>
        <v>410</v>
      </c>
      <c r="BG27" s="841">
        <f>+BG16*'Property Data'!$G$52</f>
        <v>410</v>
      </c>
      <c r="BH27" s="841">
        <f>+BH16*'Property Data'!$G$52</f>
        <v>380</v>
      </c>
      <c r="BI27" s="841">
        <f>+BI16*'Property Data'!$G$52</f>
        <v>380</v>
      </c>
      <c r="BJ27" s="841">
        <f>+BJ16*'Property Data'!$G$52</f>
        <v>350</v>
      </c>
    </row>
    <row r="28" spans="2:62">
      <c r="B28" s="401" t="s">
        <v>824</v>
      </c>
      <c r="C28" s="841">
        <f>'Property Data'!$G$40*4.3333*('Property Data'!$G$38*(1+'Property Data'!$H$38)^(C$3-1))*(1+'Property Data'!$G$39)</f>
        <v>5914.9544999999998</v>
      </c>
      <c r="D28" s="841">
        <f>'Property Data'!$G$40*4.3333*('Property Data'!$G$38*(1+'Property Data'!$H$38)^(D$3-1))*(1+'Property Data'!$G$39)</f>
        <v>5914.9544999999998</v>
      </c>
      <c r="E28" s="841">
        <f>'Property Data'!$G$40*4.3333*('Property Data'!$G$38*(1+'Property Data'!$H$38)^(E$3-1))*(1+'Property Data'!$G$39)</f>
        <v>5914.9544999999998</v>
      </c>
      <c r="F28" s="841">
        <f>'Property Data'!$G$40*4.3333*('Property Data'!$G$38*(1+'Property Data'!$H$38)^(F$3-1))*(1+'Property Data'!$G$39)</f>
        <v>5914.9544999999998</v>
      </c>
      <c r="G28" s="841">
        <f>'Property Data'!$G$40*4.3333*('Property Data'!$G$38*(1+'Property Data'!$H$38)^(G$3-1))*(1+'Property Data'!$G$39)</f>
        <v>5914.9544999999998</v>
      </c>
      <c r="H28" s="841">
        <f>'Property Data'!$G$40*4.3333*('Property Data'!$G$38*(1+'Property Data'!$H$38)^(H$3-1))*(1+'Property Data'!$G$39)</f>
        <v>5914.9544999999998</v>
      </c>
      <c r="I28" s="841">
        <f>'Property Data'!$G$40*4.3333*('Property Data'!$G$38*(1+'Property Data'!$H$38)^(I$3-1))*(1+'Property Data'!$G$39)</f>
        <v>5914.9544999999998</v>
      </c>
      <c r="J28" s="841">
        <f>'Property Data'!$G$40*4.3333*('Property Data'!$G$38*(1+'Property Data'!$H$38)^(J$3-1))*(1+'Property Data'!$G$39)</f>
        <v>5914.9544999999998</v>
      </c>
      <c r="K28" s="841">
        <f>'Property Data'!$G$40*4.3333*('Property Data'!$G$38*(1+'Property Data'!$H$38)^(K$3-1))*(1+'Property Data'!$G$39)</f>
        <v>5914.9544999999998</v>
      </c>
      <c r="L28" s="841">
        <f>'Property Data'!$G$40*4.3333*('Property Data'!$G$38*(1+'Property Data'!$H$38)^(L$3-1))*(1+'Property Data'!$G$39)</f>
        <v>5914.9544999999998</v>
      </c>
      <c r="M28" s="841">
        <f>'Property Data'!$G$40*4.3333*('Property Data'!$G$38*(1+'Property Data'!$H$38)^(M$3-1))*(1+'Property Data'!$G$39)</f>
        <v>5914.9544999999998</v>
      </c>
      <c r="N28" s="841">
        <f>'Property Data'!$G$40*4.3333*('Property Data'!$G$38*(1+'Property Data'!$H$38)^(N$3-1))*(1+'Property Data'!$G$39)</f>
        <v>5914.9544999999998</v>
      </c>
      <c r="O28" s="841">
        <f>'Property Data'!$G$41*4.3333*('Property Data'!$G$38*(1+'Property Data'!$H$38)^(O$3-1))*(1+'Property Data'!$G$39)</f>
        <v>5548.438569375001</v>
      </c>
      <c r="P28" s="841">
        <f>'Property Data'!$G$41*4.3333*('Property Data'!$G$38*(1+'Property Data'!$H$38)^(P$3-1))*(1+'Property Data'!$G$39)</f>
        <v>5548.438569375001</v>
      </c>
      <c r="Q28" s="841">
        <f>'Property Data'!$G$41*4.3333*('Property Data'!$G$38*(1+'Property Data'!$H$38)^(Q$3-1))*(1+'Property Data'!$G$39)</f>
        <v>5548.438569375001</v>
      </c>
      <c r="R28" s="841">
        <f>'Property Data'!$G$41*4.3333*('Property Data'!$G$38*(1+'Property Data'!$H$38)^(R$3-1))*(1+'Property Data'!$G$39)</f>
        <v>5548.438569375001</v>
      </c>
      <c r="S28" s="841">
        <f>'Property Data'!$G$41*4.3333*('Property Data'!$G$38*(1+'Property Data'!$H$38)^(S$3-1))*(1+'Property Data'!$G$39)</f>
        <v>5548.438569375001</v>
      </c>
      <c r="T28" s="841">
        <f>'Property Data'!$G$41*4.3333*('Property Data'!$G$38*(1+'Property Data'!$H$38)^(T$3-1))*(1+'Property Data'!$G$39)</f>
        <v>5548.438569375001</v>
      </c>
      <c r="U28" s="841">
        <f>'Property Data'!$G$41*4.3333*('Property Data'!$G$38*(1+'Property Data'!$H$38)^(U$3-1))*(1+'Property Data'!$G$39)</f>
        <v>5548.438569375001</v>
      </c>
      <c r="V28" s="841">
        <f>'Property Data'!$G$41*4.3333*('Property Data'!$G$38*(1+'Property Data'!$H$38)^(V$3-1))*(1+'Property Data'!$G$39)</f>
        <v>5548.438569375001</v>
      </c>
      <c r="W28" s="841">
        <f>'Property Data'!$G$41*4.3333*('Property Data'!$G$38*(1+'Property Data'!$H$38)^(W$3-1))*(1+'Property Data'!$G$39)</f>
        <v>5548.438569375001</v>
      </c>
      <c r="X28" s="841">
        <f>'Property Data'!$G$41*4.3333*('Property Data'!$G$38*(1+'Property Data'!$H$38)^(X$3-1))*(1+'Property Data'!$G$39)</f>
        <v>5548.438569375001</v>
      </c>
      <c r="Y28" s="841">
        <f>'Property Data'!$G$41*4.3333*('Property Data'!$G$38*(1+'Property Data'!$H$38)^(Y$3-1))*(1+'Property Data'!$G$39)</f>
        <v>5548.438569375001</v>
      </c>
      <c r="Z28" s="841">
        <f>'Property Data'!$G$41*4.3333*('Property Data'!$G$38*(1+'Property Data'!$H$38)^(Z$3-1))*(1+'Property Data'!$G$39)</f>
        <v>5548.438569375001</v>
      </c>
      <c r="AA28" s="841">
        <f>'Property Data'!$G$41*4.3333*('Property Data'!$G$38*(1+'Property Data'!$H$38)^(AA$3-1))*(1+'Property Data'!$G$39)</f>
        <v>5714.8917264562497</v>
      </c>
      <c r="AB28" s="841">
        <f>'Property Data'!$G$41*4.3333*('Property Data'!$G$38*(1+'Property Data'!$H$38)^(AB$3-1))*(1+'Property Data'!$G$39)</f>
        <v>5714.8917264562497</v>
      </c>
      <c r="AC28" s="841">
        <f>'Property Data'!$G$41*4.3333*('Property Data'!$G$38*(1+'Property Data'!$H$38)^(AC$3-1))*(1+'Property Data'!$G$39)</f>
        <v>5714.8917264562497</v>
      </c>
      <c r="AD28" s="841">
        <f>'Property Data'!$G$41*4.3333*('Property Data'!$G$38*(1+'Property Data'!$H$38)^(AD$3-1))*(1+'Property Data'!$G$39)</f>
        <v>5714.8917264562497</v>
      </c>
      <c r="AE28" s="841">
        <f>'Property Data'!$G$41*4.3333*('Property Data'!$G$38*(1+'Property Data'!$H$38)^(AE$3-1))*(1+'Property Data'!$G$39)</f>
        <v>5714.8917264562497</v>
      </c>
      <c r="AF28" s="841">
        <f>'Property Data'!$G$41*4.3333*('Property Data'!$G$38*(1+'Property Data'!$H$38)^(AF$3-1))*(1+'Property Data'!$G$39)</f>
        <v>5714.8917264562497</v>
      </c>
      <c r="AG28" s="841">
        <f>'Property Data'!$G$41*4.3333*('Property Data'!$G$38*(1+'Property Data'!$H$38)^(AG$3-1))*(1+'Property Data'!$G$39)</f>
        <v>5714.8917264562497</v>
      </c>
      <c r="AH28" s="1097">
        <f>'Property Data'!$G$41*4.3333*('Property Data'!$G$38*(1+'Property Data'!$H$38)^(AH$3-1))*(1+'Property Data'!$G$39)</f>
        <v>5714.8917264562497</v>
      </c>
      <c r="AI28" s="841">
        <f>'Property Data'!$G$41*4.3333*('Property Data'!$G$38*(1+'Property Data'!$H$38)^(AI$3-1))*(1+'Property Data'!$G$39)</f>
        <v>5714.8917264562497</v>
      </c>
      <c r="AJ28" s="841">
        <f>'Property Data'!$G$41*4.3333*('Property Data'!$G$38*(1+'Property Data'!$H$38)^(AJ$3-1))*(1+'Property Data'!$G$39)</f>
        <v>5714.8917264562497</v>
      </c>
      <c r="AK28" s="841">
        <f>'Property Data'!$G$41*4.3333*('Property Data'!$G$38*(1+'Property Data'!$H$38)^(AK$3-1))*(1+'Property Data'!$G$39)</f>
        <v>5714.8917264562497</v>
      </c>
      <c r="AL28" s="841">
        <f>'Property Data'!$G$41*4.3333*('Property Data'!$G$38*(1+'Property Data'!$H$38)^(AL$3-1))*(1+'Property Data'!$G$39)</f>
        <v>5714.8917264562497</v>
      </c>
      <c r="AM28" s="841">
        <f>'Property Data'!$G$41*4.3333*('Property Data'!$G$38*(1+'Property Data'!$H$38)^(AM$3-1))*(1+'Property Data'!$G$39)</f>
        <v>5886.3384782499379</v>
      </c>
      <c r="AN28" s="841">
        <f>'Property Data'!$G$41*4.3333*('Property Data'!$G$38*(1+'Property Data'!$H$38)^(AN$3-1))*(1+'Property Data'!$G$39)</f>
        <v>5886.3384782499379</v>
      </c>
      <c r="AO28" s="841">
        <f>'Property Data'!$G$41*4.3333*('Property Data'!$G$38*(1+'Property Data'!$H$38)^(AO$3-1))*(1+'Property Data'!$G$39)</f>
        <v>5886.3384782499379</v>
      </c>
      <c r="AP28" s="841">
        <f>'Property Data'!$G$41*4.3333*('Property Data'!$G$38*(1+'Property Data'!$H$38)^(AP$3-1))*(1+'Property Data'!$G$39)</f>
        <v>5886.3384782499379</v>
      </c>
      <c r="AQ28" s="841">
        <f>'Property Data'!$G$41*4.3333*('Property Data'!$G$38*(1+'Property Data'!$H$38)^(AQ$3-1))*(1+'Property Data'!$G$39)</f>
        <v>5886.3384782499379</v>
      </c>
      <c r="AR28" s="841">
        <f>'Property Data'!$G$41*4.3333*('Property Data'!$G$38*(1+'Property Data'!$H$38)^(AR$3-1))*(1+'Property Data'!$G$39)</f>
        <v>5886.3384782499379</v>
      </c>
      <c r="AS28" s="841">
        <f>'Property Data'!$G$41*4.3333*('Property Data'!$G$38*(1+'Property Data'!$H$38)^(AS$3-1))*(1+'Property Data'!$G$39)</f>
        <v>5886.3384782499379</v>
      </c>
      <c r="AT28" s="841">
        <f>'Property Data'!$G$41*4.3333*('Property Data'!$G$38*(1+'Property Data'!$H$38)^(AT$3-1))*(1+'Property Data'!$G$39)</f>
        <v>5886.3384782499379</v>
      </c>
      <c r="AU28" s="841">
        <f>'Property Data'!$G$41*4.3333*('Property Data'!$G$38*(1+'Property Data'!$H$38)^(AU$3-1))*(1+'Property Data'!$G$39)</f>
        <v>5886.3384782499379</v>
      </c>
      <c r="AV28" s="841">
        <f>'Property Data'!$G$41*4.3333*('Property Data'!$G$38*(1+'Property Data'!$H$38)^(AV$3-1))*(1+'Property Data'!$G$39)</f>
        <v>5886.3384782499379</v>
      </c>
      <c r="AW28" s="841">
        <f>'Property Data'!$G$41*4.3333*('Property Data'!$G$38*(1+'Property Data'!$H$38)^(AW$3-1))*(1+'Property Data'!$G$39)</f>
        <v>5886.3384782499379</v>
      </c>
      <c r="AX28" s="841">
        <f>'Property Data'!$G$41*4.3333*('Property Data'!$G$38*(1+'Property Data'!$H$38)^(AX$3-1))*(1+'Property Data'!$G$39)</f>
        <v>5886.3384782499379</v>
      </c>
      <c r="AY28" s="841">
        <f>'Property Data'!$G$41*4.3333*('Property Data'!$G$38*(1+'Property Data'!$H$38)^(AY$3-1))*(1+'Property Data'!$G$39)</f>
        <v>6062.9286325974354</v>
      </c>
      <c r="AZ28" s="841">
        <f>'Property Data'!$G$41*4.3333*('Property Data'!$G$38*(1+'Property Data'!$H$38)^(AZ$3-1))*(1+'Property Data'!$G$39)</f>
        <v>6062.9286325974354</v>
      </c>
      <c r="BA28" s="841">
        <f>'Property Data'!$G$41*4.3333*('Property Data'!$G$38*(1+'Property Data'!$H$38)^(BA$3-1))*(1+'Property Data'!$G$39)</f>
        <v>6062.9286325974354</v>
      </c>
      <c r="BB28" s="841">
        <f>'Property Data'!$G$41*4.3333*('Property Data'!$G$38*(1+'Property Data'!$H$38)^(BB$3-1))*(1+'Property Data'!$G$39)</f>
        <v>6062.9286325974354</v>
      </c>
      <c r="BC28" s="841">
        <f>'Property Data'!$G$41*4.3333*('Property Data'!$G$38*(1+'Property Data'!$H$38)^(BC$3-1))*(1+'Property Data'!$G$39)</f>
        <v>6062.9286325974354</v>
      </c>
      <c r="BD28" s="841">
        <f>'Property Data'!$G$41*4.3333*('Property Data'!$G$38*(1+'Property Data'!$H$38)^(BD$3-1))*(1+'Property Data'!$G$39)</f>
        <v>6062.9286325974354</v>
      </c>
      <c r="BE28" s="841">
        <f>'Property Data'!$G$41*4.3333*('Property Data'!$G$38*(1+'Property Data'!$H$38)^(BE$3-1))*(1+'Property Data'!$G$39)</f>
        <v>6062.9286325974354</v>
      </c>
      <c r="BF28" s="841">
        <f>'Property Data'!$G$41*4.3333*('Property Data'!$G$38*(1+'Property Data'!$H$38)^(BF$3-1))*(1+'Property Data'!$G$39)</f>
        <v>6062.9286325974354</v>
      </c>
      <c r="BG28" s="841">
        <f>'Property Data'!$G$41*4.3333*('Property Data'!$G$38*(1+'Property Data'!$H$38)^(BG$3-1))*(1+'Property Data'!$G$39)</f>
        <v>6062.9286325974354</v>
      </c>
      <c r="BH28" s="841">
        <f>'Property Data'!$G$41*4.3333*('Property Data'!$G$38*(1+'Property Data'!$H$38)^(BH$3-1))*(1+'Property Data'!$G$39)</f>
        <v>6062.9286325974354</v>
      </c>
      <c r="BI28" s="841">
        <f>'Property Data'!$G$41*4.3333*('Property Data'!$G$38*(1+'Property Data'!$H$38)^(BI$3-1))*(1+'Property Data'!$G$39)</f>
        <v>6062.9286325974354</v>
      </c>
      <c r="BJ28" s="841">
        <f>'Property Data'!$G$41*4.3333*('Property Data'!$G$38*(1+'Property Data'!$H$38)^(BJ$3-1))*(1+'Property Data'!$G$39)</f>
        <v>6062.9286325974354</v>
      </c>
    </row>
    <row r="29" spans="2:62">
      <c r="B29" s="401" t="s">
        <v>825</v>
      </c>
      <c r="C29" s="841">
        <f>+(('Property Data'!$G$44*(1+'Property Data'!$H$44)^(C$3-1))/('Property Data'!$G$45+'Property Data'!$D$8+'Property Data'!$D$15+'Property Data'!$D$22))*('Property Data'!$D$8+'Property Data'!$D$15+'Property Data'!$D$22)/12</f>
        <v>1216.6595197255576</v>
      </c>
      <c r="D29" s="841">
        <f>+(('Property Data'!$G$44*(1+'Property Data'!$H$44)^(D$3-1))/('Property Data'!$G$45+'Property Data'!$D$8+'Property Data'!$D$15+'Property Data'!$D$22))*('Property Data'!$D$8+'Property Data'!$D$15+'Property Data'!$D$22)/12</f>
        <v>1216.6595197255576</v>
      </c>
      <c r="E29" s="841">
        <f>+(('Property Data'!$G$44*(1+'Property Data'!$H$44)^(E$3-1))/('Property Data'!$G$45+'Property Data'!$D$8+'Property Data'!$D$15+'Property Data'!$D$22))*('Property Data'!$D$8+'Property Data'!$D$15+'Property Data'!$D$22)/12</f>
        <v>1216.6595197255576</v>
      </c>
      <c r="F29" s="841">
        <f>+(('Property Data'!$G$44*(1+'Property Data'!$H$44)^(F$3-1))/('Property Data'!$G$45+'Property Data'!$D$8+'Property Data'!$D$15+'Property Data'!$D$22))*('Property Data'!$D$8+'Property Data'!$D$15+'Property Data'!$D$22)/12</f>
        <v>1216.6595197255576</v>
      </c>
      <c r="G29" s="841">
        <f>+(('Property Data'!$G$44*(1+'Property Data'!$H$44)^(G$3-1))/('Property Data'!$G$45+'Property Data'!$D$8+'Property Data'!$D$15+'Property Data'!$D$22))*('Property Data'!$D$8+'Property Data'!$D$15+'Property Data'!$D$22)/12</f>
        <v>1216.6595197255576</v>
      </c>
      <c r="H29" s="841">
        <f>+(('Property Data'!$G$44*(1+'Property Data'!$H$44)^(H$3-1))/('Property Data'!$G$45+'Property Data'!$D$8+'Property Data'!$D$15+'Property Data'!$D$22))*('Property Data'!$D$8+'Property Data'!$D$15+'Property Data'!$D$22)/12</f>
        <v>1216.6595197255576</v>
      </c>
      <c r="I29" s="841">
        <f>+(('Property Data'!$G$44*(1+'Property Data'!$H$44)^(I$3-1))/('Property Data'!$G$45+'Property Data'!$D$8+'Property Data'!$D$15+'Property Data'!$D$22))*('Property Data'!$D$8+'Property Data'!$D$15+'Property Data'!$D$22)/12</f>
        <v>1216.6595197255576</v>
      </c>
      <c r="J29" s="841">
        <f>+(('Property Data'!$G$44*(1+'Property Data'!$H$44)^(J$3-1))/('Property Data'!$G$45+'Property Data'!$D$8+'Property Data'!$D$15+'Property Data'!$D$22))*('Property Data'!$D$8+'Property Data'!$D$15+'Property Data'!$D$22)/12</f>
        <v>1216.6595197255576</v>
      </c>
      <c r="K29" s="841">
        <f>+(('Property Data'!$G$44*(1+'Property Data'!$H$44)^(K$3-1))/('Property Data'!$G$45+'Property Data'!$D$8+'Property Data'!$D$15+'Property Data'!$D$22))*('Property Data'!$D$8+'Property Data'!$D$15+'Property Data'!$D$22)/12</f>
        <v>1216.6595197255576</v>
      </c>
      <c r="L29" s="841">
        <f>+(('Property Data'!$G$44*(1+'Property Data'!$H$44)^(L$3-1))/('Property Data'!$G$45+'Property Data'!$D$8+'Property Data'!$D$15+'Property Data'!$D$22))*('Property Data'!$D$8+'Property Data'!$D$15+'Property Data'!$D$22)/12</f>
        <v>1216.6595197255576</v>
      </c>
      <c r="M29" s="841">
        <f>+(('Property Data'!$G$44*(1+'Property Data'!$H$44)^(M$3-1))/('Property Data'!$G$45+'Property Data'!$D$8+'Property Data'!$D$15+'Property Data'!$D$22))*('Property Data'!$D$8+'Property Data'!$D$15+'Property Data'!$D$22)/12</f>
        <v>1216.6595197255576</v>
      </c>
      <c r="N29" s="841">
        <f>+(('Property Data'!$G$44*(1+'Property Data'!$H$44)^(N$3-1))/('Property Data'!$G$45+'Property Data'!$D$8+'Property Data'!$D$15+'Property Data'!$D$22))*('Property Data'!$D$8+'Property Data'!$D$15+'Property Data'!$D$22)/12</f>
        <v>1216.6595197255576</v>
      </c>
      <c r="O29" s="841">
        <f>+(('Property Data'!$G$44*(1+'Property Data'!$H$44)^(O$3-1))/('Property Data'!$G$45+'Property Data'!$D$8+'Property Data'!$D$15+'Property Data'!$D$22))*('Property Data'!$D$8+'Property Data'!$D$15+'Property Data'!$D$22)/12</f>
        <v>1253.159305317324</v>
      </c>
      <c r="P29" s="841">
        <f>+(('Property Data'!$G$44*(1+'Property Data'!$H$44)^(P$3-1))/('Property Data'!$G$45+'Property Data'!$D$8+'Property Data'!$D$15+'Property Data'!$D$22))*('Property Data'!$D$8+'Property Data'!$D$15+'Property Data'!$D$22)/12</f>
        <v>1253.159305317324</v>
      </c>
      <c r="Q29" s="841">
        <f>+(('Property Data'!$G$44*(1+'Property Data'!$H$44)^(Q$3-1))/('Property Data'!$G$45+'Property Data'!$D$8+'Property Data'!$D$15+'Property Data'!$D$22))*('Property Data'!$D$8+'Property Data'!$D$15+'Property Data'!$D$22)/12</f>
        <v>1253.159305317324</v>
      </c>
      <c r="R29" s="841">
        <f>+(('Property Data'!$G$44*(1+'Property Data'!$H$44)^(R$3-1))/('Property Data'!$G$45+'Property Data'!$D$8+'Property Data'!$D$15+'Property Data'!$D$22))*('Property Data'!$D$8+'Property Data'!$D$15+'Property Data'!$D$22)/12</f>
        <v>1253.159305317324</v>
      </c>
      <c r="S29" s="841">
        <f>+(('Property Data'!$G$44*(1+'Property Data'!$H$44)^(S$3-1))/('Property Data'!$G$45+'Property Data'!$D$8+'Property Data'!$D$15+'Property Data'!$D$22))*('Property Data'!$D$8+'Property Data'!$D$15+'Property Data'!$D$22)/12</f>
        <v>1253.159305317324</v>
      </c>
      <c r="T29" s="841">
        <f>+(('Property Data'!$G$44*(1+'Property Data'!$H$44)^(T$3-1))/('Property Data'!$G$45+'Property Data'!$D$8+'Property Data'!$D$15+'Property Data'!$D$22))*('Property Data'!$D$8+'Property Data'!$D$15+'Property Data'!$D$22)/12</f>
        <v>1253.159305317324</v>
      </c>
      <c r="U29" s="841">
        <f>+(('Property Data'!$G$44*(1+'Property Data'!$H$44)^(U$3-1))/('Property Data'!$G$45+'Property Data'!$D$8+'Property Data'!$D$15+'Property Data'!$D$22))*('Property Data'!$D$8+'Property Data'!$D$15+'Property Data'!$D$22)/12</f>
        <v>1253.159305317324</v>
      </c>
      <c r="V29" s="841">
        <f>+(('Property Data'!$G$44*(1+'Property Data'!$H$44)^(V$3-1))/('Property Data'!$G$45+'Property Data'!$D$8+'Property Data'!$D$15+'Property Data'!$D$22))*('Property Data'!$D$8+'Property Data'!$D$15+'Property Data'!$D$22)/12</f>
        <v>1253.159305317324</v>
      </c>
      <c r="W29" s="841">
        <f>+(('Property Data'!$G$44*(1+'Property Data'!$H$44)^(W$3-1))/('Property Data'!$G$45+'Property Data'!$D$8+'Property Data'!$D$15+'Property Data'!$D$22))*('Property Data'!$D$8+'Property Data'!$D$15+'Property Data'!$D$22)/12</f>
        <v>1253.159305317324</v>
      </c>
      <c r="X29" s="841">
        <f>+(('Property Data'!$G$44*(1+'Property Data'!$H$44)^(X$3-1))/('Property Data'!$G$45+'Property Data'!$D$8+'Property Data'!$D$15+'Property Data'!$D$22))*('Property Data'!$D$8+'Property Data'!$D$15+'Property Data'!$D$22)/12</f>
        <v>1253.159305317324</v>
      </c>
      <c r="Y29" s="841">
        <f>+(('Property Data'!$G$44*(1+'Property Data'!$H$44)^(Y$3-1))/('Property Data'!$G$45+'Property Data'!$D$8+'Property Data'!$D$15+'Property Data'!$D$22))*('Property Data'!$D$8+'Property Data'!$D$15+'Property Data'!$D$22)/12</f>
        <v>1253.159305317324</v>
      </c>
      <c r="Z29" s="841">
        <f>+(('Property Data'!$G$44*(1+'Property Data'!$H$44)^(Z$3-1))/('Property Data'!$G$45+'Property Data'!$D$8+'Property Data'!$D$15+'Property Data'!$D$22))*('Property Data'!$D$8+'Property Data'!$D$15+'Property Data'!$D$22)/12</f>
        <v>1253.159305317324</v>
      </c>
      <c r="AA29" s="841">
        <f>+(('Property Data'!$G$44*(1+'Property Data'!$H$44)^(AA$3-1))/('Property Data'!$G$45+'Property Data'!$D$8+'Property Data'!$D$15+'Property Data'!$D$22))*('Property Data'!$D$8+'Property Data'!$D$15+'Property Data'!$D$22)/12</f>
        <v>1290.7540844768439</v>
      </c>
      <c r="AB29" s="841">
        <f>+(('Property Data'!$G$44*(1+'Property Data'!$H$44)^(AB$3-1))/('Property Data'!$G$45+'Property Data'!$D$8+'Property Data'!$D$15+'Property Data'!$D$22))*('Property Data'!$D$8+'Property Data'!$D$15+'Property Data'!$D$22)/12</f>
        <v>1290.7540844768439</v>
      </c>
      <c r="AC29" s="841">
        <f>+(('Property Data'!$G$44*(1+'Property Data'!$H$44)^(AC$3-1))/('Property Data'!$G$45+'Property Data'!$D$8+'Property Data'!$D$15+'Property Data'!$D$22))*('Property Data'!$D$8+'Property Data'!$D$15+'Property Data'!$D$22)/12</f>
        <v>1290.7540844768439</v>
      </c>
      <c r="AD29" s="841">
        <f>+(('Property Data'!$G$44*(1+'Property Data'!$H$44)^(AD$3-1))/('Property Data'!$G$45+'Property Data'!$D$8+'Property Data'!$D$15+'Property Data'!$D$22))*('Property Data'!$D$8+'Property Data'!$D$15+'Property Data'!$D$22)/12</f>
        <v>1290.7540844768439</v>
      </c>
      <c r="AE29" s="841">
        <f>+(('Property Data'!$G$44*(1+'Property Data'!$H$44)^(AE$3-1))/('Property Data'!$G$45+'Property Data'!$D$8+'Property Data'!$D$15+'Property Data'!$D$22))*('Property Data'!$D$8+'Property Data'!$D$15+'Property Data'!$D$22)/12</f>
        <v>1290.7540844768439</v>
      </c>
      <c r="AF29" s="841">
        <f>+(('Property Data'!$G$44*(1+'Property Data'!$H$44)^(AF$3-1))/('Property Data'!$G$45+'Property Data'!$D$8+'Property Data'!$D$15+'Property Data'!$D$22))*('Property Data'!$D$8+'Property Data'!$D$15+'Property Data'!$D$22)/12</f>
        <v>1290.7540844768439</v>
      </c>
      <c r="AG29" s="841">
        <f>+(('Property Data'!$G$44*(1+'Property Data'!$H$44)^(AG$3-1))/('Property Data'!$G$45+'Property Data'!$D$8+'Property Data'!$D$15+'Property Data'!$D$22))*('Property Data'!$D$8+'Property Data'!$D$15+'Property Data'!$D$22)/12</f>
        <v>1290.7540844768439</v>
      </c>
      <c r="AH29" s="1097">
        <f>+(('Property Data'!$G$44*(1+'Property Data'!$H$44)^(AH$3-1))/('Property Data'!$G$45+'Property Data'!$D$8+'Property Data'!$D$15+'Property Data'!$D$22))*('Property Data'!$D$8+'Property Data'!$D$15+'Property Data'!$D$22)/12</f>
        <v>1290.7540844768439</v>
      </c>
      <c r="AI29" s="841">
        <f>+(('Property Data'!$G$44*(1+'Property Data'!$H$44)^(AI$3-1))/('Property Data'!$G$45+'Property Data'!$D$8+'Property Data'!$D$15+'Property Data'!$D$22))*('Property Data'!$D$8+'Property Data'!$D$15+'Property Data'!$D$22)/12</f>
        <v>1290.7540844768439</v>
      </c>
      <c r="AJ29" s="841">
        <f>+(('Property Data'!$G$44*(1+'Property Data'!$H$44)^(AJ$3-1))/('Property Data'!$G$45+'Property Data'!$D$8+'Property Data'!$D$15+'Property Data'!$D$22))*('Property Data'!$D$8+'Property Data'!$D$15+'Property Data'!$D$22)/12</f>
        <v>1290.7540844768439</v>
      </c>
      <c r="AK29" s="841">
        <f>+(('Property Data'!$G$44*(1+'Property Data'!$H$44)^(AK$3-1))/('Property Data'!$G$45+'Property Data'!$D$8+'Property Data'!$D$15+'Property Data'!$D$22))*('Property Data'!$D$8+'Property Data'!$D$15+'Property Data'!$D$22)/12</f>
        <v>1290.7540844768439</v>
      </c>
      <c r="AL29" s="841">
        <f>+(('Property Data'!$G$44*(1+'Property Data'!$H$44)^(AL$3-1))/('Property Data'!$G$45+'Property Data'!$D$8+'Property Data'!$D$15+'Property Data'!$D$22))*('Property Data'!$D$8+'Property Data'!$D$15+'Property Data'!$D$22)/12</f>
        <v>1290.7540844768439</v>
      </c>
      <c r="AM29" s="841">
        <f>+(('Property Data'!$G$44*(1+'Property Data'!$H$44)^(AM$3-1))/('Property Data'!$G$45+'Property Data'!$D$8+'Property Data'!$D$15+'Property Data'!$D$22))*('Property Data'!$D$8+'Property Data'!$D$15+'Property Data'!$D$22)/12</f>
        <v>1329.4767070111491</v>
      </c>
      <c r="AN29" s="841">
        <f>+(('Property Data'!$G$44*(1+'Property Data'!$H$44)^(AN$3-1))/('Property Data'!$G$45+'Property Data'!$D$8+'Property Data'!$D$15+'Property Data'!$D$22))*('Property Data'!$D$8+'Property Data'!$D$15+'Property Data'!$D$22)/12</f>
        <v>1329.4767070111491</v>
      </c>
      <c r="AO29" s="841">
        <f>+(('Property Data'!$G$44*(1+'Property Data'!$H$44)^(AO$3-1))/('Property Data'!$G$45+'Property Data'!$D$8+'Property Data'!$D$15+'Property Data'!$D$22))*('Property Data'!$D$8+'Property Data'!$D$15+'Property Data'!$D$22)/12</f>
        <v>1329.4767070111491</v>
      </c>
      <c r="AP29" s="841">
        <f>+(('Property Data'!$G$44*(1+'Property Data'!$H$44)^(AP$3-1))/('Property Data'!$G$45+'Property Data'!$D$8+'Property Data'!$D$15+'Property Data'!$D$22))*('Property Data'!$D$8+'Property Data'!$D$15+'Property Data'!$D$22)/12</f>
        <v>1329.4767070111491</v>
      </c>
      <c r="AQ29" s="841">
        <f>+(('Property Data'!$G$44*(1+'Property Data'!$H$44)^(AQ$3-1))/('Property Data'!$G$45+'Property Data'!$D$8+'Property Data'!$D$15+'Property Data'!$D$22))*('Property Data'!$D$8+'Property Data'!$D$15+'Property Data'!$D$22)/12</f>
        <v>1329.4767070111491</v>
      </c>
      <c r="AR29" s="841">
        <f>+(('Property Data'!$G$44*(1+'Property Data'!$H$44)^(AR$3-1))/('Property Data'!$G$45+'Property Data'!$D$8+'Property Data'!$D$15+'Property Data'!$D$22))*('Property Data'!$D$8+'Property Data'!$D$15+'Property Data'!$D$22)/12</f>
        <v>1329.4767070111491</v>
      </c>
      <c r="AS29" s="841">
        <f>+(('Property Data'!$G$44*(1+'Property Data'!$H$44)^(AS$3-1))/('Property Data'!$G$45+'Property Data'!$D$8+'Property Data'!$D$15+'Property Data'!$D$22))*('Property Data'!$D$8+'Property Data'!$D$15+'Property Data'!$D$22)/12</f>
        <v>1329.4767070111491</v>
      </c>
      <c r="AT29" s="841">
        <f>+(('Property Data'!$G$44*(1+'Property Data'!$H$44)^(AT$3-1))/('Property Data'!$G$45+'Property Data'!$D$8+'Property Data'!$D$15+'Property Data'!$D$22))*('Property Data'!$D$8+'Property Data'!$D$15+'Property Data'!$D$22)/12</f>
        <v>1329.4767070111491</v>
      </c>
      <c r="AU29" s="841">
        <f>+(('Property Data'!$G$44*(1+'Property Data'!$H$44)^(AU$3-1))/('Property Data'!$G$45+'Property Data'!$D$8+'Property Data'!$D$15+'Property Data'!$D$22))*('Property Data'!$D$8+'Property Data'!$D$15+'Property Data'!$D$22)/12</f>
        <v>1329.4767070111491</v>
      </c>
      <c r="AV29" s="841">
        <f>+(('Property Data'!$G$44*(1+'Property Data'!$H$44)^(AV$3-1))/('Property Data'!$G$45+'Property Data'!$D$8+'Property Data'!$D$15+'Property Data'!$D$22))*('Property Data'!$D$8+'Property Data'!$D$15+'Property Data'!$D$22)/12</f>
        <v>1329.4767070111491</v>
      </c>
      <c r="AW29" s="841">
        <f>+(('Property Data'!$G$44*(1+'Property Data'!$H$44)^(AW$3-1))/('Property Data'!$G$45+'Property Data'!$D$8+'Property Data'!$D$15+'Property Data'!$D$22))*('Property Data'!$D$8+'Property Data'!$D$15+'Property Data'!$D$22)/12</f>
        <v>1329.4767070111491</v>
      </c>
      <c r="AX29" s="841">
        <f>+(('Property Data'!$G$44*(1+'Property Data'!$H$44)^(AX$3-1))/('Property Data'!$G$45+'Property Data'!$D$8+'Property Data'!$D$15+'Property Data'!$D$22))*('Property Data'!$D$8+'Property Data'!$D$15+'Property Data'!$D$22)/12</f>
        <v>1329.4767070111491</v>
      </c>
      <c r="AY29" s="841">
        <f>+(('Property Data'!$G$44*(1+'Property Data'!$H$44)^(AY$3-1))/('Property Data'!$G$45+'Property Data'!$D$8+'Property Data'!$D$15+'Property Data'!$D$22))*('Property Data'!$D$8+'Property Data'!$D$15+'Property Data'!$D$22)/12</f>
        <v>1369.3610082214836</v>
      </c>
      <c r="AZ29" s="841">
        <f>+(('Property Data'!$G$44*(1+'Property Data'!$H$44)^(AZ$3-1))/('Property Data'!$G$45+'Property Data'!$D$8+'Property Data'!$D$15+'Property Data'!$D$22))*('Property Data'!$D$8+'Property Data'!$D$15+'Property Data'!$D$22)/12</f>
        <v>1369.3610082214836</v>
      </c>
      <c r="BA29" s="841">
        <f>+(('Property Data'!$G$44*(1+'Property Data'!$H$44)^(BA$3-1))/('Property Data'!$G$45+'Property Data'!$D$8+'Property Data'!$D$15+'Property Data'!$D$22))*('Property Data'!$D$8+'Property Data'!$D$15+'Property Data'!$D$22)/12</f>
        <v>1369.3610082214836</v>
      </c>
      <c r="BB29" s="841">
        <f>+(('Property Data'!$G$44*(1+'Property Data'!$H$44)^(BB$3-1))/('Property Data'!$G$45+'Property Data'!$D$8+'Property Data'!$D$15+'Property Data'!$D$22))*('Property Data'!$D$8+'Property Data'!$D$15+'Property Data'!$D$22)/12</f>
        <v>1369.3610082214836</v>
      </c>
      <c r="BC29" s="841">
        <f>+(('Property Data'!$G$44*(1+'Property Data'!$H$44)^(BC$3-1))/('Property Data'!$G$45+'Property Data'!$D$8+'Property Data'!$D$15+'Property Data'!$D$22))*('Property Data'!$D$8+'Property Data'!$D$15+'Property Data'!$D$22)/12</f>
        <v>1369.3610082214836</v>
      </c>
      <c r="BD29" s="841">
        <f>+(('Property Data'!$G$44*(1+'Property Data'!$H$44)^(BD$3-1))/('Property Data'!$G$45+'Property Data'!$D$8+'Property Data'!$D$15+'Property Data'!$D$22))*('Property Data'!$D$8+'Property Data'!$D$15+'Property Data'!$D$22)/12</f>
        <v>1369.3610082214836</v>
      </c>
      <c r="BE29" s="841">
        <f>+(('Property Data'!$G$44*(1+'Property Data'!$H$44)^(BE$3-1))/('Property Data'!$G$45+'Property Data'!$D$8+'Property Data'!$D$15+'Property Data'!$D$22))*('Property Data'!$D$8+'Property Data'!$D$15+'Property Data'!$D$22)/12</f>
        <v>1369.3610082214836</v>
      </c>
      <c r="BF29" s="841">
        <f>+(('Property Data'!$G$44*(1+'Property Data'!$H$44)^(BF$3-1))/('Property Data'!$G$45+'Property Data'!$D$8+'Property Data'!$D$15+'Property Data'!$D$22))*('Property Data'!$D$8+'Property Data'!$D$15+'Property Data'!$D$22)/12</f>
        <v>1369.3610082214836</v>
      </c>
      <c r="BG29" s="841">
        <f>+(('Property Data'!$G$44*(1+'Property Data'!$H$44)^(BG$3-1))/('Property Data'!$G$45+'Property Data'!$D$8+'Property Data'!$D$15+'Property Data'!$D$22))*('Property Data'!$D$8+'Property Data'!$D$15+'Property Data'!$D$22)/12</f>
        <v>1369.3610082214836</v>
      </c>
      <c r="BH29" s="841">
        <f>+(('Property Data'!$G$44*(1+'Property Data'!$H$44)^(BH$3-1))/('Property Data'!$G$45+'Property Data'!$D$8+'Property Data'!$D$15+'Property Data'!$D$22))*('Property Data'!$D$8+'Property Data'!$D$15+'Property Data'!$D$22)/12</f>
        <v>1369.3610082214836</v>
      </c>
      <c r="BI29" s="841">
        <f>+(('Property Data'!$G$44*(1+'Property Data'!$H$44)^(BI$3-1))/('Property Data'!$G$45+'Property Data'!$D$8+'Property Data'!$D$15+'Property Data'!$D$22))*('Property Data'!$D$8+'Property Data'!$D$15+'Property Data'!$D$22)/12</f>
        <v>1369.3610082214836</v>
      </c>
      <c r="BJ29" s="841">
        <f>+(('Property Data'!$G$44*(1+'Property Data'!$H$44)^(BJ$3-1))/('Property Data'!$G$45+'Property Data'!$D$8+'Property Data'!$D$15+'Property Data'!$D$22))*('Property Data'!$D$8+'Property Data'!$D$15+'Property Data'!$D$22)/12</f>
        <v>1369.3610082214836</v>
      </c>
    </row>
    <row r="30" spans="2:62">
      <c r="B30" s="401" t="s">
        <v>826</v>
      </c>
      <c r="C30" s="841">
        <f>+('Property Data'!$G$53/12)*('Property Data'!$D$9+'Property Data'!$D$16+'Property Data'!$D$23)*(1+'Property Data'!$H$53)^(C$3-1)</f>
        <v>2389.5333333333333</v>
      </c>
      <c r="D30" s="841">
        <f>+('Property Data'!$G$53/12)*('Property Data'!$D$9+'Property Data'!$D$16+'Property Data'!$D$23)*(1+'Property Data'!$H$53)^(D$3-1)</f>
        <v>2389.5333333333333</v>
      </c>
      <c r="E30" s="841">
        <f>+('Property Data'!$G$53/12)*('Property Data'!$D$9+'Property Data'!$D$16+'Property Data'!$D$23)*(1+'Property Data'!$H$53)^(E$3-1)</f>
        <v>2389.5333333333333</v>
      </c>
      <c r="F30" s="841">
        <f>+('Property Data'!$G$53/12)*('Property Data'!$D$9+'Property Data'!$D$16+'Property Data'!$D$23)*(1+'Property Data'!$H$53)^(F$3-1)</f>
        <v>2389.5333333333333</v>
      </c>
      <c r="G30" s="841">
        <f>+('Property Data'!$G$53/12)*('Property Data'!$D$9+'Property Data'!$D$16+'Property Data'!$D$23)*(1+'Property Data'!$H$53)^(G$3-1)</f>
        <v>2389.5333333333333</v>
      </c>
      <c r="H30" s="841">
        <f>+('Property Data'!$G$53/12)*('Property Data'!$D$9+'Property Data'!$D$16+'Property Data'!$D$23)*(1+'Property Data'!$H$53)^(H$3-1)</f>
        <v>2389.5333333333333</v>
      </c>
      <c r="I30" s="841">
        <f>+('Property Data'!$G$53/12)*('Property Data'!$D$9+'Property Data'!$D$16+'Property Data'!$D$23)*(1+'Property Data'!$H$53)^(I$3-1)</f>
        <v>2389.5333333333333</v>
      </c>
      <c r="J30" s="841">
        <f>+('Property Data'!$G$53/12)*('Property Data'!$D$9+'Property Data'!$D$16+'Property Data'!$D$23)*(1+'Property Data'!$H$53)^(J$3-1)</f>
        <v>2389.5333333333333</v>
      </c>
      <c r="K30" s="841">
        <f>+('Property Data'!$G$53/12)*('Property Data'!$D$9+'Property Data'!$D$16+'Property Data'!$D$23)*(1+'Property Data'!$H$53)^(K$3-1)</f>
        <v>2389.5333333333333</v>
      </c>
      <c r="L30" s="841">
        <f>+('Property Data'!$G$53/12)*('Property Data'!$D$9+'Property Data'!$D$16+'Property Data'!$D$23)*(1+'Property Data'!$H$53)^(L$3-1)</f>
        <v>2389.5333333333333</v>
      </c>
      <c r="M30" s="841">
        <f>+('Property Data'!$G$53/12)*('Property Data'!$D$9+'Property Data'!$D$16+'Property Data'!$D$23)*(1+'Property Data'!$H$53)^(M$3-1)</f>
        <v>2389.5333333333333</v>
      </c>
      <c r="N30" s="841">
        <f>+('Property Data'!$G$53/12)*('Property Data'!$D$9+'Property Data'!$D$16+'Property Data'!$D$23)*(1+'Property Data'!$H$53)^(N$3-1)</f>
        <v>2389.5333333333333</v>
      </c>
      <c r="O30" s="841">
        <f>+('Property Data'!$G$53/12)*('Property Data'!$D$9+'Property Data'!$D$16+'Property Data'!$D$23)*(1+'Property Data'!$H$53)^(O$3-1)</f>
        <v>2461.2193333333335</v>
      </c>
      <c r="P30" s="841">
        <f>+('Property Data'!$G$53/12)*('Property Data'!$D$9+'Property Data'!$D$16+'Property Data'!$D$23)*(1+'Property Data'!$H$53)^(P$3-1)</f>
        <v>2461.2193333333335</v>
      </c>
      <c r="Q30" s="841">
        <f>+('Property Data'!$G$53/12)*('Property Data'!$D$9+'Property Data'!$D$16+'Property Data'!$D$23)*(1+'Property Data'!$H$53)^(Q$3-1)</f>
        <v>2461.2193333333335</v>
      </c>
      <c r="R30" s="841">
        <f>+('Property Data'!$G$53/12)*('Property Data'!$D$9+'Property Data'!$D$16+'Property Data'!$D$23)*(1+'Property Data'!$H$53)^(R$3-1)</f>
        <v>2461.2193333333335</v>
      </c>
      <c r="S30" s="841">
        <f>+('Property Data'!$G$53/12)*('Property Data'!$D$9+'Property Data'!$D$16+'Property Data'!$D$23)*(1+'Property Data'!$H$53)^(S$3-1)</f>
        <v>2461.2193333333335</v>
      </c>
      <c r="T30" s="841">
        <f>+('Property Data'!$G$53/12)*('Property Data'!$D$9+'Property Data'!$D$16+'Property Data'!$D$23)*(1+'Property Data'!$H$53)^(T$3-1)</f>
        <v>2461.2193333333335</v>
      </c>
      <c r="U30" s="841">
        <f>+('Property Data'!$G$53/12)*('Property Data'!$D$9+'Property Data'!$D$16+'Property Data'!$D$23)*(1+'Property Data'!$H$53)^(U$3-1)</f>
        <v>2461.2193333333335</v>
      </c>
      <c r="V30" s="841">
        <f>+('Property Data'!$G$53/12)*('Property Data'!$D$9+'Property Data'!$D$16+'Property Data'!$D$23)*(1+'Property Data'!$H$53)^(V$3-1)</f>
        <v>2461.2193333333335</v>
      </c>
      <c r="W30" s="841">
        <f>+('Property Data'!$G$53/12)*('Property Data'!$D$9+'Property Data'!$D$16+'Property Data'!$D$23)*(1+'Property Data'!$H$53)^(W$3-1)</f>
        <v>2461.2193333333335</v>
      </c>
      <c r="X30" s="841">
        <f>+('Property Data'!$G$53/12)*('Property Data'!$D$9+'Property Data'!$D$16+'Property Data'!$D$23)*(1+'Property Data'!$H$53)^(X$3-1)</f>
        <v>2461.2193333333335</v>
      </c>
      <c r="Y30" s="841">
        <f>+('Property Data'!$G$53/12)*('Property Data'!$D$9+'Property Data'!$D$16+'Property Data'!$D$23)*(1+'Property Data'!$H$53)^(Y$3-1)</f>
        <v>2461.2193333333335</v>
      </c>
      <c r="Z30" s="841">
        <f>+('Property Data'!$G$53/12)*('Property Data'!$D$9+'Property Data'!$D$16+'Property Data'!$D$23)*(1+'Property Data'!$H$53)^(Z$3-1)</f>
        <v>2461.2193333333335</v>
      </c>
      <c r="AA30" s="841">
        <f>+('Property Data'!$G$53/12)*('Property Data'!$D$9+'Property Data'!$D$16+'Property Data'!$D$23)*(1+'Property Data'!$H$53)^(AA$3-1)</f>
        <v>2535.0559133333331</v>
      </c>
      <c r="AB30" s="841">
        <f>+('Property Data'!$G$53/12)*('Property Data'!$D$9+'Property Data'!$D$16+'Property Data'!$D$23)*(1+'Property Data'!$H$53)^(AB$3-1)</f>
        <v>2535.0559133333331</v>
      </c>
      <c r="AC30" s="841">
        <f>+('Property Data'!$G$53/12)*('Property Data'!$D$9+'Property Data'!$D$16+'Property Data'!$D$23)*(1+'Property Data'!$H$53)^(AC$3-1)</f>
        <v>2535.0559133333331</v>
      </c>
      <c r="AD30" s="841">
        <f>+('Property Data'!$G$53/12)*('Property Data'!$D$9+'Property Data'!$D$16+'Property Data'!$D$23)*(1+'Property Data'!$H$53)^(AD$3-1)</f>
        <v>2535.0559133333331</v>
      </c>
      <c r="AE30" s="841">
        <f>+('Property Data'!$G$53/12)*('Property Data'!$D$9+'Property Data'!$D$16+'Property Data'!$D$23)*(1+'Property Data'!$H$53)^(AE$3-1)</f>
        <v>2535.0559133333331</v>
      </c>
      <c r="AF30" s="841">
        <f>+('Property Data'!$G$53/12)*('Property Data'!$D$9+'Property Data'!$D$16+'Property Data'!$D$23)*(1+'Property Data'!$H$53)^(AF$3-1)</f>
        <v>2535.0559133333331</v>
      </c>
      <c r="AG30" s="841">
        <f>+('Property Data'!$G$53/12)*('Property Data'!$D$9+'Property Data'!$D$16+'Property Data'!$D$23)*(1+'Property Data'!$H$53)^(AG$3-1)</f>
        <v>2535.0559133333331</v>
      </c>
      <c r="AH30" s="1097">
        <f>+('Property Data'!$G$53/12)*('Property Data'!$D$9+'Property Data'!$D$16+'Property Data'!$D$23)*(1+'Property Data'!$H$53)^(AH$3-1)</f>
        <v>2535.0559133333331</v>
      </c>
      <c r="AI30" s="841">
        <f>+('Property Data'!$G$53/12)*('Property Data'!$D$9+'Property Data'!$D$16+'Property Data'!$D$23)*(1+'Property Data'!$H$53)^(AI$3-1)</f>
        <v>2535.0559133333331</v>
      </c>
      <c r="AJ30" s="841">
        <f>+('Property Data'!$G$53/12)*('Property Data'!$D$9+'Property Data'!$D$16+'Property Data'!$D$23)*(1+'Property Data'!$H$53)^(AJ$3-1)</f>
        <v>2535.0559133333331</v>
      </c>
      <c r="AK30" s="841">
        <f>+('Property Data'!$G$53/12)*('Property Data'!$D$9+'Property Data'!$D$16+'Property Data'!$D$23)*(1+'Property Data'!$H$53)^(AK$3-1)</f>
        <v>2535.0559133333331</v>
      </c>
      <c r="AL30" s="841">
        <f>+('Property Data'!$G$53/12)*('Property Data'!$D$9+'Property Data'!$D$16+'Property Data'!$D$23)*(1+'Property Data'!$H$53)^(AL$3-1)</f>
        <v>2535.0559133333331</v>
      </c>
      <c r="AM30" s="841">
        <f>+('Property Data'!$G$53/12)*('Property Data'!$D$9+'Property Data'!$D$16+'Property Data'!$D$23)*(1+'Property Data'!$H$53)^(AM$3-1)</f>
        <v>2611.1075907333334</v>
      </c>
      <c r="AN30" s="841">
        <f>+('Property Data'!$G$53/12)*('Property Data'!$D$9+'Property Data'!$D$16+'Property Data'!$D$23)*(1+'Property Data'!$H$53)^(AN$3-1)</f>
        <v>2611.1075907333334</v>
      </c>
      <c r="AO30" s="841">
        <f>+('Property Data'!$G$53/12)*('Property Data'!$D$9+'Property Data'!$D$16+'Property Data'!$D$23)*(1+'Property Data'!$H$53)^(AO$3-1)</f>
        <v>2611.1075907333334</v>
      </c>
      <c r="AP30" s="841">
        <f>+('Property Data'!$G$53/12)*('Property Data'!$D$9+'Property Data'!$D$16+'Property Data'!$D$23)*(1+'Property Data'!$H$53)^(AP$3-1)</f>
        <v>2611.1075907333334</v>
      </c>
      <c r="AQ30" s="841">
        <f>+('Property Data'!$G$53/12)*('Property Data'!$D$9+'Property Data'!$D$16+'Property Data'!$D$23)*(1+'Property Data'!$H$53)^(AQ$3-1)</f>
        <v>2611.1075907333334</v>
      </c>
      <c r="AR30" s="841">
        <f>+('Property Data'!$G$53/12)*('Property Data'!$D$9+'Property Data'!$D$16+'Property Data'!$D$23)*(1+'Property Data'!$H$53)^(AR$3-1)</f>
        <v>2611.1075907333334</v>
      </c>
      <c r="AS30" s="841">
        <f>+('Property Data'!$G$53/12)*('Property Data'!$D$9+'Property Data'!$D$16+'Property Data'!$D$23)*(1+'Property Data'!$H$53)^(AS$3-1)</f>
        <v>2611.1075907333334</v>
      </c>
      <c r="AT30" s="841">
        <f>+('Property Data'!$G$53/12)*('Property Data'!$D$9+'Property Data'!$D$16+'Property Data'!$D$23)*(1+'Property Data'!$H$53)^(AT$3-1)</f>
        <v>2611.1075907333334</v>
      </c>
      <c r="AU30" s="841">
        <f>+('Property Data'!$G$53/12)*('Property Data'!$D$9+'Property Data'!$D$16+'Property Data'!$D$23)*(1+'Property Data'!$H$53)^(AU$3-1)</f>
        <v>2611.1075907333334</v>
      </c>
      <c r="AV30" s="841">
        <f>+('Property Data'!$G$53/12)*('Property Data'!$D$9+'Property Data'!$D$16+'Property Data'!$D$23)*(1+'Property Data'!$H$53)^(AV$3-1)</f>
        <v>2611.1075907333334</v>
      </c>
      <c r="AW30" s="841">
        <f>+('Property Data'!$G$53/12)*('Property Data'!$D$9+'Property Data'!$D$16+'Property Data'!$D$23)*(1+'Property Data'!$H$53)^(AW$3-1)</f>
        <v>2611.1075907333334</v>
      </c>
      <c r="AX30" s="841">
        <f>+('Property Data'!$G$53/12)*('Property Data'!$D$9+'Property Data'!$D$16+'Property Data'!$D$23)*(1+'Property Data'!$H$53)^(AX$3-1)</f>
        <v>2611.1075907333334</v>
      </c>
      <c r="AY30" s="841">
        <f>+('Property Data'!$G$53/12)*('Property Data'!$D$9+'Property Data'!$D$16+'Property Data'!$D$23)*(1+'Property Data'!$H$53)^(AY$3-1)</f>
        <v>2689.4408184553331</v>
      </c>
      <c r="AZ30" s="841">
        <f>+('Property Data'!$G$53/12)*('Property Data'!$D$9+'Property Data'!$D$16+'Property Data'!$D$23)*(1+'Property Data'!$H$53)^(AZ$3-1)</f>
        <v>2689.4408184553331</v>
      </c>
      <c r="BA30" s="841">
        <f>+('Property Data'!$G$53/12)*('Property Data'!$D$9+'Property Data'!$D$16+'Property Data'!$D$23)*(1+'Property Data'!$H$53)^(BA$3-1)</f>
        <v>2689.4408184553331</v>
      </c>
      <c r="BB30" s="841">
        <f>+('Property Data'!$G$53/12)*('Property Data'!$D$9+'Property Data'!$D$16+'Property Data'!$D$23)*(1+'Property Data'!$H$53)^(BB$3-1)</f>
        <v>2689.4408184553331</v>
      </c>
      <c r="BC30" s="841">
        <f>+('Property Data'!$G$53/12)*('Property Data'!$D$9+'Property Data'!$D$16+'Property Data'!$D$23)*(1+'Property Data'!$H$53)^(BC$3-1)</f>
        <v>2689.4408184553331</v>
      </c>
      <c r="BD30" s="841">
        <f>+('Property Data'!$G$53/12)*('Property Data'!$D$9+'Property Data'!$D$16+'Property Data'!$D$23)*(1+'Property Data'!$H$53)^(BD$3-1)</f>
        <v>2689.4408184553331</v>
      </c>
      <c r="BE30" s="841">
        <f>+('Property Data'!$G$53/12)*('Property Data'!$D$9+'Property Data'!$D$16+'Property Data'!$D$23)*(1+'Property Data'!$H$53)^(BE$3-1)</f>
        <v>2689.4408184553331</v>
      </c>
      <c r="BF30" s="841">
        <f>+('Property Data'!$G$53/12)*('Property Data'!$D$9+'Property Data'!$D$16+'Property Data'!$D$23)*(1+'Property Data'!$H$53)^(BF$3-1)</f>
        <v>2689.4408184553331</v>
      </c>
      <c r="BG30" s="841">
        <f>+('Property Data'!$G$53/12)*('Property Data'!$D$9+'Property Data'!$D$16+'Property Data'!$D$23)*(1+'Property Data'!$H$53)^(BG$3-1)</f>
        <v>2689.4408184553331</v>
      </c>
      <c r="BH30" s="841">
        <f>+('Property Data'!$G$53/12)*('Property Data'!$D$9+'Property Data'!$D$16+'Property Data'!$D$23)*(1+'Property Data'!$H$53)^(BH$3-1)</f>
        <v>2689.4408184553331</v>
      </c>
      <c r="BI30" s="841">
        <f>+('Property Data'!$G$53/12)*('Property Data'!$D$9+'Property Data'!$D$16+'Property Data'!$D$23)*(1+'Property Data'!$H$53)^(BI$3-1)</f>
        <v>2689.4408184553331</v>
      </c>
      <c r="BJ30" s="841">
        <f>+('Property Data'!$G$53/12)*('Property Data'!$D$9+'Property Data'!$D$16+'Property Data'!$D$23)*(1+'Property Data'!$H$53)^(BJ$3-1)</f>
        <v>2689.4408184553331</v>
      </c>
    </row>
    <row r="31" spans="2:62">
      <c r="B31" s="401" t="s">
        <v>827</v>
      </c>
      <c r="C31" s="841">
        <f>('Property Data'!$G$54/12)*('Property Data'!$D$9+'Property Data'!$D$16+'Property Data'!$D$23)*(1+'Property Data'!$H$54)^(C$3-1)</f>
        <v>1373.9816666666668</v>
      </c>
      <c r="D31" s="841">
        <f>('Property Data'!$G$54/12)*('Property Data'!$D$9+'Property Data'!$D$16+'Property Data'!$D$23)*(1+'Property Data'!$H$54)^(D$3-1)</f>
        <v>1373.9816666666668</v>
      </c>
      <c r="E31" s="841">
        <f>('Property Data'!$G$54/12)*('Property Data'!$D$9+'Property Data'!$D$16+'Property Data'!$D$23)*(1+'Property Data'!$H$54)^(E$3-1)</f>
        <v>1373.9816666666668</v>
      </c>
      <c r="F31" s="841">
        <f>('Property Data'!$G$54/12)*('Property Data'!$D$9+'Property Data'!$D$16+'Property Data'!$D$23)*(1+'Property Data'!$H$54)^(F$3-1)</f>
        <v>1373.9816666666668</v>
      </c>
      <c r="G31" s="841">
        <f>('Property Data'!$G$54/12)*('Property Data'!$D$9+'Property Data'!$D$16+'Property Data'!$D$23)*(1+'Property Data'!$H$54)^(G$3-1)</f>
        <v>1373.9816666666668</v>
      </c>
      <c r="H31" s="841">
        <f>('Property Data'!$G$54/12)*('Property Data'!$D$9+'Property Data'!$D$16+'Property Data'!$D$23)*(1+'Property Data'!$H$54)^(H$3-1)</f>
        <v>1373.9816666666668</v>
      </c>
      <c r="I31" s="841">
        <f>('Property Data'!$G$54/12)*('Property Data'!$D$9+'Property Data'!$D$16+'Property Data'!$D$23)*(1+'Property Data'!$H$54)^(I$3-1)</f>
        <v>1373.9816666666668</v>
      </c>
      <c r="J31" s="841">
        <f>('Property Data'!$G$54/12)*('Property Data'!$D$9+'Property Data'!$D$16+'Property Data'!$D$23)*(1+'Property Data'!$H$54)^(J$3-1)</f>
        <v>1373.9816666666668</v>
      </c>
      <c r="K31" s="841">
        <f>('Property Data'!$G$54/12)*('Property Data'!$D$9+'Property Data'!$D$16+'Property Data'!$D$23)*(1+'Property Data'!$H$54)^(K$3-1)</f>
        <v>1373.9816666666668</v>
      </c>
      <c r="L31" s="841">
        <f>('Property Data'!$G$54/12)*('Property Data'!$D$9+'Property Data'!$D$16+'Property Data'!$D$23)*(1+'Property Data'!$H$54)^(L$3-1)</f>
        <v>1373.9816666666668</v>
      </c>
      <c r="M31" s="841">
        <f>('Property Data'!$G$54/12)*('Property Data'!$D$9+'Property Data'!$D$16+'Property Data'!$D$23)*(1+'Property Data'!$H$54)^(M$3-1)</f>
        <v>1373.9816666666668</v>
      </c>
      <c r="N31" s="841">
        <f>('Property Data'!$G$54/12)*('Property Data'!$D$9+'Property Data'!$D$16+'Property Data'!$D$23)*(1+'Property Data'!$H$54)^(N$3-1)</f>
        <v>1373.9816666666668</v>
      </c>
      <c r="O31" s="841">
        <f>('Property Data'!$G$55/12)*('Property Data'!$D$9+'Property Data'!$D$16+'Property Data'!$D$23)*(1+'Property Data'!$H$55)^(O$3-1)</f>
        <v>2153.5669166666662</v>
      </c>
      <c r="P31" s="841">
        <f>('Property Data'!$G$55/12)*('Property Data'!$D$9+'Property Data'!$D$16+'Property Data'!$D$23)*(1+'Property Data'!$H$55)^(P$3-1)</f>
        <v>2153.5669166666662</v>
      </c>
      <c r="Q31" s="841">
        <f>('Property Data'!$G$55/12)*('Property Data'!$D$9+'Property Data'!$D$16+'Property Data'!$D$23)*(1+'Property Data'!$H$55)^(Q$3-1)</f>
        <v>2153.5669166666662</v>
      </c>
      <c r="R31" s="841">
        <f>('Property Data'!$G$55/12)*('Property Data'!$D$9+'Property Data'!$D$16+'Property Data'!$D$23)*(1+'Property Data'!$H$55)^(R$3-1)</f>
        <v>2153.5669166666662</v>
      </c>
      <c r="S31" s="841">
        <f>('Property Data'!$G$55/12)*('Property Data'!$D$9+'Property Data'!$D$16+'Property Data'!$D$23)*(1+'Property Data'!$H$55)^(S$3-1)</f>
        <v>2153.5669166666662</v>
      </c>
      <c r="T31" s="841">
        <f>('Property Data'!$G$55/12)*('Property Data'!$D$9+'Property Data'!$D$16+'Property Data'!$D$23)*(1+'Property Data'!$H$55)^(T$3-1)</f>
        <v>2153.5669166666662</v>
      </c>
      <c r="U31" s="841">
        <f>('Property Data'!$G$55/12)*('Property Data'!$D$9+'Property Data'!$D$16+'Property Data'!$D$23)*(1+'Property Data'!$H$55)^(U$3-1)</f>
        <v>2153.5669166666662</v>
      </c>
      <c r="V31" s="841">
        <f>('Property Data'!$G$55/12)*('Property Data'!$D$9+'Property Data'!$D$16+'Property Data'!$D$23)*(1+'Property Data'!$H$55)^(V$3-1)</f>
        <v>2153.5669166666662</v>
      </c>
      <c r="W31" s="841">
        <f>('Property Data'!$G$55/12)*('Property Data'!$D$9+'Property Data'!$D$16+'Property Data'!$D$23)*(1+'Property Data'!$H$55)^(W$3-1)</f>
        <v>2153.5669166666662</v>
      </c>
      <c r="X31" s="841">
        <f>('Property Data'!$G$55/12)*('Property Data'!$D$9+'Property Data'!$D$16+'Property Data'!$D$23)*(1+'Property Data'!$H$55)^(X$3-1)</f>
        <v>2153.5669166666662</v>
      </c>
      <c r="Y31" s="841">
        <f>('Property Data'!$G$55/12)*('Property Data'!$D$9+'Property Data'!$D$16+'Property Data'!$D$23)*(1+'Property Data'!$H$55)^(Y$3-1)</f>
        <v>2153.5669166666662</v>
      </c>
      <c r="Z31" s="841">
        <f>('Property Data'!$G$55/12)*('Property Data'!$D$9+'Property Data'!$D$16+'Property Data'!$D$23)*(1+'Property Data'!$H$55)^(Z$3-1)</f>
        <v>2153.5669166666662</v>
      </c>
      <c r="AA31" s="841">
        <f>('Property Data'!$G$55/12)*('Property Data'!$D$9+'Property Data'!$D$16+'Property Data'!$D$23)*(1+'Property Data'!$H$55)^(AA$3-1)</f>
        <v>2218.173924166666</v>
      </c>
      <c r="AB31" s="841">
        <f>('Property Data'!$G$55/12)*('Property Data'!$D$9+'Property Data'!$D$16+'Property Data'!$D$23)*(1+'Property Data'!$H$55)^(AB$3-1)</f>
        <v>2218.173924166666</v>
      </c>
      <c r="AC31" s="841">
        <f>('Property Data'!$G$55/12)*('Property Data'!$D$9+'Property Data'!$D$16+'Property Data'!$D$23)*(1+'Property Data'!$H$55)^(AC$3-1)</f>
        <v>2218.173924166666</v>
      </c>
      <c r="AD31" s="841">
        <f>('Property Data'!$G$55/12)*('Property Data'!$D$9+'Property Data'!$D$16+'Property Data'!$D$23)*(1+'Property Data'!$H$55)^(AD$3-1)</f>
        <v>2218.173924166666</v>
      </c>
      <c r="AE31" s="841">
        <f>('Property Data'!$G$55/12)*('Property Data'!$D$9+'Property Data'!$D$16+'Property Data'!$D$23)*(1+'Property Data'!$H$55)^(AE$3-1)</f>
        <v>2218.173924166666</v>
      </c>
      <c r="AF31" s="841">
        <f>('Property Data'!$G$55/12)*('Property Data'!$D$9+'Property Data'!$D$16+'Property Data'!$D$23)*(1+'Property Data'!$H$55)^(AF$3-1)</f>
        <v>2218.173924166666</v>
      </c>
      <c r="AG31" s="841">
        <f>('Property Data'!$G$55/12)*('Property Data'!$D$9+'Property Data'!$D$16+'Property Data'!$D$23)*(1+'Property Data'!$H$55)^(AG$3-1)</f>
        <v>2218.173924166666</v>
      </c>
      <c r="AH31" s="1097">
        <f>('Property Data'!$G$55/12)*('Property Data'!$D$9+'Property Data'!$D$16+'Property Data'!$D$23)*(1+'Property Data'!$H$55)^(AH$3-1)</f>
        <v>2218.173924166666</v>
      </c>
      <c r="AI31" s="841">
        <f>('Property Data'!$G$55/12)*('Property Data'!$D$9+'Property Data'!$D$16+'Property Data'!$D$23)*(1+'Property Data'!$H$55)^(AI$3-1)</f>
        <v>2218.173924166666</v>
      </c>
      <c r="AJ31" s="841">
        <f>('Property Data'!$G$55/12)*('Property Data'!$D$9+'Property Data'!$D$16+'Property Data'!$D$23)*(1+'Property Data'!$H$55)^(AJ$3-1)</f>
        <v>2218.173924166666</v>
      </c>
      <c r="AK31" s="841">
        <f>('Property Data'!$G$55/12)*('Property Data'!$D$9+'Property Data'!$D$16+'Property Data'!$D$23)*(1+'Property Data'!$H$55)^(AK$3-1)</f>
        <v>2218.173924166666</v>
      </c>
      <c r="AL31" s="841">
        <f>('Property Data'!$G$55/12)*('Property Data'!$D$9+'Property Data'!$D$16+'Property Data'!$D$23)*(1+'Property Data'!$H$55)^(AL$3-1)</f>
        <v>2218.173924166666</v>
      </c>
      <c r="AM31" s="841">
        <f>('Property Data'!$G$55/12)*('Property Data'!$D$9+'Property Data'!$D$16+'Property Data'!$D$23)*(1+'Property Data'!$H$55)^(AM$3-1)</f>
        <v>2284.7191418916664</v>
      </c>
      <c r="AN31" s="841">
        <f>('Property Data'!$G$55/12)*('Property Data'!$D$9+'Property Data'!$D$16+'Property Data'!$D$23)*(1+'Property Data'!$H$55)^(AN$3-1)</f>
        <v>2284.7191418916664</v>
      </c>
      <c r="AO31" s="841">
        <f>('Property Data'!$G$55/12)*('Property Data'!$D$9+'Property Data'!$D$16+'Property Data'!$D$23)*(1+'Property Data'!$H$55)^(AO$3-1)</f>
        <v>2284.7191418916664</v>
      </c>
      <c r="AP31" s="841">
        <f>('Property Data'!$G$55/12)*('Property Data'!$D$9+'Property Data'!$D$16+'Property Data'!$D$23)*(1+'Property Data'!$H$55)^(AP$3-1)</f>
        <v>2284.7191418916664</v>
      </c>
      <c r="AQ31" s="841">
        <f>('Property Data'!$G$55/12)*('Property Data'!$D$9+'Property Data'!$D$16+'Property Data'!$D$23)*(1+'Property Data'!$H$55)^(AQ$3-1)</f>
        <v>2284.7191418916664</v>
      </c>
      <c r="AR31" s="841">
        <f>('Property Data'!$G$55/12)*('Property Data'!$D$9+'Property Data'!$D$16+'Property Data'!$D$23)*(1+'Property Data'!$H$55)^(AR$3-1)</f>
        <v>2284.7191418916664</v>
      </c>
      <c r="AS31" s="841">
        <f>('Property Data'!$G$55/12)*('Property Data'!$D$9+'Property Data'!$D$16+'Property Data'!$D$23)*(1+'Property Data'!$H$55)^(AS$3-1)</f>
        <v>2284.7191418916664</v>
      </c>
      <c r="AT31" s="841">
        <f>('Property Data'!$G$55/12)*('Property Data'!$D$9+'Property Data'!$D$16+'Property Data'!$D$23)*(1+'Property Data'!$H$55)^(AT$3-1)</f>
        <v>2284.7191418916664</v>
      </c>
      <c r="AU31" s="841">
        <f>('Property Data'!$G$55/12)*('Property Data'!$D$9+'Property Data'!$D$16+'Property Data'!$D$23)*(1+'Property Data'!$H$55)^(AU$3-1)</f>
        <v>2284.7191418916664</v>
      </c>
      <c r="AV31" s="841">
        <f>('Property Data'!$G$55/12)*('Property Data'!$D$9+'Property Data'!$D$16+'Property Data'!$D$23)*(1+'Property Data'!$H$55)^(AV$3-1)</f>
        <v>2284.7191418916664</v>
      </c>
      <c r="AW31" s="841">
        <f>('Property Data'!$G$55/12)*('Property Data'!$D$9+'Property Data'!$D$16+'Property Data'!$D$23)*(1+'Property Data'!$H$55)^(AW$3-1)</f>
        <v>2284.7191418916664</v>
      </c>
      <c r="AX31" s="841">
        <f>('Property Data'!$G$55/12)*('Property Data'!$D$9+'Property Data'!$D$16+'Property Data'!$D$23)*(1+'Property Data'!$H$55)^(AX$3-1)</f>
        <v>2284.7191418916664</v>
      </c>
      <c r="AY31" s="841">
        <f>('Property Data'!$G$55/12)*('Property Data'!$D$9+'Property Data'!$D$16+'Property Data'!$D$23)*(1+'Property Data'!$H$55)^(AY$3-1)</f>
        <v>2353.2607161484161</v>
      </c>
      <c r="AZ31" s="841">
        <f>('Property Data'!$G$55/12)*('Property Data'!$D$9+'Property Data'!$D$16+'Property Data'!$D$23)*(1+'Property Data'!$H$55)^(AZ$3-1)</f>
        <v>2353.2607161484161</v>
      </c>
      <c r="BA31" s="841">
        <f>('Property Data'!$G$55/12)*('Property Data'!$D$9+'Property Data'!$D$16+'Property Data'!$D$23)*(1+'Property Data'!$H$55)^(BA$3-1)</f>
        <v>2353.2607161484161</v>
      </c>
      <c r="BB31" s="841">
        <f>('Property Data'!$G$55/12)*('Property Data'!$D$9+'Property Data'!$D$16+'Property Data'!$D$23)*(1+'Property Data'!$H$55)^(BB$3-1)</f>
        <v>2353.2607161484161</v>
      </c>
      <c r="BC31" s="841">
        <f>('Property Data'!$G$55/12)*('Property Data'!$D$9+'Property Data'!$D$16+'Property Data'!$D$23)*(1+'Property Data'!$H$55)^(BC$3-1)</f>
        <v>2353.2607161484161</v>
      </c>
      <c r="BD31" s="841">
        <f>('Property Data'!$G$55/12)*('Property Data'!$D$9+'Property Data'!$D$16+'Property Data'!$D$23)*(1+'Property Data'!$H$55)^(BD$3-1)</f>
        <v>2353.2607161484161</v>
      </c>
      <c r="BE31" s="841">
        <f>('Property Data'!$G$55/12)*('Property Data'!$D$9+'Property Data'!$D$16+'Property Data'!$D$23)*(1+'Property Data'!$H$55)^(BE$3-1)</f>
        <v>2353.2607161484161</v>
      </c>
      <c r="BF31" s="841">
        <f>('Property Data'!$G$55/12)*('Property Data'!$D$9+'Property Data'!$D$16+'Property Data'!$D$23)*(1+'Property Data'!$H$55)^(BF$3-1)</f>
        <v>2353.2607161484161</v>
      </c>
      <c r="BG31" s="841">
        <f>('Property Data'!$G$55/12)*('Property Data'!$D$9+'Property Data'!$D$16+'Property Data'!$D$23)*(1+'Property Data'!$H$55)^(BG$3-1)</f>
        <v>2353.2607161484161</v>
      </c>
      <c r="BH31" s="841">
        <f>('Property Data'!$G$55/12)*('Property Data'!$D$9+'Property Data'!$D$16+'Property Data'!$D$23)*(1+'Property Data'!$H$55)^(BH$3-1)</f>
        <v>2353.2607161484161</v>
      </c>
      <c r="BI31" s="841">
        <f>('Property Data'!$G$55/12)*('Property Data'!$D$9+'Property Data'!$D$16+'Property Data'!$D$23)*(1+'Property Data'!$H$55)^(BI$3-1)</f>
        <v>2353.2607161484161</v>
      </c>
      <c r="BJ31" s="841">
        <f>('Property Data'!$G$55/12)*('Property Data'!$D$9+'Property Data'!$D$16+'Property Data'!$D$23)*(1+'Property Data'!$H$55)^(BJ$3-1)</f>
        <v>2353.2607161484161</v>
      </c>
    </row>
    <row r="32" spans="2:62">
      <c r="B32" s="401" t="s">
        <v>828</v>
      </c>
      <c r="C32" s="841">
        <f>+(C18-C15)*'Property Data'!$G$56</f>
        <v>65.40947338128602</v>
      </c>
      <c r="D32" s="841">
        <f>+(D18-D15)*'Property Data'!$G$56</f>
        <v>145.20985458921567</v>
      </c>
      <c r="E32" s="841">
        <f>+(E18-E15)*'Property Data'!$G$56</f>
        <v>246.32491268475326</v>
      </c>
      <c r="F32" s="841">
        <f>+(F18-F15)*'Property Data'!$G$56</f>
        <v>341.4641070742573</v>
      </c>
      <c r="G32" s="841">
        <f>+(G18-G15)*'Property Data'!$G$56</f>
        <v>440.49965355109015</v>
      </c>
      <c r="H32" s="841">
        <f>+(H18-H15)*'Property Data'!$G$56</f>
        <v>545.00171785233533</v>
      </c>
      <c r="I32" s="841">
        <f>+(I18-I15)*'Property Data'!$G$56</f>
        <v>670.31007629796352</v>
      </c>
      <c r="J32" s="841">
        <f>+(J18-J15)*'Property Data'!$G$56</f>
        <v>806.20922385076608</v>
      </c>
      <c r="K32" s="841">
        <f>+(K18-K15)*'Property Data'!$G$56</f>
        <v>952.54829303636404</v>
      </c>
      <c r="L32" s="841">
        <f>+(L18-L15)*'Property Data'!$G$56</f>
        <v>1119.8235996021544</v>
      </c>
      <c r="M32" s="841">
        <f>+(M18-M15)*'Property Data'!$G$56</f>
        <v>1292.6754652400191</v>
      </c>
      <c r="N32" s="841">
        <f>+(N18-N15)*'Property Data'!$G$56</f>
        <v>1474.4077558853214</v>
      </c>
      <c r="O32" s="841">
        <f>+(O18-O15)*'Property Data'!$G$56</f>
        <v>1630.7375308724656</v>
      </c>
      <c r="P32" s="841">
        <f>+(P18-P15)*'Property Data'!$G$56</f>
        <v>1746.9758799021085</v>
      </c>
      <c r="Q32" s="841">
        <f>+(Q18-Q15)*'Property Data'!$G$56</f>
        <v>1864.5952027220883</v>
      </c>
      <c r="R32" s="841">
        <f>+(R18-R15)*'Property Data'!$G$56</f>
        <v>1985.0960211611371</v>
      </c>
      <c r="S32" s="841">
        <f>+(S18-S15)*'Property Data'!$G$56</f>
        <v>2093.3429959440437</v>
      </c>
      <c r="T32" s="841">
        <f>+(T18-T15)*'Property Data'!$G$56</f>
        <v>2212.5969735726271</v>
      </c>
      <c r="U32" s="841">
        <f>+(U18-U15)*'Property Data'!$G$56</f>
        <v>2316.0768196214985</v>
      </c>
      <c r="V32" s="841">
        <f>+(V18-V15)*'Property Data'!$G$56</f>
        <v>2437.4000706600318</v>
      </c>
      <c r="W32" s="841">
        <f>+(W18-W15)*'Property Data'!$G$56</f>
        <v>2561.1856397468432</v>
      </c>
      <c r="X32" s="841">
        <f>+(X18-X15)*'Property Data'!$G$56</f>
        <v>2715.9595975243619</v>
      </c>
      <c r="Y32" s="841">
        <f>+(Y18-Y15)*'Property Data'!$G$56</f>
        <v>2859.7449145441306</v>
      </c>
      <c r="Z32" s="841">
        <f>+(Z18-Z15)*'Property Data'!$G$56</f>
        <v>2911.3027967795347</v>
      </c>
      <c r="AA32" s="841">
        <f>+(AA18-AA15)*'Property Data'!$G$56</f>
        <v>2926.8131524481209</v>
      </c>
      <c r="AB32" s="841">
        <f>+(AB18-AB15)*'Property Data'!$G$56</f>
        <v>2932.7582788648474</v>
      </c>
      <c r="AC32" s="841">
        <f>+(AC18-AC15)*'Property Data'!$G$56</f>
        <v>2924.2915389934133</v>
      </c>
      <c r="AD32" s="841">
        <f>+(AD18-AD15)*'Property Data'!$G$56</f>
        <v>2949.2122053282892</v>
      </c>
      <c r="AE32" s="841">
        <f>+(AE18-AE15)*'Property Data'!$G$56</f>
        <v>2996.906759469578</v>
      </c>
      <c r="AF32" s="841">
        <f>+(AF18-AF15)*'Property Data'!$G$56</f>
        <v>3036.096631058007</v>
      </c>
      <c r="AG32" s="841">
        <f>+(AG18-AG15)*'Property Data'!$G$56</f>
        <v>3082.2809657402599</v>
      </c>
      <c r="AH32" s="1097">
        <f>+(AH18-AH15)*'Property Data'!$G$56</f>
        <v>3129.4605969124782</v>
      </c>
      <c r="AI32" s="841">
        <f>+(AI18-AI15)*'Property Data'!$G$56</f>
        <v>3192.524036670176</v>
      </c>
      <c r="AJ32" s="841">
        <f>+(AJ18-AJ15)*'Property Data'!$G$56</f>
        <v>3217.9198137119693</v>
      </c>
      <c r="AK32" s="841">
        <f>+(AK18-AK15)*'Property Data'!$G$56</f>
        <v>3245.0210656418772</v>
      </c>
      <c r="AL32" s="841">
        <f>+(AL18-AL15)*'Property Data'!$G$56</f>
        <v>3264.2168656509784</v>
      </c>
      <c r="AM32" s="841">
        <f>+(AM18-AM15)*'Property Data'!$G$56</f>
        <v>3273.7386155349914</v>
      </c>
      <c r="AN32" s="841">
        <f>+(AN18-AN15)*'Property Data'!$G$56</f>
        <v>3266.5800341469803</v>
      </c>
      <c r="AO32" s="841">
        <f>+(AO18-AO15)*'Property Data'!$G$56</f>
        <v>3246.3868025525253</v>
      </c>
      <c r="AP32" s="841">
        <f>+(AP18-AP15)*'Property Data'!$G$56</f>
        <v>3260.0985625454091</v>
      </c>
      <c r="AQ32" s="841">
        <f>+(AQ18-AQ15)*'Property Data'!$G$56</f>
        <v>3296.6831385876071</v>
      </c>
      <c r="AR32" s="841">
        <f>+(AR18-AR15)*'Property Data'!$G$56</f>
        <v>3334.7467336614914</v>
      </c>
      <c r="AS32" s="841">
        <f>+(AS18-AS15)*'Property Data'!$G$56</f>
        <v>3379.2578669159843</v>
      </c>
      <c r="AT32" s="841">
        <f>+(AT18-AT15)*'Property Data'!$G$56</f>
        <v>3430.1909555780867</v>
      </c>
      <c r="AU32" s="841">
        <f>+(AU18-AU15)*'Property Data'!$G$56</f>
        <v>3473.8192059110543</v>
      </c>
      <c r="AV32" s="841">
        <f>+(AV18-AV15)*'Property Data'!$G$56</f>
        <v>3495.0383164792829</v>
      </c>
      <c r="AW32" s="841">
        <f>+(AW18-AW15)*'Property Data'!$G$56</f>
        <v>3519.1937346109471</v>
      </c>
      <c r="AX32" s="841">
        <f>+(AX18-AX15)*'Property Data'!$G$56</f>
        <v>3533.565210604499</v>
      </c>
      <c r="AY32" s="841">
        <f>+(AY18-AY15)*'Property Data'!$G$56</f>
        <v>3539.5761506875842</v>
      </c>
      <c r="AZ32" s="841">
        <f>+(AZ18-AZ15)*'Property Data'!$G$56</f>
        <v>3533.4023880271375</v>
      </c>
      <c r="BA32" s="841">
        <f>+(BA18-BA15)*'Property Data'!$G$56</f>
        <v>3513.8597690788342</v>
      </c>
      <c r="BB32" s="841">
        <f>+(BB18-BB15)*'Property Data'!$G$56</f>
        <v>3530.4554471214619</v>
      </c>
      <c r="BC32" s="841">
        <f>+(BC18-BC15)*'Property Data'!$G$56</f>
        <v>3565.698849569304</v>
      </c>
      <c r="BD32" s="841">
        <f>+(BD18-BD15)*'Property Data'!$G$56</f>
        <v>3607.6895286608415</v>
      </c>
      <c r="BE32" s="841">
        <f>+(BE18-BE15)*'Property Data'!$G$56</f>
        <v>3656.2788292652144</v>
      </c>
      <c r="BF32" s="841">
        <f>+(BF18-BF15)*'Property Data'!$G$56</f>
        <v>3706.4722513612624</v>
      </c>
      <c r="BG32" s="841">
        <f>+(BG18-BG15)*'Property Data'!$G$56</f>
        <v>3754.2663634825863</v>
      </c>
      <c r="BH32" s="841">
        <f>+(BH18-BH15)*'Property Data'!$G$56</f>
        <v>3779.1355802155776</v>
      </c>
      <c r="BI32" s="841">
        <f>+(BI18-BI15)*'Property Data'!$G$56</f>
        <v>3803.4761962358543</v>
      </c>
      <c r="BJ32" s="841">
        <f>+(BJ18-BJ15)*'Property Data'!$G$56</f>
        <v>3819.601716608925</v>
      </c>
    </row>
    <row r="33" spans="2:62">
      <c r="B33" s="401" t="s">
        <v>829</v>
      </c>
      <c r="C33" s="841">
        <f>+('Property Data'!$G$57*(1+'Property Data'!$H$57)^(C$3-1))*C$10</f>
        <v>4125.8045319738703</v>
      </c>
      <c r="D33" s="841">
        <f>+('Property Data'!$G$57*(1+'Property Data'!$H$57)^(D$3-1))*D$10</f>
        <v>3675</v>
      </c>
      <c r="E33" s="841">
        <f>+('Property Data'!$G$57*(1+'Property Data'!$H$57)^(E$3-1))*E$10</f>
        <v>3465</v>
      </c>
      <c r="F33" s="841">
        <f>+('Property Data'!$G$57*(1+'Property Data'!$H$57)^(F$3-1))*F$10</f>
        <v>3570</v>
      </c>
      <c r="G33" s="841">
        <f>+('Property Data'!$G$57*(1+'Property Data'!$H$57)^(G$3-1))*G$10</f>
        <v>3780</v>
      </c>
      <c r="H33" s="841">
        <f>+('Property Data'!$G$57*(1+'Property Data'!$H$57)^(H$3-1))*H$10</f>
        <v>3885</v>
      </c>
      <c r="I33" s="841">
        <f>+('Property Data'!$G$57*(1+'Property Data'!$H$57)^(I$3-1))*I$10</f>
        <v>4095</v>
      </c>
      <c r="J33" s="841">
        <f>+('Property Data'!$G$57*(1+'Property Data'!$H$57)^(J$3-1))*J$10</f>
        <v>4410</v>
      </c>
      <c r="K33" s="841">
        <f>+('Property Data'!$G$57*(1+'Property Data'!$H$57)^(K$3-1))*K$10</f>
        <v>4935</v>
      </c>
      <c r="L33" s="841">
        <f>+('Property Data'!$G$57*(1+'Property Data'!$H$57)^(L$3-1))*L$10</f>
        <v>5460</v>
      </c>
      <c r="M33" s="841">
        <f>+('Property Data'!$G$57*(1+'Property Data'!$H$57)^(M$3-1))*M$10</f>
        <v>5985</v>
      </c>
      <c r="N33" s="841">
        <f>+('Property Data'!$G$57*(1+'Property Data'!$H$57)^(N$3-1))*N$10</f>
        <v>5145</v>
      </c>
      <c r="O33" s="841">
        <f>+('Property Data'!$G$57*(1+'Property Data'!$H$57)^(O$3-1))*O$10</f>
        <v>4650.45</v>
      </c>
      <c r="P33" s="841">
        <f>+('Property Data'!$G$57*(1+'Property Data'!$H$57)^(P$3-1))*P$10</f>
        <v>4542.3</v>
      </c>
      <c r="Q33" s="841">
        <f>+('Property Data'!$G$57*(1+'Property Data'!$H$57)^(Q$3-1))*Q$10</f>
        <v>4217.8500000000004</v>
      </c>
      <c r="R33" s="841">
        <f>+('Property Data'!$G$57*(1+'Property Data'!$H$57)^(R$3-1))*R$10</f>
        <v>4434.1500000000005</v>
      </c>
      <c r="S33" s="841">
        <f>+('Property Data'!$G$57*(1+'Property Data'!$H$57)^(S$3-1))*S$10</f>
        <v>4650.45</v>
      </c>
      <c r="T33" s="841">
        <f>+('Property Data'!$G$57*(1+'Property Data'!$H$57)^(T$3-1))*T$10</f>
        <v>4758.6000000000004</v>
      </c>
      <c r="U33" s="841">
        <f>+('Property Data'!$G$57*(1+'Property Data'!$H$57)^(U$3-1))*U$10</f>
        <v>5083.05</v>
      </c>
      <c r="V33" s="841">
        <f>+('Property Data'!$G$57*(1+'Property Data'!$H$57)^(V$3-1))*V$10</f>
        <v>5191.2000000000007</v>
      </c>
      <c r="W33" s="841">
        <f>+('Property Data'!$G$57*(1+'Property Data'!$H$57)^(W$3-1))*W$10</f>
        <v>5731.9500000000007</v>
      </c>
      <c r="X33" s="841">
        <f>+('Property Data'!$G$57*(1+'Property Data'!$H$57)^(X$3-1))*X$10</f>
        <v>5948.25</v>
      </c>
      <c r="Y33" s="841">
        <f>+('Property Data'!$G$57*(1+'Property Data'!$H$57)^(Y$3-1))*Y$10</f>
        <v>6272.7000000000007</v>
      </c>
      <c r="Z33" s="841">
        <f>+('Property Data'!$G$57*(1+'Property Data'!$H$57)^(Z$3-1))*Z$10</f>
        <v>3785.25</v>
      </c>
      <c r="AA33" s="841">
        <f>+('Property Data'!$G$57*(1+'Property Data'!$H$57)^(AA$3-1))*AA$10</f>
        <v>3676.0184999999997</v>
      </c>
      <c r="AB33" s="841">
        <f>+('Property Data'!$G$57*(1+'Property Data'!$H$57)^(AB$3-1))*AB$10</f>
        <v>3453.2294999999999</v>
      </c>
      <c r="AC33" s="841">
        <f>+('Property Data'!$G$57*(1+'Property Data'!$H$57)^(AC$3-1))*AC$10</f>
        <v>3119.0459999999998</v>
      </c>
      <c r="AD33" s="841">
        <f>+('Property Data'!$G$57*(1+'Property Data'!$H$57)^(AD$3-1))*AD$10</f>
        <v>3787.4129999999996</v>
      </c>
      <c r="AE33" s="841">
        <f>+('Property Data'!$G$57*(1+'Property Data'!$H$57)^(AE$3-1))*AE$10</f>
        <v>4344.3854999999994</v>
      </c>
      <c r="AF33" s="841">
        <f>+('Property Data'!$G$57*(1+'Property Data'!$H$57)^(AF$3-1))*AF$10</f>
        <v>4344.3854999999994</v>
      </c>
      <c r="AG33" s="841">
        <f>+('Property Data'!$G$57*(1+'Property Data'!$H$57)^(AG$3-1))*AG$10</f>
        <v>4567.1745000000001</v>
      </c>
      <c r="AH33" s="1097">
        <f>+('Property Data'!$G$57*(1+'Property Data'!$H$57)^(AH$3-1))*AH$10</f>
        <v>4567.1745000000001</v>
      </c>
      <c r="AI33" s="841">
        <f>+('Property Data'!$G$57*(1+'Property Data'!$H$57)^(AI$3-1))*AI$10</f>
        <v>4901.3580000000002</v>
      </c>
      <c r="AJ33" s="841">
        <f>+('Property Data'!$G$57*(1+'Property Data'!$H$57)^(AJ$3-1))*AJ$10</f>
        <v>4232.991</v>
      </c>
      <c r="AK33" s="841">
        <f>+('Property Data'!$G$57*(1+'Property Data'!$H$57)^(AK$3-1))*AK$10</f>
        <v>4232.991</v>
      </c>
      <c r="AL33" s="841">
        <f>+('Property Data'!$G$57*(1+'Property Data'!$H$57)^(AL$3-1))*AL$10</f>
        <v>3898.8074999999999</v>
      </c>
      <c r="AM33" s="841">
        <f>+('Property Data'!$G$57*(1+'Property Data'!$H$57)^(AM$3-1))*AM$10</f>
        <v>3786.299055</v>
      </c>
      <c r="AN33" s="841">
        <f>+('Property Data'!$G$57*(1+'Property Data'!$H$57)^(AN$3-1))*AN$10</f>
        <v>3556.8263849999998</v>
      </c>
      <c r="AO33" s="841">
        <f>+('Property Data'!$G$57*(1+'Property Data'!$H$57)^(AO$3-1))*AO$10</f>
        <v>3212.6173799999997</v>
      </c>
      <c r="AP33" s="841">
        <f>+('Property Data'!$G$57*(1+'Property Data'!$H$57)^(AP$3-1))*AP$10</f>
        <v>3901.03539</v>
      </c>
      <c r="AQ33" s="841">
        <f>+('Property Data'!$G$57*(1+'Property Data'!$H$57)^(AQ$3-1))*AQ$10</f>
        <v>4474.7170649999998</v>
      </c>
      <c r="AR33" s="841">
        <f>+('Property Data'!$G$57*(1+'Property Data'!$H$57)^(AR$3-1))*AR$10</f>
        <v>4474.7170649999998</v>
      </c>
      <c r="AS33" s="841">
        <f>+('Property Data'!$G$57*(1+'Property Data'!$H$57)^(AS$3-1))*AS$10</f>
        <v>4589.4534000000003</v>
      </c>
      <c r="AT33" s="841">
        <f>+('Property Data'!$G$57*(1+'Property Data'!$H$57)^(AT$3-1))*AT$10</f>
        <v>4818.9260699999995</v>
      </c>
      <c r="AU33" s="841">
        <f>+('Property Data'!$G$57*(1+'Property Data'!$H$57)^(AU$3-1))*AU$10</f>
        <v>4704.1897349999999</v>
      </c>
      <c r="AV33" s="841">
        <f>+('Property Data'!$G$57*(1+'Property Data'!$H$57)^(AV$3-1))*AV$10</f>
        <v>4245.2443949999997</v>
      </c>
      <c r="AW33" s="841">
        <f>+('Property Data'!$G$57*(1+'Property Data'!$H$57)^(AW$3-1))*AW$10</f>
        <v>4359.9807300000002</v>
      </c>
      <c r="AX33" s="841">
        <f>+('Property Data'!$G$57*(1+'Property Data'!$H$57)^(AX$3-1))*AX$10</f>
        <v>4015.7717250000001</v>
      </c>
      <c r="AY33" s="841">
        <f>+('Property Data'!$G$57*(1+'Property Data'!$H$57)^(AY$3-1))*AY$10</f>
        <v>3899.8880266499996</v>
      </c>
      <c r="AZ33" s="841">
        <f>+('Property Data'!$G$57*(1+'Property Data'!$H$57)^(AZ$3-1))*AZ$10</f>
        <v>3663.5311765499996</v>
      </c>
      <c r="BA33" s="841">
        <f>+('Property Data'!$G$57*(1+'Property Data'!$H$57)^(BA$3-1))*BA$10</f>
        <v>3308.9959013999996</v>
      </c>
      <c r="BB33" s="841">
        <f>+('Property Data'!$G$57*(1+'Property Data'!$H$57)^(BB$3-1))*BB$10</f>
        <v>4136.2448767499991</v>
      </c>
      <c r="BC33" s="841">
        <f>+('Property Data'!$G$57*(1+'Property Data'!$H$57)^(BC$3-1))*BC$10</f>
        <v>4490.7801518999995</v>
      </c>
      <c r="BD33" s="841">
        <f>+('Property Data'!$G$57*(1+'Property Data'!$H$57)^(BD$3-1))*BD$10</f>
        <v>4608.958576949999</v>
      </c>
      <c r="BE33" s="841">
        <f>+('Property Data'!$G$57*(1+'Property Data'!$H$57)^(BE$3-1))*BE$10</f>
        <v>4845.3154270499999</v>
      </c>
      <c r="BF33" s="841">
        <f>+('Property Data'!$G$57*(1+'Property Data'!$H$57)^(BF$3-1))*BF$10</f>
        <v>4845.3154270499999</v>
      </c>
      <c r="BG33" s="841">
        <f>+('Property Data'!$G$57*(1+'Property Data'!$H$57)^(BG$3-1))*BG$10</f>
        <v>4845.3154270499999</v>
      </c>
      <c r="BH33" s="841">
        <f>+('Property Data'!$G$57*(1+'Property Data'!$H$57)^(BH$3-1))*BH$10</f>
        <v>4490.7801518999995</v>
      </c>
      <c r="BI33" s="841">
        <f>+('Property Data'!$G$57*(1+'Property Data'!$H$57)^(BI$3-1))*BI$10</f>
        <v>4490.7801518999995</v>
      </c>
      <c r="BJ33" s="841">
        <f>+('Property Data'!$G$57*(1+'Property Data'!$H$57)^(BJ$3-1))*BJ$10</f>
        <v>4136.2448767499991</v>
      </c>
    </row>
    <row r="34" spans="2:62">
      <c r="B34" s="401" t="s">
        <v>830</v>
      </c>
      <c r="C34" s="841">
        <f>'Property Data'!$G$58*(1+'Property Data'!$H$58)^(C$3-1)</f>
        <v>400</v>
      </c>
      <c r="D34" s="841">
        <f>'Property Data'!$G$58*(1+'Property Data'!$H$58)^(D$3-1)</f>
        <v>400</v>
      </c>
      <c r="E34" s="841">
        <f>'Property Data'!$G$58*(1+'Property Data'!$H$58)^(E$3-1)</f>
        <v>400</v>
      </c>
      <c r="F34" s="841">
        <f>'Property Data'!$G$58*(1+'Property Data'!$H$58)^(F$3-1)</f>
        <v>400</v>
      </c>
      <c r="G34" s="841">
        <f>'Property Data'!$G$58*(1+'Property Data'!$H$58)^(G$3-1)</f>
        <v>400</v>
      </c>
      <c r="H34" s="841">
        <f>'Property Data'!$G$58*(1+'Property Data'!$H$58)^(H$3-1)</f>
        <v>400</v>
      </c>
      <c r="I34" s="841">
        <f>'Property Data'!$G$58*(1+'Property Data'!$H$58)^(I$3-1)</f>
        <v>400</v>
      </c>
      <c r="J34" s="841">
        <f>'Property Data'!$G$58*(1+'Property Data'!$H$58)^(J$3-1)</f>
        <v>400</v>
      </c>
      <c r="K34" s="841">
        <f>'Property Data'!$G$58*(1+'Property Data'!$H$58)^(K$3-1)</f>
        <v>400</v>
      </c>
      <c r="L34" s="841">
        <f>'Property Data'!$G$58*(1+'Property Data'!$H$58)^(L$3-1)</f>
        <v>400</v>
      </c>
      <c r="M34" s="841">
        <f>'Property Data'!$G$58*(1+'Property Data'!$H$58)^(M$3-1)</f>
        <v>400</v>
      </c>
      <c r="N34" s="841">
        <f>'Property Data'!$G$58*(1+'Property Data'!$H$58)^(N$3-1)</f>
        <v>400</v>
      </c>
      <c r="O34" s="841">
        <f>'Property Data'!$G$58*(1+'Property Data'!$H$58)^(O$3-1)</f>
        <v>412</v>
      </c>
      <c r="P34" s="841">
        <f>'Property Data'!$G$58*(1+'Property Data'!$H$58)^(P$3-1)</f>
        <v>412</v>
      </c>
      <c r="Q34" s="841">
        <f>'Property Data'!$G$58*(1+'Property Data'!$H$58)^(Q$3-1)</f>
        <v>412</v>
      </c>
      <c r="R34" s="841">
        <f>'Property Data'!$G$58*(1+'Property Data'!$H$58)^(R$3-1)</f>
        <v>412</v>
      </c>
      <c r="S34" s="841">
        <f>'Property Data'!$G$58*(1+'Property Data'!$H$58)^(S$3-1)</f>
        <v>412</v>
      </c>
      <c r="T34" s="841">
        <f>'Property Data'!$G$58*(1+'Property Data'!$H$58)^(T$3-1)</f>
        <v>412</v>
      </c>
      <c r="U34" s="841">
        <f>'Property Data'!$G$58*(1+'Property Data'!$H$58)^(U$3-1)</f>
        <v>412</v>
      </c>
      <c r="V34" s="841">
        <f>'Property Data'!$G$58*(1+'Property Data'!$H$58)^(V$3-1)</f>
        <v>412</v>
      </c>
      <c r="W34" s="841">
        <f>'Property Data'!$G$58*(1+'Property Data'!$H$58)^(W$3-1)</f>
        <v>412</v>
      </c>
      <c r="X34" s="841">
        <f>'Property Data'!$G$58*(1+'Property Data'!$H$58)^(X$3-1)</f>
        <v>412</v>
      </c>
      <c r="Y34" s="841">
        <f>'Property Data'!$G$58*(1+'Property Data'!$H$58)^(Y$3-1)</f>
        <v>412</v>
      </c>
      <c r="Z34" s="841">
        <f>'Property Data'!$G$58*(1+'Property Data'!$H$58)^(Z$3-1)</f>
        <v>412</v>
      </c>
      <c r="AA34" s="841">
        <f>'Property Data'!$G$58*(1+'Property Data'!$H$58)^(AA$3-1)</f>
        <v>424.35999999999996</v>
      </c>
      <c r="AB34" s="841">
        <f>'Property Data'!$G$58*(1+'Property Data'!$H$58)^(AB$3-1)</f>
        <v>424.35999999999996</v>
      </c>
      <c r="AC34" s="841">
        <f>'Property Data'!$G$58*(1+'Property Data'!$H$58)^(AC$3-1)</f>
        <v>424.35999999999996</v>
      </c>
      <c r="AD34" s="841">
        <f>'Property Data'!$G$58*(1+'Property Data'!$H$58)^(AD$3-1)</f>
        <v>424.35999999999996</v>
      </c>
      <c r="AE34" s="841">
        <f>'Property Data'!$G$58*(1+'Property Data'!$H$58)^(AE$3-1)</f>
        <v>424.35999999999996</v>
      </c>
      <c r="AF34" s="841">
        <f>'Property Data'!$G$58*(1+'Property Data'!$H$58)^(AF$3-1)</f>
        <v>424.35999999999996</v>
      </c>
      <c r="AG34" s="841">
        <f>'Property Data'!$G$58*(1+'Property Data'!$H$58)^(AG$3-1)</f>
        <v>424.35999999999996</v>
      </c>
      <c r="AH34" s="1097">
        <f>'Property Data'!$G$58*(1+'Property Data'!$H$58)^(AH$3-1)</f>
        <v>424.35999999999996</v>
      </c>
      <c r="AI34" s="841">
        <f>'Property Data'!$G$58*(1+'Property Data'!$H$58)^(AI$3-1)</f>
        <v>424.35999999999996</v>
      </c>
      <c r="AJ34" s="841">
        <f>'Property Data'!$G$58*(1+'Property Data'!$H$58)^(AJ$3-1)</f>
        <v>424.35999999999996</v>
      </c>
      <c r="AK34" s="841">
        <f>'Property Data'!$G$58*(1+'Property Data'!$H$58)^(AK$3-1)</f>
        <v>424.35999999999996</v>
      </c>
      <c r="AL34" s="841">
        <f>'Property Data'!$G$58*(1+'Property Data'!$H$58)^(AL$3-1)</f>
        <v>424.35999999999996</v>
      </c>
      <c r="AM34" s="841">
        <f>'Property Data'!$G$58*(1+'Property Data'!$H$58)^(AM$3-1)</f>
        <v>437.0908</v>
      </c>
      <c r="AN34" s="841">
        <f>'Property Data'!$G$58*(1+'Property Data'!$H$58)^(AN$3-1)</f>
        <v>437.0908</v>
      </c>
      <c r="AO34" s="841">
        <f>'Property Data'!$G$58*(1+'Property Data'!$H$58)^(AO$3-1)</f>
        <v>437.0908</v>
      </c>
      <c r="AP34" s="841">
        <f>'Property Data'!$G$58*(1+'Property Data'!$H$58)^(AP$3-1)</f>
        <v>437.0908</v>
      </c>
      <c r="AQ34" s="841">
        <f>'Property Data'!$G$58*(1+'Property Data'!$H$58)^(AQ$3-1)</f>
        <v>437.0908</v>
      </c>
      <c r="AR34" s="841">
        <f>'Property Data'!$G$58*(1+'Property Data'!$H$58)^(AR$3-1)</f>
        <v>437.0908</v>
      </c>
      <c r="AS34" s="841">
        <f>'Property Data'!$G$58*(1+'Property Data'!$H$58)^(AS$3-1)</f>
        <v>437.0908</v>
      </c>
      <c r="AT34" s="841">
        <f>'Property Data'!$G$58*(1+'Property Data'!$H$58)^(AT$3-1)</f>
        <v>437.0908</v>
      </c>
      <c r="AU34" s="841">
        <f>'Property Data'!$G$58*(1+'Property Data'!$H$58)^(AU$3-1)</f>
        <v>437.0908</v>
      </c>
      <c r="AV34" s="841">
        <f>'Property Data'!$G$58*(1+'Property Data'!$H$58)^(AV$3-1)</f>
        <v>437.0908</v>
      </c>
      <c r="AW34" s="841">
        <f>'Property Data'!$G$58*(1+'Property Data'!$H$58)^(AW$3-1)</f>
        <v>437.0908</v>
      </c>
      <c r="AX34" s="841">
        <f>'Property Data'!$G$58*(1+'Property Data'!$H$58)^(AX$3-1)</f>
        <v>437.0908</v>
      </c>
      <c r="AY34" s="841">
        <f>'Property Data'!$G$58*(1+'Property Data'!$H$58)^(AY$3-1)</f>
        <v>450.20352399999996</v>
      </c>
      <c r="AZ34" s="841">
        <f>'Property Data'!$G$58*(1+'Property Data'!$H$58)^(AZ$3-1)</f>
        <v>450.20352399999996</v>
      </c>
      <c r="BA34" s="841">
        <f>'Property Data'!$G$58*(1+'Property Data'!$H$58)^(BA$3-1)</f>
        <v>450.20352399999996</v>
      </c>
      <c r="BB34" s="841">
        <f>'Property Data'!$G$58*(1+'Property Data'!$H$58)^(BB$3-1)</f>
        <v>450.20352399999996</v>
      </c>
      <c r="BC34" s="841">
        <f>'Property Data'!$G$58*(1+'Property Data'!$H$58)^(BC$3-1)</f>
        <v>450.20352399999996</v>
      </c>
      <c r="BD34" s="841">
        <f>'Property Data'!$G$58*(1+'Property Data'!$H$58)^(BD$3-1)</f>
        <v>450.20352399999996</v>
      </c>
      <c r="BE34" s="841">
        <f>'Property Data'!$G$58*(1+'Property Data'!$H$58)^(BE$3-1)</f>
        <v>450.20352399999996</v>
      </c>
      <c r="BF34" s="841">
        <f>'Property Data'!$G$58*(1+'Property Data'!$H$58)^(BF$3-1)</f>
        <v>450.20352399999996</v>
      </c>
      <c r="BG34" s="841">
        <f>'Property Data'!$G$58*(1+'Property Data'!$H$58)^(BG$3-1)</f>
        <v>450.20352399999996</v>
      </c>
      <c r="BH34" s="841">
        <f>'Property Data'!$G$58*(1+'Property Data'!$H$58)^(BH$3-1)</f>
        <v>450.20352399999996</v>
      </c>
      <c r="BI34" s="841">
        <f>'Property Data'!$G$58*(1+'Property Data'!$H$58)^(BI$3-1)</f>
        <v>450.20352399999996</v>
      </c>
      <c r="BJ34" s="841">
        <f>'Property Data'!$G$58*(1+'Property Data'!$H$58)^(BJ$3-1)</f>
        <v>450.20352399999996</v>
      </c>
    </row>
    <row r="35" spans="2:62">
      <c r="B35" s="401" t="s">
        <v>831</v>
      </c>
      <c r="C35" s="841">
        <f>'Property Data'!$G$59*(1+'Property Data'!$H$59)^(C$3-1)</f>
        <v>150</v>
      </c>
      <c r="D35" s="841">
        <f>'Property Data'!$G$59*(1+'Property Data'!$H$59)^(D$3-1)</f>
        <v>150</v>
      </c>
      <c r="E35" s="841">
        <f>'Property Data'!$G$59*(1+'Property Data'!$H$59)^(E$3-1)</f>
        <v>150</v>
      </c>
      <c r="F35" s="841">
        <f>'Property Data'!$G$59*(1+'Property Data'!$H$59)^(F$3-1)</f>
        <v>150</v>
      </c>
      <c r="G35" s="841">
        <f>'Property Data'!$G$59*(1+'Property Data'!$H$59)^(G$3-1)</f>
        <v>150</v>
      </c>
      <c r="H35" s="841">
        <f>'Property Data'!$G$59*(1+'Property Data'!$H$59)^(H$3-1)</f>
        <v>150</v>
      </c>
      <c r="I35" s="841">
        <f>'Property Data'!$G$59*(1+'Property Data'!$H$59)^(I$3-1)</f>
        <v>150</v>
      </c>
      <c r="J35" s="841">
        <f>'Property Data'!$G$59*(1+'Property Data'!$H$59)^(J$3-1)</f>
        <v>150</v>
      </c>
      <c r="K35" s="841">
        <f>'Property Data'!$G$59*(1+'Property Data'!$H$59)^(K$3-1)</f>
        <v>150</v>
      </c>
      <c r="L35" s="841">
        <f>'Property Data'!$G$59*(1+'Property Data'!$H$59)^(L$3-1)</f>
        <v>150</v>
      </c>
      <c r="M35" s="841">
        <f>'Property Data'!$G$59*(1+'Property Data'!$H$59)^(M$3-1)</f>
        <v>150</v>
      </c>
      <c r="N35" s="841">
        <f>'Property Data'!$G$59*(1+'Property Data'!$H$59)^(N$3-1)</f>
        <v>150</v>
      </c>
      <c r="O35" s="841">
        <f>'Property Data'!$G$59*(1+'Property Data'!$H$59)^(O$3-1)</f>
        <v>154.5</v>
      </c>
      <c r="P35" s="841">
        <f>'Property Data'!$G$59*(1+'Property Data'!$H$59)^(P$3-1)</f>
        <v>154.5</v>
      </c>
      <c r="Q35" s="841">
        <f>'Property Data'!$G$59*(1+'Property Data'!$H$59)^(Q$3-1)</f>
        <v>154.5</v>
      </c>
      <c r="R35" s="841">
        <f>'Property Data'!$G$59*(1+'Property Data'!$H$59)^(R$3-1)</f>
        <v>154.5</v>
      </c>
      <c r="S35" s="841">
        <f>'Property Data'!$G$59*(1+'Property Data'!$H$59)^(S$3-1)</f>
        <v>154.5</v>
      </c>
      <c r="T35" s="841">
        <f>'Property Data'!$G$59*(1+'Property Data'!$H$59)^(T$3-1)</f>
        <v>154.5</v>
      </c>
      <c r="U35" s="841">
        <f>'Property Data'!$G$59*(1+'Property Data'!$H$59)^(U$3-1)</f>
        <v>154.5</v>
      </c>
      <c r="V35" s="841">
        <f>'Property Data'!$G$59*(1+'Property Data'!$H$59)^(V$3-1)</f>
        <v>154.5</v>
      </c>
      <c r="W35" s="841">
        <f>'Property Data'!$G$59*(1+'Property Data'!$H$59)^(W$3-1)</f>
        <v>154.5</v>
      </c>
      <c r="X35" s="841">
        <f>'Property Data'!$G$59*(1+'Property Data'!$H$59)^(X$3-1)</f>
        <v>154.5</v>
      </c>
      <c r="Y35" s="841">
        <f>'Property Data'!$G$59*(1+'Property Data'!$H$59)^(Y$3-1)</f>
        <v>154.5</v>
      </c>
      <c r="Z35" s="841">
        <f>'Property Data'!$G$59*(1+'Property Data'!$H$59)^(Z$3-1)</f>
        <v>154.5</v>
      </c>
      <c r="AA35" s="841">
        <f>'Property Data'!$G$59*(1+'Property Data'!$H$59)^(AA$3-1)</f>
        <v>159.13499999999999</v>
      </c>
      <c r="AB35" s="841">
        <f>'Property Data'!$G$59*(1+'Property Data'!$H$59)^(AB$3-1)</f>
        <v>159.13499999999999</v>
      </c>
      <c r="AC35" s="841">
        <f>'Property Data'!$G$59*(1+'Property Data'!$H$59)^(AC$3-1)</f>
        <v>159.13499999999999</v>
      </c>
      <c r="AD35" s="841">
        <f>'Property Data'!$G$59*(1+'Property Data'!$H$59)^(AD$3-1)</f>
        <v>159.13499999999999</v>
      </c>
      <c r="AE35" s="841">
        <f>'Property Data'!$G$59*(1+'Property Data'!$H$59)^(AE$3-1)</f>
        <v>159.13499999999999</v>
      </c>
      <c r="AF35" s="841">
        <f>'Property Data'!$G$59*(1+'Property Data'!$H$59)^(AF$3-1)</f>
        <v>159.13499999999999</v>
      </c>
      <c r="AG35" s="841">
        <f>'Property Data'!$G$59*(1+'Property Data'!$H$59)^(AG$3-1)</f>
        <v>159.13499999999999</v>
      </c>
      <c r="AH35" s="1097">
        <f>'Property Data'!$G$59*(1+'Property Data'!$H$59)^(AH$3-1)</f>
        <v>159.13499999999999</v>
      </c>
      <c r="AI35" s="841">
        <f>'Property Data'!$G$59*(1+'Property Data'!$H$59)^(AI$3-1)</f>
        <v>159.13499999999999</v>
      </c>
      <c r="AJ35" s="841">
        <f>'Property Data'!$G$59*(1+'Property Data'!$H$59)^(AJ$3-1)</f>
        <v>159.13499999999999</v>
      </c>
      <c r="AK35" s="841">
        <f>'Property Data'!$G$59*(1+'Property Data'!$H$59)^(AK$3-1)</f>
        <v>159.13499999999999</v>
      </c>
      <c r="AL35" s="841">
        <f>'Property Data'!$G$59*(1+'Property Data'!$H$59)^(AL$3-1)</f>
        <v>159.13499999999999</v>
      </c>
      <c r="AM35" s="841">
        <f>'Property Data'!$G$59*(1+'Property Data'!$H$59)^(AM$3-1)</f>
        <v>163.90905000000001</v>
      </c>
      <c r="AN35" s="841">
        <f>'Property Data'!$G$59*(1+'Property Data'!$H$59)^(AN$3-1)</f>
        <v>163.90905000000001</v>
      </c>
      <c r="AO35" s="841">
        <f>'Property Data'!$G$59*(1+'Property Data'!$H$59)^(AO$3-1)</f>
        <v>163.90905000000001</v>
      </c>
      <c r="AP35" s="841">
        <f>'Property Data'!$G$59*(1+'Property Data'!$H$59)^(AP$3-1)</f>
        <v>163.90905000000001</v>
      </c>
      <c r="AQ35" s="841">
        <f>'Property Data'!$G$59*(1+'Property Data'!$H$59)^(AQ$3-1)</f>
        <v>163.90905000000001</v>
      </c>
      <c r="AR35" s="841">
        <f>'Property Data'!$G$59*(1+'Property Data'!$H$59)^(AR$3-1)</f>
        <v>163.90905000000001</v>
      </c>
      <c r="AS35" s="841">
        <f>'Property Data'!$G$59*(1+'Property Data'!$H$59)^(AS$3-1)</f>
        <v>163.90905000000001</v>
      </c>
      <c r="AT35" s="841">
        <f>'Property Data'!$G$59*(1+'Property Data'!$H$59)^(AT$3-1)</f>
        <v>163.90905000000001</v>
      </c>
      <c r="AU35" s="841">
        <f>'Property Data'!$G$59*(1+'Property Data'!$H$59)^(AU$3-1)</f>
        <v>163.90905000000001</v>
      </c>
      <c r="AV35" s="841">
        <f>'Property Data'!$G$59*(1+'Property Data'!$H$59)^(AV$3-1)</f>
        <v>163.90905000000001</v>
      </c>
      <c r="AW35" s="841">
        <f>'Property Data'!$G$59*(1+'Property Data'!$H$59)^(AW$3-1)</f>
        <v>163.90905000000001</v>
      </c>
      <c r="AX35" s="841">
        <f>'Property Data'!$G$59*(1+'Property Data'!$H$59)^(AX$3-1)</f>
        <v>163.90905000000001</v>
      </c>
      <c r="AY35" s="841">
        <f>'Property Data'!$G$59*(1+'Property Data'!$H$59)^(AY$3-1)</f>
        <v>168.82632149999998</v>
      </c>
      <c r="AZ35" s="841">
        <f>'Property Data'!$G$59*(1+'Property Data'!$H$59)^(AZ$3-1)</f>
        <v>168.82632149999998</v>
      </c>
      <c r="BA35" s="841">
        <f>'Property Data'!$G$59*(1+'Property Data'!$H$59)^(BA$3-1)</f>
        <v>168.82632149999998</v>
      </c>
      <c r="BB35" s="841">
        <f>'Property Data'!$G$59*(1+'Property Data'!$H$59)^(BB$3-1)</f>
        <v>168.82632149999998</v>
      </c>
      <c r="BC35" s="841">
        <f>'Property Data'!$G$59*(1+'Property Data'!$H$59)^(BC$3-1)</f>
        <v>168.82632149999998</v>
      </c>
      <c r="BD35" s="841">
        <f>'Property Data'!$G$59*(1+'Property Data'!$H$59)^(BD$3-1)</f>
        <v>168.82632149999998</v>
      </c>
      <c r="BE35" s="841">
        <f>'Property Data'!$G$59*(1+'Property Data'!$H$59)^(BE$3-1)</f>
        <v>168.82632149999998</v>
      </c>
      <c r="BF35" s="841">
        <f>'Property Data'!$G$59*(1+'Property Data'!$H$59)^(BF$3-1)</f>
        <v>168.82632149999998</v>
      </c>
      <c r="BG35" s="841">
        <f>'Property Data'!$G$59*(1+'Property Data'!$H$59)^(BG$3-1)</f>
        <v>168.82632149999998</v>
      </c>
      <c r="BH35" s="841">
        <f>'Property Data'!$G$59*(1+'Property Data'!$H$59)^(BH$3-1)</f>
        <v>168.82632149999998</v>
      </c>
      <c r="BI35" s="841">
        <f>'Property Data'!$G$59*(1+'Property Data'!$H$59)^(BI$3-1)</f>
        <v>168.82632149999998</v>
      </c>
      <c r="BJ35" s="841">
        <f>'Property Data'!$G$59*(1+'Property Data'!$H$59)^(BJ$3-1)</f>
        <v>168.82632149999998</v>
      </c>
    </row>
    <row r="36" spans="2:62">
      <c r="B36" s="401" t="s">
        <v>832</v>
      </c>
      <c r="C36" s="841">
        <f>'Property Data'!$G$60*(1+'Property Data'!$H$60)^(C$3-1)</f>
        <v>400</v>
      </c>
      <c r="D36" s="841">
        <f>'Property Data'!$G$60*(1+'Property Data'!$H$60)^(D$3-1)</f>
        <v>400</v>
      </c>
      <c r="E36" s="841">
        <f>'Property Data'!$G$60*(1+'Property Data'!$H$60)^(E$3-1)</f>
        <v>400</v>
      </c>
      <c r="F36" s="841">
        <f>'Property Data'!$G$60*(1+'Property Data'!$H$60)^(F$3-1)</f>
        <v>400</v>
      </c>
      <c r="G36" s="841">
        <f>'Property Data'!$G$60*(1+'Property Data'!$H$60)^(G$3-1)</f>
        <v>400</v>
      </c>
      <c r="H36" s="841">
        <f>'Property Data'!$G$60*(1+'Property Data'!$H$60)^(H$3-1)</f>
        <v>400</v>
      </c>
      <c r="I36" s="841">
        <f>'Property Data'!$G$60*(1+'Property Data'!$H$60)^(I$3-1)</f>
        <v>400</v>
      </c>
      <c r="J36" s="841">
        <f>'Property Data'!$G$60*(1+'Property Data'!$H$60)^(J$3-1)</f>
        <v>400</v>
      </c>
      <c r="K36" s="841">
        <f>'Property Data'!$G$60*(1+'Property Data'!$H$60)^(K$3-1)</f>
        <v>400</v>
      </c>
      <c r="L36" s="841">
        <f>'Property Data'!$G$60*(1+'Property Data'!$H$60)^(L$3-1)</f>
        <v>400</v>
      </c>
      <c r="M36" s="841">
        <f>'Property Data'!$G$60*(1+'Property Data'!$H$60)^(M$3-1)</f>
        <v>400</v>
      </c>
      <c r="N36" s="841">
        <f>'Property Data'!$G$60*(1+'Property Data'!$H$60)^(N$3-1)</f>
        <v>400</v>
      </c>
      <c r="O36" s="841">
        <f>'Property Data'!$G$60*(1+'Property Data'!$H$60)^(O$3-1)</f>
        <v>412</v>
      </c>
      <c r="P36" s="841">
        <f>'Property Data'!$G$60*(1+'Property Data'!$H$60)^(P$3-1)</f>
        <v>412</v>
      </c>
      <c r="Q36" s="841">
        <f>'Property Data'!$G$60*(1+'Property Data'!$H$60)^(Q$3-1)</f>
        <v>412</v>
      </c>
      <c r="R36" s="841">
        <f>'Property Data'!$G$60*(1+'Property Data'!$H$60)^(R$3-1)</f>
        <v>412</v>
      </c>
      <c r="S36" s="841">
        <f>'Property Data'!$G$60*(1+'Property Data'!$H$60)^(S$3-1)</f>
        <v>412</v>
      </c>
      <c r="T36" s="841">
        <f>'Property Data'!$G$60*(1+'Property Data'!$H$60)^(T$3-1)</f>
        <v>412</v>
      </c>
      <c r="U36" s="841">
        <f>'Property Data'!$G$60*(1+'Property Data'!$H$60)^(U$3-1)</f>
        <v>412</v>
      </c>
      <c r="V36" s="841">
        <f>'Property Data'!$G$60*(1+'Property Data'!$H$60)^(V$3-1)</f>
        <v>412</v>
      </c>
      <c r="W36" s="841">
        <f>'Property Data'!$G$60*(1+'Property Data'!$H$60)^(W$3-1)</f>
        <v>412</v>
      </c>
      <c r="X36" s="841">
        <f>'Property Data'!$G$60*(1+'Property Data'!$H$60)^(X$3-1)</f>
        <v>412</v>
      </c>
      <c r="Y36" s="841">
        <f>'Property Data'!$G$60*(1+'Property Data'!$H$60)^(Y$3-1)</f>
        <v>412</v>
      </c>
      <c r="Z36" s="841">
        <f>'Property Data'!$G$60*(1+'Property Data'!$H$60)^(Z$3-1)</f>
        <v>412</v>
      </c>
      <c r="AA36" s="841">
        <f>'Property Data'!$G$60*(1+'Property Data'!$H$60)^(AA$3-1)</f>
        <v>424.35999999999996</v>
      </c>
      <c r="AB36" s="841">
        <f>'Property Data'!$G$60*(1+'Property Data'!$H$60)^(AB$3-1)</f>
        <v>424.35999999999996</v>
      </c>
      <c r="AC36" s="841">
        <f>'Property Data'!$G$60*(1+'Property Data'!$H$60)^(AC$3-1)</f>
        <v>424.35999999999996</v>
      </c>
      <c r="AD36" s="841">
        <f>'Property Data'!$G$60*(1+'Property Data'!$H$60)^(AD$3-1)</f>
        <v>424.35999999999996</v>
      </c>
      <c r="AE36" s="841">
        <f>'Property Data'!$G$60*(1+'Property Data'!$H$60)^(AE$3-1)</f>
        <v>424.35999999999996</v>
      </c>
      <c r="AF36" s="841">
        <f>'Property Data'!$G$60*(1+'Property Data'!$H$60)^(AF$3-1)</f>
        <v>424.35999999999996</v>
      </c>
      <c r="AG36" s="841">
        <f>'Property Data'!$G$60*(1+'Property Data'!$H$60)^(AG$3-1)</f>
        <v>424.35999999999996</v>
      </c>
      <c r="AH36" s="1097">
        <f>'Property Data'!$G$60*(1+'Property Data'!$H$60)^(AH$3-1)</f>
        <v>424.35999999999996</v>
      </c>
      <c r="AI36" s="841">
        <f>'Property Data'!$G$60*(1+'Property Data'!$H$60)^(AI$3-1)</f>
        <v>424.35999999999996</v>
      </c>
      <c r="AJ36" s="841">
        <f>'Property Data'!$G$60*(1+'Property Data'!$H$60)^(AJ$3-1)</f>
        <v>424.35999999999996</v>
      </c>
      <c r="AK36" s="841">
        <f>'Property Data'!$G$60*(1+'Property Data'!$H$60)^(AK$3-1)</f>
        <v>424.35999999999996</v>
      </c>
      <c r="AL36" s="841">
        <f>'Property Data'!$G$60*(1+'Property Data'!$H$60)^(AL$3-1)</f>
        <v>424.35999999999996</v>
      </c>
      <c r="AM36" s="841">
        <f>'Property Data'!$G$60*(1+'Property Data'!$H$60)^(AM$3-1)</f>
        <v>437.0908</v>
      </c>
      <c r="AN36" s="841">
        <f>'Property Data'!$G$60*(1+'Property Data'!$H$60)^(AN$3-1)</f>
        <v>437.0908</v>
      </c>
      <c r="AO36" s="841">
        <f>'Property Data'!$G$60*(1+'Property Data'!$H$60)^(AO$3-1)</f>
        <v>437.0908</v>
      </c>
      <c r="AP36" s="841">
        <f>'Property Data'!$G$60*(1+'Property Data'!$H$60)^(AP$3-1)</f>
        <v>437.0908</v>
      </c>
      <c r="AQ36" s="841">
        <f>'Property Data'!$G$60*(1+'Property Data'!$H$60)^(AQ$3-1)</f>
        <v>437.0908</v>
      </c>
      <c r="AR36" s="841">
        <f>'Property Data'!$G$60*(1+'Property Data'!$H$60)^(AR$3-1)</f>
        <v>437.0908</v>
      </c>
      <c r="AS36" s="841">
        <f>'Property Data'!$G$60*(1+'Property Data'!$H$60)^(AS$3-1)</f>
        <v>437.0908</v>
      </c>
      <c r="AT36" s="841">
        <f>'Property Data'!$G$60*(1+'Property Data'!$H$60)^(AT$3-1)</f>
        <v>437.0908</v>
      </c>
      <c r="AU36" s="841">
        <f>'Property Data'!$G$60*(1+'Property Data'!$H$60)^(AU$3-1)</f>
        <v>437.0908</v>
      </c>
      <c r="AV36" s="841">
        <f>'Property Data'!$G$60*(1+'Property Data'!$H$60)^(AV$3-1)</f>
        <v>437.0908</v>
      </c>
      <c r="AW36" s="841">
        <f>'Property Data'!$G$60*(1+'Property Data'!$H$60)^(AW$3-1)</f>
        <v>437.0908</v>
      </c>
      <c r="AX36" s="841">
        <f>'Property Data'!$G$60*(1+'Property Data'!$H$60)^(AX$3-1)</f>
        <v>437.0908</v>
      </c>
      <c r="AY36" s="841">
        <f>'Property Data'!$G$60*(1+'Property Data'!$H$60)^(AY$3-1)</f>
        <v>450.20352399999996</v>
      </c>
      <c r="AZ36" s="841">
        <f>'Property Data'!$G$60*(1+'Property Data'!$H$60)^(AZ$3-1)</f>
        <v>450.20352399999996</v>
      </c>
      <c r="BA36" s="841">
        <f>'Property Data'!$G$60*(1+'Property Data'!$H$60)^(BA$3-1)</f>
        <v>450.20352399999996</v>
      </c>
      <c r="BB36" s="841">
        <f>'Property Data'!$G$60*(1+'Property Data'!$H$60)^(BB$3-1)</f>
        <v>450.20352399999996</v>
      </c>
      <c r="BC36" s="841">
        <f>'Property Data'!$G$60*(1+'Property Data'!$H$60)^(BC$3-1)</f>
        <v>450.20352399999996</v>
      </c>
      <c r="BD36" s="841">
        <f>'Property Data'!$G$60*(1+'Property Data'!$H$60)^(BD$3-1)</f>
        <v>450.20352399999996</v>
      </c>
      <c r="BE36" s="841">
        <f>'Property Data'!$G$60*(1+'Property Data'!$H$60)^(BE$3-1)</f>
        <v>450.20352399999996</v>
      </c>
      <c r="BF36" s="841">
        <f>'Property Data'!$G$60*(1+'Property Data'!$H$60)^(BF$3-1)</f>
        <v>450.20352399999996</v>
      </c>
      <c r="BG36" s="841">
        <f>'Property Data'!$G$60*(1+'Property Data'!$H$60)^(BG$3-1)</f>
        <v>450.20352399999996</v>
      </c>
      <c r="BH36" s="841">
        <f>'Property Data'!$G$60*(1+'Property Data'!$H$60)^(BH$3-1)</f>
        <v>450.20352399999996</v>
      </c>
      <c r="BI36" s="841">
        <f>'Property Data'!$G$60*(1+'Property Data'!$H$60)^(BI$3-1)</f>
        <v>450.20352399999996</v>
      </c>
      <c r="BJ36" s="841">
        <f>'Property Data'!$G$60*(1+'Property Data'!$H$60)^(BJ$3-1)</f>
        <v>450.20352399999996</v>
      </c>
    </row>
    <row r="37" spans="2:62">
      <c r="B37" s="401" t="s">
        <v>833</v>
      </c>
      <c r="C37" s="841">
        <f>('Property Data'!$G$61/12)*(1+'Property Data'!$H$61)^(C$3-1)*('Property Data'!$D$8+'Property Data'!$D$15+'Property Data'!$D$22)</f>
        <v>72.75</v>
      </c>
      <c r="D37" s="841">
        <f>('Property Data'!$G$61/12)*(1+'Property Data'!$H$61)^(D$3-1)*('Property Data'!$D$8+'Property Data'!$D$15+'Property Data'!$D$22)</f>
        <v>72.75</v>
      </c>
      <c r="E37" s="841">
        <f>('Property Data'!$G$61/12)*(1+'Property Data'!$H$61)^(E$3-1)*('Property Data'!$D$8+'Property Data'!$D$15+'Property Data'!$D$22)</f>
        <v>72.75</v>
      </c>
      <c r="F37" s="841">
        <f>('Property Data'!$G$61/12)*(1+'Property Data'!$H$61)^(F$3-1)*('Property Data'!$D$8+'Property Data'!$D$15+'Property Data'!$D$22)</f>
        <v>72.75</v>
      </c>
      <c r="G37" s="841">
        <f>('Property Data'!$G$61/12)*(1+'Property Data'!$H$61)^(G$3-1)*('Property Data'!$D$8+'Property Data'!$D$15+'Property Data'!$D$22)</f>
        <v>72.75</v>
      </c>
      <c r="H37" s="841">
        <f>('Property Data'!$G$61/12)*(1+'Property Data'!$H$61)^(H$3-1)*('Property Data'!$D$8+'Property Data'!$D$15+'Property Data'!$D$22)</f>
        <v>72.75</v>
      </c>
      <c r="I37" s="841">
        <f>('Property Data'!$G$61/12)*(1+'Property Data'!$H$61)^(I$3-1)*('Property Data'!$D$8+'Property Data'!$D$15+'Property Data'!$D$22)</f>
        <v>72.75</v>
      </c>
      <c r="J37" s="841">
        <f>('Property Data'!$G$61/12)*(1+'Property Data'!$H$61)^(J$3-1)*('Property Data'!$D$8+'Property Data'!$D$15+'Property Data'!$D$22)</f>
        <v>72.75</v>
      </c>
      <c r="K37" s="841">
        <f>('Property Data'!$G$61/12)*(1+'Property Data'!$H$61)^(K$3-1)*('Property Data'!$D$8+'Property Data'!$D$15+'Property Data'!$D$22)</f>
        <v>72.75</v>
      </c>
      <c r="L37" s="841">
        <f>('Property Data'!$G$61/12)*(1+'Property Data'!$H$61)^(L$3-1)*('Property Data'!$D$8+'Property Data'!$D$15+'Property Data'!$D$22)</f>
        <v>72.75</v>
      </c>
      <c r="M37" s="841">
        <f>('Property Data'!$G$61/12)*(1+'Property Data'!$H$61)^(M$3-1)*('Property Data'!$D$8+'Property Data'!$D$15+'Property Data'!$D$22)</f>
        <v>72.75</v>
      </c>
      <c r="N37" s="841">
        <f>('Property Data'!$G$61/12)*(1+'Property Data'!$H$61)^(N$3-1)*('Property Data'!$D$8+'Property Data'!$D$15+'Property Data'!$D$22)</f>
        <v>72.75</v>
      </c>
      <c r="O37" s="841">
        <f>('Property Data'!$G$61/12)*(1+'Property Data'!$H$61)^(O$3-1)*('Property Data'!$D$8+'Property Data'!$D$15+'Property Data'!$D$22)</f>
        <v>74.932500000000005</v>
      </c>
      <c r="P37" s="841">
        <f>('Property Data'!$G$61/12)*(1+'Property Data'!$H$61)^(P$3-1)*('Property Data'!$D$8+'Property Data'!$D$15+'Property Data'!$D$22)</f>
        <v>74.932500000000005</v>
      </c>
      <c r="Q37" s="841">
        <f>('Property Data'!$G$61/12)*(1+'Property Data'!$H$61)^(Q$3-1)*('Property Data'!$D$8+'Property Data'!$D$15+'Property Data'!$D$22)</f>
        <v>74.932500000000005</v>
      </c>
      <c r="R37" s="841">
        <f>('Property Data'!$G$61/12)*(1+'Property Data'!$H$61)^(R$3-1)*('Property Data'!$D$8+'Property Data'!$D$15+'Property Data'!$D$22)</f>
        <v>74.932500000000005</v>
      </c>
      <c r="S37" s="841">
        <f>('Property Data'!$G$61/12)*(1+'Property Data'!$H$61)^(S$3-1)*('Property Data'!$D$8+'Property Data'!$D$15+'Property Data'!$D$22)</f>
        <v>74.932500000000005</v>
      </c>
      <c r="T37" s="841">
        <f>('Property Data'!$G$61/12)*(1+'Property Data'!$H$61)^(T$3-1)*('Property Data'!$D$8+'Property Data'!$D$15+'Property Data'!$D$22)</f>
        <v>74.932500000000005</v>
      </c>
      <c r="U37" s="841">
        <f>('Property Data'!$G$61/12)*(1+'Property Data'!$H$61)^(U$3-1)*('Property Data'!$D$8+'Property Data'!$D$15+'Property Data'!$D$22)</f>
        <v>74.932500000000005</v>
      </c>
      <c r="V37" s="841">
        <f>('Property Data'!$G$61/12)*(1+'Property Data'!$H$61)^(V$3-1)*('Property Data'!$D$8+'Property Data'!$D$15+'Property Data'!$D$22)</f>
        <v>74.932500000000005</v>
      </c>
      <c r="W37" s="841">
        <f>('Property Data'!$G$61/12)*(1+'Property Data'!$H$61)^(W$3-1)*('Property Data'!$D$8+'Property Data'!$D$15+'Property Data'!$D$22)</f>
        <v>74.932500000000005</v>
      </c>
      <c r="X37" s="841">
        <f>('Property Data'!$G$61/12)*(1+'Property Data'!$H$61)^(X$3-1)*('Property Data'!$D$8+'Property Data'!$D$15+'Property Data'!$D$22)</f>
        <v>74.932500000000005</v>
      </c>
      <c r="Y37" s="841">
        <f>('Property Data'!$G$61/12)*(1+'Property Data'!$H$61)^(Y$3-1)*('Property Data'!$D$8+'Property Data'!$D$15+'Property Data'!$D$22)</f>
        <v>74.932500000000005</v>
      </c>
      <c r="Z37" s="841">
        <f>('Property Data'!$G$61/12)*(1+'Property Data'!$H$61)^(Z$3-1)*('Property Data'!$D$8+'Property Data'!$D$15+'Property Data'!$D$22)</f>
        <v>74.932500000000005</v>
      </c>
      <c r="AA37" s="841">
        <f>('Property Data'!$G$61/12)*(1+'Property Data'!$H$61)^(AA$3-1)*('Property Data'!$D$8+'Property Data'!$D$15+'Property Data'!$D$22)</f>
        <v>77.180474999999987</v>
      </c>
      <c r="AB37" s="841">
        <f>('Property Data'!$G$61/12)*(1+'Property Data'!$H$61)^(AB$3-1)*('Property Data'!$D$8+'Property Data'!$D$15+'Property Data'!$D$22)</f>
        <v>77.180474999999987</v>
      </c>
      <c r="AC37" s="841">
        <f>('Property Data'!$G$61/12)*(1+'Property Data'!$H$61)^(AC$3-1)*('Property Data'!$D$8+'Property Data'!$D$15+'Property Data'!$D$22)</f>
        <v>77.180474999999987</v>
      </c>
      <c r="AD37" s="841">
        <f>('Property Data'!$G$61/12)*(1+'Property Data'!$H$61)^(AD$3-1)*('Property Data'!$D$8+'Property Data'!$D$15+'Property Data'!$D$22)</f>
        <v>77.180474999999987</v>
      </c>
      <c r="AE37" s="841">
        <f>('Property Data'!$G$61/12)*(1+'Property Data'!$H$61)^(AE$3-1)*('Property Data'!$D$8+'Property Data'!$D$15+'Property Data'!$D$22)</f>
        <v>77.180474999999987</v>
      </c>
      <c r="AF37" s="841">
        <f>('Property Data'!$G$61/12)*(1+'Property Data'!$H$61)^(AF$3-1)*('Property Data'!$D$8+'Property Data'!$D$15+'Property Data'!$D$22)</f>
        <v>77.180474999999987</v>
      </c>
      <c r="AG37" s="841">
        <f>('Property Data'!$G$61/12)*(1+'Property Data'!$H$61)^(AG$3-1)*('Property Data'!$D$8+'Property Data'!$D$15+'Property Data'!$D$22)</f>
        <v>77.180474999999987</v>
      </c>
      <c r="AH37" s="1097">
        <f>('Property Data'!$G$61/12)*(1+'Property Data'!$H$61)^(AH$3-1)*('Property Data'!$D$8+'Property Data'!$D$15+'Property Data'!$D$22)</f>
        <v>77.180474999999987</v>
      </c>
      <c r="AI37" s="841">
        <f>('Property Data'!$G$61/12)*(1+'Property Data'!$H$61)^(AI$3-1)*('Property Data'!$D$8+'Property Data'!$D$15+'Property Data'!$D$22)</f>
        <v>77.180474999999987</v>
      </c>
      <c r="AJ37" s="841">
        <f>('Property Data'!$G$61/12)*(1+'Property Data'!$H$61)^(AJ$3-1)*('Property Data'!$D$8+'Property Data'!$D$15+'Property Data'!$D$22)</f>
        <v>77.180474999999987</v>
      </c>
      <c r="AK37" s="841">
        <f>('Property Data'!$G$61/12)*(1+'Property Data'!$H$61)^(AK$3-1)*('Property Data'!$D$8+'Property Data'!$D$15+'Property Data'!$D$22)</f>
        <v>77.180474999999987</v>
      </c>
      <c r="AL37" s="841">
        <f>('Property Data'!$G$61/12)*(1+'Property Data'!$H$61)^(AL$3-1)*('Property Data'!$D$8+'Property Data'!$D$15+'Property Data'!$D$22)</f>
        <v>77.180474999999987</v>
      </c>
      <c r="AM37" s="841">
        <f>('Property Data'!$G$61/12)*(1+'Property Data'!$H$61)^(AM$3-1)*('Property Data'!$D$8+'Property Data'!$D$15+'Property Data'!$D$22)</f>
        <v>79.495889250000005</v>
      </c>
      <c r="AN37" s="841">
        <f>('Property Data'!$G$61/12)*(1+'Property Data'!$H$61)^(AN$3-1)*('Property Data'!$D$8+'Property Data'!$D$15+'Property Data'!$D$22)</f>
        <v>79.495889250000005</v>
      </c>
      <c r="AO37" s="841">
        <f>('Property Data'!$G$61/12)*(1+'Property Data'!$H$61)^(AO$3-1)*('Property Data'!$D$8+'Property Data'!$D$15+'Property Data'!$D$22)</f>
        <v>79.495889250000005</v>
      </c>
      <c r="AP37" s="841">
        <f>('Property Data'!$G$61/12)*(1+'Property Data'!$H$61)^(AP$3-1)*('Property Data'!$D$8+'Property Data'!$D$15+'Property Data'!$D$22)</f>
        <v>79.495889250000005</v>
      </c>
      <c r="AQ37" s="841">
        <f>('Property Data'!$G$61/12)*(1+'Property Data'!$H$61)^(AQ$3-1)*('Property Data'!$D$8+'Property Data'!$D$15+'Property Data'!$D$22)</f>
        <v>79.495889250000005</v>
      </c>
      <c r="AR37" s="841">
        <f>('Property Data'!$G$61/12)*(1+'Property Data'!$H$61)^(AR$3-1)*('Property Data'!$D$8+'Property Data'!$D$15+'Property Data'!$D$22)</f>
        <v>79.495889250000005</v>
      </c>
      <c r="AS37" s="841">
        <f>('Property Data'!$G$61/12)*(1+'Property Data'!$H$61)^(AS$3-1)*('Property Data'!$D$8+'Property Data'!$D$15+'Property Data'!$D$22)</f>
        <v>79.495889250000005</v>
      </c>
      <c r="AT37" s="841">
        <f>('Property Data'!$G$61/12)*(1+'Property Data'!$H$61)^(AT$3-1)*('Property Data'!$D$8+'Property Data'!$D$15+'Property Data'!$D$22)</f>
        <v>79.495889250000005</v>
      </c>
      <c r="AU37" s="841">
        <f>('Property Data'!$G$61/12)*(1+'Property Data'!$H$61)^(AU$3-1)*('Property Data'!$D$8+'Property Data'!$D$15+'Property Data'!$D$22)</f>
        <v>79.495889250000005</v>
      </c>
      <c r="AV37" s="841">
        <f>('Property Data'!$G$61/12)*(1+'Property Data'!$H$61)^(AV$3-1)*('Property Data'!$D$8+'Property Data'!$D$15+'Property Data'!$D$22)</f>
        <v>79.495889250000005</v>
      </c>
      <c r="AW37" s="841">
        <f>('Property Data'!$G$61/12)*(1+'Property Data'!$H$61)^(AW$3-1)*('Property Data'!$D$8+'Property Data'!$D$15+'Property Data'!$D$22)</f>
        <v>79.495889250000005</v>
      </c>
      <c r="AX37" s="841">
        <f>('Property Data'!$G$61/12)*(1+'Property Data'!$H$61)^(AX$3-1)*('Property Data'!$D$8+'Property Data'!$D$15+'Property Data'!$D$22)</f>
        <v>79.495889250000005</v>
      </c>
      <c r="AY37" s="841">
        <f>('Property Data'!$G$61/12)*(1+'Property Data'!$H$61)^(AY$3-1)*('Property Data'!$D$8+'Property Data'!$D$15+'Property Data'!$D$22)</f>
        <v>81.880765927499979</v>
      </c>
      <c r="AZ37" s="841">
        <f>('Property Data'!$G$61/12)*(1+'Property Data'!$H$61)^(AZ$3-1)*('Property Data'!$D$8+'Property Data'!$D$15+'Property Data'!$D$22)</f>
        <v>81.880765927499979</v>
      </c>
      <c r="BA37" s="841">
        <f>('Property Data'!$G$61/12)*(1+'Property Data'!$H$61)^(BA$3-1)*('Property Data'!$D$8+'Property Data'!$D$15+'Property Data'!$D$22)</f>
        <v>81.880765927499979</v>
      </c>
      <c r="BB37" s="841">
        <f>('Property Data'!$G$61/12)*(1+'Property Data'!$H$61)^(BB$3-1)*('Property Data'!$D$8+'Property Data'!$D$15+'Property Data'!$D$22)</f>
        <v>81.880765927499979</v>
      </c>
      <c r="BC37" s="841">
        <f>('Property Data'!$G$61/12)*(1+'Property Data'!$H$61)^(BC$3-1)*('Property Data'!$D$8+'Property Data'!$D$15+'Property Data'!$D$22)</f>
        <v>81.880765927499979</v>
      </c>
      <c r="BD37" s="841">
        <f>('Property Data'!$G$61/12)*(1+'Property Data'!$H$61)^(BD$3-1)*('Property Data'!$D$8+'Property Data'!$D$15+'Property Data'!$D$22)</f>
        <v>81.880765927499979</v>
      </c>
      <c r="BE37" s="841">
        <f>('Property Data'!$G$61/12)*(1+'Property Data'!$H$61)^(BE$3-1)*('Property Data'!$D$8+'Property Data'!$D$15+'Property Data'!$D$22)</f>
        <v>81.880765927499979</v>
      </c>
      <c r="BF37" s="841">
        <f>('Property Data'!$G$61/12)*(1+'Property Data'!$H$61)^(BF$3-1)*('Property Data'!$D$8+'Property Data'!$D$15+'Property Data'!$D$22)</f>
        <v>81.880765927499979</v>
      </c>
      <c r="BG37" s="841">
        <f>('Property Data'!$G$61/12)*(1+'Property Data'!$H$61)^(BG$3-1)*('Property Data'!$D$8+'Property Data'!$D$15+'Property Data'!$D$22)</f>
        <v>81.880765927499979</v>
      </c>
      <c r="BH37" s="841">
        <f>('Property Data'!$G$61/12)*(1+'Property Data'!$H$61)^(BH$3-1)*('Property Data'!$D$8+'Property Data'!$D$15+'Property Data'!$D$22)</f>
        <v>81.880765927499979</v>
      </c>
      <c r="BI37" s="841">
        <f>('Property Data'!$G$61/12)*(1+'Property Data'!$H$61)^(BI$3-1)*('Property Data'!$D$8+'Property Data'!$D$15+'Property Data'!$D$22)</f>
        <v>81.880765927499979</v>
      </c>
      <c r="BJ37" s="841">
        <f>('Property Data'!$G$61/12)*(1+'Property Data'!$H$61)^(BJ$3-1)*('Property Data'!$D$8+'Property Data'!$D$15+'Property Data'!$D$22)</f>
        <v>81.880765927499979</v>
      </c>
    </row>
    <row r="38" spans="2:62">
      <c r="B38" s="401" t="s">
        <v>834</v>
      </c>
      <c r="C38" s="841">
        <f>('Property Data'!$G$62/12)*(1+'Property Data'!$H$62)^(C$3-1)*('Property Data'!$D$8+'Property Data'!$D$15+'Property Data'!$D$22)</f>
        <v>145.5</v>
      </c>
      <c r="D38" s="841">
        <f>('Property Data'!$G$62/12)*(1+'Property Data'!$H$62)^(D$3-1)*('Property Data'!$D$8+'Property Data'!$D$15+'Property Data'!$D$22)</f>
        <v>145.5</v>
      </c>
      <c r="E38" s="841">
        <f>('Property Data'!$G$62/12)*(1+'Property Data'!$H$62)^(E$3-1)*('Property Data'!$D$8+'Property Data'!$D$15+'Property Data'!$D$22)</f>
        <v>145.5</v>
      </c>
      <c r="F38" s="841">
        <f>('Property Data'!$G$62/12)*(1+'Property Data'!$H$62)^(F$3-1)*('Property Data'!$D$8+'Property Data'!$D$15+'Property Data'!$D$22)</f>
        <v>145.5</v>
      </c>
      <c r="G38" s="841">
        <f>('Property Data'!$G$62/12)*(1+'Property Data'!$H$62)^(G$3-1)*('Property Data'!$D$8+'Property Data'!$D$15+'Property Data'!$D$22)</f>
        <v>145.5</v>
      </c>
      <c r="H38" s="841">
        <f>('Property Data'!$G$62/12)*(1+'Property Data'!$H$62)^(H$3-1)*('Property Data'!$D$8+'Property Data'!$D$15+'Property Data'!$D$22)</f>
        <v>145.5</v>
      </c>
      <c r="I38" s="841">
        <f>('Property Data'!$G$62/12)*(1+'Property Data'!$H$62)^(I$3-1)*('Property Data'!$D$8+'Property Data'!$D$15+'Property Data'!$D$22)</f>
        <v>145.5</v>
      </c>
      <c r="J38" s="841">
        <f>('Property Data'!$G$62/12)*(1+'Property Data'!$H$62)^(J$3-1)*('Property Data'!$D$8+'Property Data'!$D$15+'Property Data'!$D$22)</f>
        <v>145.5</v>
      </c>
      <c r="K38" s="841">
        <f>('Property Data'!$G$62/12)*(1+'Property Data'!$H$62)^(K$3-1)*('Property Data'!$D$8+'Property Data'!$D$15+'Property Data'!$D$22)</f>
        <v>145.5</v>
      </c>
      <c r="L38" s="841">
        <f>('Property Data'!$G$62/12)*(1+'Property Data'!$H$62)^(L$3-1)*('Property Data'!$D$8+'Property Data'!$D$15+'Property Data'!$D$22)</f>
        <v>145.5</v>
      </c>
      <c r="M38" s="841">
        <f>('Property Data'!$G$62/12)*(1+'Property Data'!$H$62)^(M$3-1)*('Property Data'!$D$8+'Property Data'!$D$15+'Property Data'!$D$22)</f>
        <v>145.5</v>
      </c>
      <c r="N38" s="841">
        <f>('Property Data'!$G$62/12)*(1+'Property Data'!$H$62)^(N$3-1)*('Property Data'!$D$8+'Property Data'!$D$15+'Property Data'!$D$22)</f>
        <v>145.5</v>
      </c>
      <c r="O38" s="841">
        <f>('Property Data'!$G$62/12)*(1+'Property Data'!$H$62)^(O$3-1)*('Property Data'!$D$8+'Property Data'!$D$15+'Property Data'!$D$22)</f>
        <v>149.86500000000001</v>
      </c>
      <c r="P38" s="841">
        <f>('Property Data'!$G$62/12)*(1+'Property Data'!$H$62)^(P$3-1)*('Property Data'!$D$8+'Property Data'!$D$15+'Property Data'!$D$22)</f>
        <v>149.86500000000001</v>
      </c>
      <c r="Q38" s="841">
        <f>('Property Data'!$G$62/12)*(1+'Property Data'!$H$62)^(Q$3-1)*('Property Data'!$D$8+'Property Data'!$D$15+'Property Data'!$D$22)</f>
        <v>149.86500000000001</v>
      </c>
      <c r="R38" s="841">
        <f>('Property Data'!$G$62/12)*(1+'Property Data'!$H$62)^(R$3-1)*('Property Data'!$D$8+'Property Data'!$D$15+'Property Data'!$D$22)</f>
        <v>149.86500000000001</v>
      </c>
      <c r="S38" s="841">
        <f>('Property Data'!$G$62/12)*(1+'Property Data'!$H$62)^(S$3-1)*('Property Data'!$D$8+'Property Data'!$D$15+'Property Data'!$D$22)</f>
        <v>149.86500000000001</v>
      </c>
      <c r="T38" s="841">
        <f>('Property Data'!$G$62/12)*(1+'Property Data'!$H$62)^(T$3-1)*('Property Data'!$D$8+'Property Data'!$D$15+'Property Data'!$D$22)</f>
        <v>149.86500000000001</v>
      </c>
      <c r="U38" s="841">
        <f>('Property Data'!$G$62/12)*(1+'Property Data'!$H$62)^(U$3-1)*('Property Data'!$D$8+'Property Data'!$D$15+'Property Data'!$D$22)</f>
        <v>149.86500000000001</v>
      </c>
      <c r="V38" s="841">
        <f>('Property Data'!$G$62/12)*(1+'Property Data'!$H$62)^(V$3-1)*('Property Data'!$D$8+'Property Data'!$D$15+'Property Data'!$D$22)</f>
        <v>149.86500000000001</v>
      </c>
      <c r="W38" s="841">
        <f>('Property Data'!$G$62/12)*(1+'Property Data'!$H$62)^(W$3-1)*('Property Data'!$D$8+'Property Data'!$D$15+'Property Data'!$D$22)</f>
        <v>149.86500000000001</v>
      </c>
      <c r="X38" s="841">
        <f>('Property Data'!$G$62/12)*(1+'Property Data'!$H$62)^(X$3-1)*('Property Data'!$D$8+'Property Data'!$D$15+'Property Data'!$D$22)</f>
        <v>149.86500000000001</v>
      </c>
      <c r="Y38" s="841">
        <f>('Property Data'!$G$62/12)*(1+'Property Data'!$H$62)^(Y$3-1)*('Property Data'!$D$8+'Property Data'!$D$15+'Property Data'!$D$22)</f>
        <v>149.86500000000001</v>
      </c>
      <c r="Z38" s="841">
        <f>('Property Data'!$G$62/12)*(1+'Property Data'!$H$62)^(Z$3-1)*('Property Data'!$D$8+'Property Data'!$D$15+'Property Data'!$D$22)</f>
        <v>149.86500000000001</v>
      </c>
      <c r="AA38" s="841">
        <f>('Property Data'!$G$62/12)*(1+'Property Data'!$H$62)^(AA$3-1)*('Property Data'!$D$8+'Property Data'!$D$15+'Property Data'!$D$22)</f>
        <v>154.36094999999997</v>
      </c>
      <c r="AB38" s="841">
        <f>('Property Data'!$G$62/12)*(1+'Property Data'!$H$62)^(AB$3-1)*('Property Data'!$D$8+'Property Data'!$D$15+'Property Data'!$D$22)</f>
        <v>154.36094999999997</v>
      </c>
      <c r="AC38" s="841">
        <f>('Property Data'!$G$62/12)*(1+'Property Data'!$H$62)^(AC$3-1)*('Property Data'!$D$8+'Property Data'!$D$15+'Property Data'!$D$22)</f>
        <v>154.36094999999997</v>
      </c>
      <c r="AD38" s="841">
        <f>('Property Data'!$G$62/12)*(1+'Property Data'!$H$62)^(AD$3-1)*('Property Data'!$D$8+'Property Data'!$D$15+'Property Data'!$D$22)</f>
        <v>154.36094999999997</v>
      </c>
      <c r="AE38" s="841">
        <f>('Property Data'!$G$62/12)*(1+'Property Data'!$H$62)^(AE$3-1)*('Property Data'!$D$8+'Property Data'!$D$15+'Property Data'!$D$22)</f>
        <v>154.36094999999997</v>
      </c>
      <c r="AF38" s="841">
        <f>('Property Data'!$G$62/12)*(1+'Property Data'!$H$62)^(AF$3-1)*('Property Data'!$D$8+'Property Data'!$D$15+'Property Data'!$D$22)</f>
        <v>154.36094999999997</v>
      </c>
      <c r="AG38" s="841">
        <f>('Property Data'!$G$62/12)*(1+'Property Data'!$H$62)^(AG$3-1)*('Property Data'!$D$8+'Property Data'!$D$15+'Property Data'!$D$22)</f>
        <v>154.36094999999997</v>
      </c>
      <c r="AH38" s="1097">
        <f>('Property Data'!$G$62/12)*(1+'Property Data'!$H$62)^(AH$3-1)*('Property Data'!$D$8+'Property Data'!$D$15+'Property Data'!$D$22)</f>
        <v>154.36094999999997</v>
      </c>
      <c r="AI38" s="841">
        <f>('Property Data'!$G$62/12)*(1+'Property Data'!$H$62)^(AI$3-1)*('Property Data'!$D$8+'Property Data'!$D$15+'Property Data'!$D$22)</f>
        <v>154.36094999999997</v>
      </c>
      <c r="AJ38" s="841">
        <f>('Property Data'!$G$62/12)*(1+'Property Data'!$H$62)^(AJ$3-1)*('Property Data'!$D$8+'Property Data'!$D$15+'Property Data'!$D$22)</f>
        <v>154.36094999999997</v>
      </c>
      <c r="AK38" s="841">
        <f>('Property Data'!$G$62/12)*(1+'Property Data'!$H$62)^(AK$3-1)*('Property Data'!$D$8+'Property Data'!$D$15+'Property Data'!$D$22)</f>
        <v>154.36094999999997</v>
      </c>
      <c r="AL38" s="841">
        <f>('Property Data'!$G$62/12)*(1+'Property Data'!$H$62)^(AL$3-1)*('Property Data'!$D$8+'Property Data'!$D$15+'Property Data'!$D$22)</f>
        <v>154.36094999999997</v>
      </c>
      <c r="AM38" s="841">
        <f>('Property Data'!$G$62/12)*(1+'Property Data'!$H$62)^(AM$3-1)*('Property Data'!$D$8+'Property Data'!$D$15+'Property Data'!$D$22)</f>
        <v>158.99177850000001</v>
      </c>
      <c r="AN38" s="841">
        <f>('Property Data'!$G$62/12)*(1+'Property Data'!$H$62)^(AN$3-1)*('Property Data'!$D$8+'Property Data'!$D$15+'Property Data'!$D$22)</f>
        <v>158.99177850000001</v>
      </c>
      <c r="AO38" s="841">
        <f>('Property Data'!$G$62/12)*(1+'Property Data'!$H$62)^(AO$3-1)*('Property Data'!$D$8+'Property Data'!$D$15+'Property Data'!$D$22)</f>
        <v>158.99177850000001</v>
      </c>
      <c r="AP38" s="841">
        <f>('Property Data'!$G$62/12)*(1+'Property Data'!$H$62)^(AP$3-1)*('Property Data'!$D$8+'Property Data'!$D$15+'Property Data'!$D$22)</f>
        <v>158.99177850000001</v>
      </c>
      <c r="AQ38" s="841">
        <f>('Property Data'!$G$62/12)*(1+'Property Data'!$H$62)^(AQ$3-1)*('Property Data'!$D$8+'Property Data'!$D$15+'Property Data'!$D$22)</f>
        <v>158.99177850000001</v>
      </c>
      <c r="AR38" s="841">
        <f>('Property Data'!$G$62/12)*(1+'Property Data'!$H$62)^(AR$3-1)*('Property Data'!$D$8+'Property Data'!$D$15+'Property Data'!$D$22)</f>
        <v>158.99177850000001</v>
      </c>
      <c r="AS38" s="841">
        <f>('Property Data'!$G$62/12)*(1+'Property Data'!$H$62)^(AS$3-1)*('Property Data'!$D$8+'Property Data'!$D$15+'Property Data'!$D$22)</f>
        <v>158.99177850000001</v>
      </c>
      <c r="AT38" s="841">
        <f>('Property Data'!$G$62/12)*(1+'Property Data'!$H$62)^(AT$3-1)*('Property Data'!$D$8+'Property Data'!$D$15+'Property Data'!$D$22)</f>
        <v>158.99177850000001</v>
      </c>
      <c r="AU38" s="841">
        <f>('Property Data'!$G$62/12)*(1+'Property Data'!$H$62)^(AU$3-1)*('Property Data'!$D$8+'Property Data'!$D$15+'Property Data'!$D$22)</f>
        <v>158.99177850000001</v>
      </c>
      <c r="AV38" s="841">
        <f>('Property Data'!$G$62/12)*(1+'Property Data'!$H$62)^(AV$3-1)*('Property Data'!$D$8+'Property Data'!$D$15+'Property Data'!$D$22)</f>
        <v>158.99177850000001</v>
      </c>
      <c r="AW38" s="841">
        <f>('Property Data'!$G$62/12)*(1+'Property Data'!$H$62)^(AW$3-1)*('Property Data'!$D$8+'Property Data'!$D$15+'Property Data'!$D$22)</f>
        <v>158.99177850000001</v>
      </c>
      <c r="AX38" s="841">
        <f>('Property Data'!$G$62/12)*(1+'Property Data'!$H$62)^(AX$3-1)*('Property Data'!$D$8+'Property Data'!$D$15+'Property Data'!$D$22)</f>
        <v>158.99177850000001</v>
      </c>
      <c r="AY38" s="841">
        <f>('Property Data'!$G$62/12)*(1+'Property Data'!$H$62)^(AY$3-1)*('Property Data'!$D$8+'Property Data'!$D$15+'Property Data'!$D$22)</f>
        <v>163.76153185499996</v>
      </c>
      <c r="AZ38" s="841">
        <f>('Property Data'!$G$62/12)*(1+'Property Data'!$H$62)^(AZ$3-1)*('Property Data'!$D$8+'Property Data'!$D$15+'Property Data'!$D$22)</f>
        <v>163.76153185499996</v>
      </c>
      <c r="BA38" s="841">
        <f>('Property Data'!$G$62/12)*(1+'Property Data'!$H$62)^(BA$3-1)*('Property Data'!$D$8+'Property Data'!$D$15+'Property Data'!$D$22)</f>
        <v>163.76153185499996</v>
      </c>
      <c r="BB38" s="841">
        <f>('Property Data'!$G$62/12)*(1+'Property Data'!$H$62)^(BB$3-1)*('Property Data'!$D$8+'Property Data'!$D$15+'Property Data'!$D$22)</f>
        <v>163.76153185499996</v>
      </c>
      <c r="BC38" s="841">
        <f>('Property Data'!$G$62/12)*(1+'Property Data'!$H$62)^(BC$3-1)*('Property Data'!$D$8+'Property Data'!$D$15+'Property Data'!$D$22)</f>
        <v>163.76153185499996</v>
      </c>
      <c r="BD38" s="841">
        <f>('Property Data'!$G$62/12)*(1+'Property Data'!$H$62)^(BD$3-1)*('Property Data'!$D$8+'Property Data'!$D$15+'Property Data'!$D$22)</f>
        <v>163.76153185499996</v>
      </c>
      <c r="BE38" s="841">
        <f>('Property Data'!$G$62/12)*(1+'Property Data'!$H$62)^(BE$3-1)*('Property Data'!$D$8+'Property Data'!$D$15+'Property Data'!$D$22)</f>
        <v>163.76153185499996</v>
      </c>
      <c r="BF38" s="841">
        <f>('Property Data'!$G$62/12)*(1+'Property Data'!$H$62)^(BF$3-1)*('Property Data'!$D$8+'Property Data'!$D$15+'Property Data'!$D$22)</f>
        <v>163.76153185499996</v>
      </c>
      <c r="BG38" s="841">
        <f>('Property Data'!$G$62/12)*(1+'Property Data'!$H$62)^(BG$3-1)*('Property Data'!$D$8+'Property Data'!$D$15+'Property Data'!$D$22)</f>
        <v>163.76153185499996</v>
      </c>
      <c r="BH38" s="841">
        <f>('Property Data'!$G$62/12)*(1+'Property Data'!$H$62)^(BH$3-1)*('Property Data'!$D$8+'Property Data'!$D$15+'Property Data'!$D$22)</f>
        <v>163.76153185499996</v>
      </c>
      <c r="BI38" s="841">
        <f>('Property Data'!$G$62/12)*(1+'Property Data'!$H$62)^(BI$3-1)*('Property Data'!$D$8+'Property Data'!$D$15+'Property Data'!$D$22)</f>
        <v>163.76153185499996</v>
      </c>
      <c r="BJ38" s="841">
        <f>('Property Data'!$G$62/12)*(1+'Property Data'!$H$62)^(BJ$3-1)*('Property Data'!$D$8+'Property Data'!$D$15+'Property Data'!$D$22)</f>
        <v>163.76153185499996</v>
      </c>
    </row>
    <row r="39" spans="2:62">
      <c r="B39" s="401" t="s">
        <v>835</v>
      </c>
      <c r="C39" s="841">
        <f>'Property Data'!$G$63*(1+'Property Data'!$H$63)^(C$3-1)</f>
        <v>50</v>
      </c>
      <c r="D39" s="841">
        <f>'Property Data'!$G$63*(1+'Property Data'!$H$63)^(D$3-1)</f>
        <v>50</v>
      </c>
      <c r="E39" s="841">
        <f>'Property Data'!$G$63*(1+'Property Data'!$H$63)^(E$3-1)</f>
        <v>50</v>
      </c>
      <c r="F39" s="841">
        <f>'Property Data'!$G$63*(1+'Property Data'!$H$63)^(F$3-1)</f>
        <v>50</v>
      </c>
      <c r="G39" s="841">
        <f>'Property Data'!$G$63*(1+'Property Data'!$H$63)^(G$3-1)</f>
        <v>50</v>
      </c>
      <c r="H39" s="841">
        <f>'Property Data'!$G$63*(1+'Property Data'!$H$63)^(H$3-1)</f>
        <v>50</v>
      </c>
      <c r="I39" s="841">
        <f>'Property Data'!$G$63*(1+'Property Data'!$H$63)^(I$3-1)</f>
        <v>50</v>
      </c>
      <c r="J39" s="841">
        <f>'Property Data'!$G$63*(1+'Property Data'!$H$63)^(J$3-1)</f>
        <v>50</v>
      </c>
      <c r="K39" s="841">
        <f>'Property Data'!$G$63*(1+'Property Data'!$H$63)^(K$3-1)</f>
        <v>50</v>
      </c>
      <c r="L39" s="841">
        <f>'Property Data'!$G$63*(1+'Property Data'!$H$63)^(L$3-1)</f>
        <v>50</v>
      </c>
      <c r="M39" s="841">
        <f>'Property Data'!$G$63*(1+'Property Data'!$H$63)^(M$3-1)</f>
        <v>50</v>
      </c>
      <c r="N39" s="841">
        <f>'Property Data'!$G$63*(1+'Property Data'!$H$63)^(N$3-1)</f>
        <v>50</v>
      </c>
      <c r="O39" s="841">
        <f>'Property Data'!$G$63*(1+'Property Data'!$H$63)^(O$3-1)</f>
        <v>51.5</v>
      </c>
      <c r="P39" s="841">
        <f>'Property Data'!$G$63*(1+'Property Data'!$H$63)^(P$3-1)</f>
        <v>51.5</v>
      </c>
      <c r="Q39" s="841">
        <f>'Property Data'!$G$63*(1+'Property Data'!$H$63)^(Q$3-1)</f>
        <v>51.5</v>
      </c>
      <c r="R39" s="841">
        <f>'Property Data'!$G$63*(1+'Property Data'!$H$63)^(R$3-1)</f>
        <v>51.5</v>
      </c>
      <c r="S39" s="841">
        <f>'Property Data'!$G$63*(1+'Property Data'!$H$63)^(S$3-1)</f>
        <v>51.5</v>
      </c>
      <c r="T39" s="841">
        <f>'Property Data'!$G$63*(1+'Property Data'!$H$63)^(T$3-1)</f>
        <v>51.5</v>
      </c>
      <c r="U39" s="841">
        <f>'Property Data'!$G$63*(1+'Property Data'!$H$63)^(U$3-1)</f>
        <v>51.5</v>
      </c>
      <c r="V39" s="841">
        <f>'Property Data'!$G$63*(1+'Property Data'!$H$63)^(V$3-1)</f>
        <v>51.5</v>
      </c>
      <c r="W39" s="841">
        <f>'Property Data'!$G$63*(1+'Property Data'!$H$63)^(W$3-1)</f>
        <v>51.5</v>
      </c>
      <c r="X39" s="841">
        <f>'Property Data'!$G$63*(1+'Property Data'!$H$63)^(X$3-1)</f>
        <v>51.5</v>
      </c>
      <c r="Y39" s="841">
        <f>'Property Data'!$G$63*(1+'Property Data'!$H$63)^(Y$3-1)</f>
        <v>51.5</v>
      </c>
      <c r="Z39" s="841">
        <f>'Property Data'!$G$63*(1+'Property Data'!$H$63)^(Z$3-1)</f>
        <v>51.5</v>
      </c>
      <c r="AA39" s="841">
        <f>'Property Data'!$G$63*(1+'Property Data'!$H$63)^(AA$3-1)</f>
        <v>53.044999999999995</v>
      </c>
      <c r="AB39" s="841">
        <f>'Property Data'!$G$63*(1+'Property Data'!$H$63)^(AB$3-1)</f>
        <v>53.044999999999995</v>
      </c>
      <c r="AC39" s="841">
        <f>'Property Data'!$G$63*(1+'Property Data'!$H$63)^(AC$3-1)</f>
        <v>53.044999999999995</v>
      </c>
      <c r="AD39" s="841">
        <f>'Property Data'!$G$63*(1+'Property Data'!$H$63)^(AD$3-1)</f>
        <v>53.044999999999995</v>
      </c>
      <c r="AE39" s="841">
        <f>'Property Data'!$G$63*(1+'Property Data'!$H$63)^(AE$3-1)</f>
        <v>53.044999999999995</v>
      </c>
      <c r="AF39" s="841">
        <f>'Property Data'!$G$63*(1+'Property Data'!$H$63)^(AF$3-1)</f>
        <v>53.044999999999995</v>
      </c>
      <c r="AG39" s="841">
        <f>'Property Data'!$G$63*(1+'Property Data'!$H$63)^(AG$3-1)</f>
        <v>53.044999999999995</v>
      </c>
      <c r="AH39" s="1097">
        <f>'Property Data'!$G$63*(1+'Property Data'!$H$63)^(AH$3-1)</f>
        <v>53.044999999999995</v>
      </c>
      <c r="AI39" s="841">
        <f>'Property Data'!$G$63*(1+'Property Data'!$H$63)^(AI$3-1)</f>
        <v>53.044999999999995</v>
      </c>
      <c r="AJ39" s="841">
        <f>'Property Data'!$G$63*(1+'Property Data'!$H$63)^(AJ$3-1)</f>
        <v>53.044999999999995</v>
      </c>
      <c r="AK39" s="841">
        <f>'Property Data'!$G$63*(1+'Property Data'!$H$63)^(AK$3-1)</f>
        <v>53.044999999999995</v>
      </c>
      <c r="AL39" s="841">
        <f>'Property Data'!$G$63*(1+'Property Data'!$H$63)^(AL$3-1)</f>
        <v>53.044999999999995</v>
      </c>
      <c r="AM39" s="841">
        <f>'Property Data'!$G$63*(1+'Property Data'!$H$63)^(AM$3-1)</f>
        <v>54.63635</v>
      </c>
      <c r="AN39" s="841">
        <f>'Property Data'!$G$63*(1+'Property Data'!$H$63)^(AN$3-1)</f>
        <v>54.63635</v>
      </c>
      <c r="AO39" s="841">
        <f>'Property Data'!$G$63*(1+'Property Data'!$H$63)^(AO$3-1)</f>
        <v>54.63635</v>
      </c>
      <c r="AP39" s="841">
        <f>'Property Data'!$G$63*(1+'Property Data'!$H$63)^(AP$3-1)</f>
        <v>54.63635</v>
      </c>
      <c r="AQ39" s="841">
        <f>'Property Data'!$G$63*(1+'Property Data'!$H$63)^(AQ$3-1)</f>
        <v>54.63635</v>
      </c>
      <c r="AR39" s="841">
        <f>'Property Data'!$G$63*(1+'Property Data'!$H$63)^(AR$3-1)</f>
        <v>54.63635</v>
      </c>
      <c r="AS39" s="841">
        <f>'Property Data'!$G$63*(1+'Property Data'!$H$63)^(AS$3-1)</f>
        <v>54.63635</v>
      </c>
      <c r="AT39" s="841">
        <f>'Property Data'!$G$63*(1+'Property Data'!$H$63)^(AT$3-1)</f>
        <v>54.63635</v>
      </c>
      <c r="AU39" s="841">
        <f>'Property Data'!$G$63*(1+'Property Data'!$H$63)^(AU$3-1)</f>
        <v>54.63635</v>
      </c>
      <c r="AV39" s="841">
        <f>'Property Data'!$G$63*(1+'Property Data'!$H$63)^(AV$3-1)</f>
        <v>54.63635</v>
      </c>
      <c r="AW39" s="841">
        <f>'Property Data'!$G$63*(1+'Property Data'!$H$63)^(AW$3-1)</f>
        <v>54.63635</v>
      </c>
      <c r="AX39" s="841">
        <f>'Property Data'!$G$63*(1+'Property Data'!$H$63)^(AX$3-1)</f>
        <v>54.63635</v>
      </c>
      <c r="AY39" s="841">
        <f>'Property Data'!$G$63*(1+'Property Data'!$H$63)^(AY$3-1)</f>
        <v>56.275440499999995</v>
      </c>
      <c r="AZ39" s="841">
        <f>'Property Data'!$G$63*(1+'Property Data'!$H$63)^(AZ$3-1)</f>
        <v>56.275440499999995</v>
      </c>
      <c r="BA39" s="841">
        <f>'Property Data'!$G$63*(1+'Property Data'!$H$63)^(BA$3-1)</f>
        <v>56.275440499999995</v>
      </c>
      <c r="BB39" s="841">
        <f>'Property Data'!$G$63*(1+'Property Data'!$H$63)^(BB$3-1)</f>
        <v>56.275440499999995</v>
      </c>
      <c r="BC39" s="841">
        <f>'Property Data'!$G$63*(1+'Property Data'!$H$63)^(BC$3-1)</f>
        <v>56.275440499999995</v>
      </c>
      <c r="BD39" s="841">
        <f>'Property Data'!$G$63*(1+'Property Data'!$H$63)^(BD$3-1)</f>
        <v>56.275440499999995</v>
      </c>
      <c r="BE39" s="841">
        <f>'Property Data'!$G$63*(1+'Property Data'!$H$63)^(BE$3-1)</f>
        <v>56.275440499999995</v>
      </c>
      <c r="BF39" s="841">
        <f>'Property Data'!$G$63*(1+'Property Data'!$H$63)^(BF$3-1)</f>
        <v>56.275440499999995</v>
      </c>
      <c r="BG39" s="841">
        <f>'Property Data'!$G$63*(1+'Property Data'!$H$63)^(BG$3-1)</f>
        <v>56.275440499999995</v>
      </c>
      <c r="BH39" s="841">
        <f>'Property Data'!$G$63*(1+'Property Data'!$H$63)^(BH$3-1)</f>
        <v>56.275440499999995</v>
      </c>
      <c r="BI39" s="841">
        <f>'Property Data'!$G$63*(1+'Property Data'!$H$63)^(BI$3-1)</f>
        <v>56.275440499999995</v>
      </c>
      <c r="BJ39" s="841">
        <f>'Property Data'!$G$63*(1+'Property Data'!$H$63)^(BJ$3-1)</f>
        <v>56.275440499999995</v>
      </c>
    </row>
    <row r="40" spans="2:62">
      <c r="B40" s="401" t="s">
        <v>836</v>
      </c>
      <c r="C40" s="841">
        <f>'Property Data'!$G$64*(1+'Property Data'!$H$64)^(C$3-1)</f>
        <v>204.29017160686428</v>
      </c>
      <c r="D40" s="841">
        <f>'Property Data'!$G$64*(1+'Property Data'!$H$64)^(D$3-1)</f>
        <v>204.29017160686428</v>
      </c>
      <c r="E40" s="841">
        <f>'Property Data'!$G$64*(1+'Property Data'!$H$64)^(E$3-1)</f>
        <v>204.29017160686428</v>
      </c>
      <c r="F40" s="841">
        <f>'Property Data'!$G$64*(1+'Property Data'!$H$64)^(F$3-1)</f>
        <v>204.29017160686428</v>
      </c>
      <c r="G40" s="841">
        <f>'Property Data'!$G$64*(1+'Property Data'!$H$64)^(G$3-1)</f>
        <v>204.29017160686428</v>
      </c>
      <c r="H40" s="841">
        <f>'Property Data'!$G$64*(1+'Property Data'!$H$64)^(H$3-1)</f>
        <v>204.29017160686428</v>
      </c>
      <c r="I40" s="841">
        <f>'Property Data'!$G$64*(1+'Property Data'!$H$64)^(I$3-1)</f>
        <v>204.29017160686428</v>
      </c>
      <c r="J40" s="841">
        <f>'Property Data'!$G$64*(1+'Property Data'!$H$64)^(J$3-1)</f>
        <v>204.29017160686428</v>
      </c>
      <c r="K40" s="841">
        <f>'Property Data'!$G$64*(1+'Property Data'!$H$64)^(K$3-1)</f>
        <v>204.29017160686428</v>
      </c>
      <c r="L40" s="841">
        <f>'Property Data'!$G$64*(1+'Property Data'!$H$64)^(L$3-1)</f>
        <v>204.29017160686428</v>
      </c>
      <c r="M40" s="841">
        <f>'Property Data'!$G$64*(1+'Property Data'!$H$64)^(M$3-1)</f>
        <v>204.29017160686428</v>
      </c>
      <c r="N40" s="841">
        <f>'Property Data'!$G$64*(1+'Property Data'!$H$64)^(N$3-1)</f>
        <v>204.29017160686428</v>
      </c>
      <c r="O40" s="841">
        <f>'Property Data'!$G$64*(1+'Property Data'!$H$64)^(O$3-1)</f>
        <v>210.41887675507022</v>
      </c>
      <c r="P40" s="841">
        <f>'Property Data'!$G$64*(1+'Property Data'!$H$64)^(P$3-1)</f>
        <v>210.41887675507022</v>
      </c>
      <c r="Q40" s="841">
        <f>'Property Data'!$G$64*(1+'Property Data'!$H$64)^(Q$3-1)</f>
        <v>210.41887675507022</v>
      </c>
      <c r="R40" s="841">
        <f>'Property Data'!$G$64*(1+'Property Data'!$H$64)^(R$3-1)</f>
        <v>210.41887675507022</v>
      </c>
      <c r="S40" s="841">
        <f>'Property Data'!$G$64*(1+'Property Data'!$H$64)^(S$3-1)</f>
        <v>210.41887675507022</v>
      </c>
      <c r="T40" s="841">
        <f>'Property Data'!$G$64*(1+'Property Data'!$H$64)^(T$3-1)</f>
        <v>210.41887675507022</v>
      </c>
      <c r="U40" s="841">
        <f>'Property Data'!$G$64*(1+'Property Data'!$H$64)^(U$3-1)</f>
        <v>210.41887675507022</v>
      </c>
      <c r="V40" s="841">
        <f>'Property Data'!$G$64*(1+'Property Data'!$H$64)^(V$3-1)</f>
        <v>210.41887675507022</v>
      </c>
      <c r="W40" s="841">
        <f>'Property Data'!$G$64*(1+'Property Data'!$H$64)^(W$3-1)</f>
        <v>210.41887675507022</v>
      </c>
      <c r="X40" s="841">
        <f>'Property Data'!$G$64*(1+'Property Data'!$H$64)^(X$3-1)</f>
        <v>210.41887675507022</v>
      </c>
      <c r="Y40" s="841">
        <f>'Property Data'!$G$64*(1+'Property Data'!$H$64)^(Y$3-1)</f>
        <v>210.41887675507022</v>
      </c>
      <c r="Z40" s="841">
        <f>'Property Data'!$G$64*(1+'Property Data'!$H$64)^(Z$3-1)</f>
        <v>210.41887675507022</v>
      </c>
      <c r="AA40" s="841">
        <f>'Property Data'!$G$64*(1+'Property Data'!$H$64)^(AA$3-1)</f>
        <v>216.73144305772229</v>
      </c>
      <c r="AB40" s="841">
        <f>'Property Data'!$G$64*(1+'Property Data'!$H$64)^(AB$3-1)</f>
        <v>216.73144305772229</v>
      </c>
      <c r="AC40" s="841">
        <f>'Property Data'!$G$64*(1+'Property Data'!$H$64)^(AC$3-1)</f>
        <v>216.73144305772229</v>
      </c>
      <c r="AD40" s="841">
        <f>'Property Data'!$G$64*(1+'Property Data'!$H$64)^(AD$3-1)</f>
        <v>216.73144305772229</v>
      </c>
      <c r="AE40" s="841">
        <f>'Property Data'!$G$64*(1+'Property Data'!$H$64)^(AE$3-1)</f>
        <v>216.73144305772229</v>
      </c>
      <c r="AF40" s="841">
        <f>'Property Data'!$G$64*(1+'Property Data'!$H$64)^(AF$3-1)</f>
        <v>216.73144305772229</v>
      </c>
      <c r="AG40" s="841">
        <f>'Property Data'!$G$64*(1+'Property Data'!$H$64)^(AG$3-1)</f>
        <v>216.73144305772229</v>
      </c>
      <c r="AH40" s="1097">
        <f>'Property Data'!$G$64*(1+'Property Data'!$H$64)^(AH$3-1)</f>
        <v>216.73144305772229</v>
      </c>
      <c r="AI40" s="841">
        <f>'Property Data'!$G$64*(1+'Property Data'!$H$64)^(AI$3-1)</f>
        <v>216.73144305772229</v>
      </c>
      <c r="AJ40" s="841">
        <f>'Property Data'!$G$64*(1+'Property Data'!$H$64)^(AJ$3-1)</f>
        <v>216.73144305772229</v>
      </c>
      <c r="AK40" s="841">
        <f>'Property Data'!$G$64*(1+'Property Data'!$H$64)^(AK$3-1)</f>
        <v>216.73144305772229</v>
      </c>
      <c r="AL40" s="841">
        <f>'Property Data'!$G$64*(1+'Property Data'!$H$64)^(AL$3-1)</f>
        <v>216.73144305772229</v>
      </c>
      <c r="AM40" s="841">
        <f>'Property Data'!$G$64*(1+'Property Data'!$H$64)^(AM$3-1)</f>
        <v>223.23338634945398</v>
      </c>
      <c r="AN40" s="841">
        <f>'Property Data'!$G$64*(1+'Property Data'!$H$64)^(AN$3-1)</f>
        <v>223.23338634945398</v>
      </c>
      <c r="AO40" s="841">
        <f>'Property Data'!$G$64*(1+'Property Data'!$H$64)^(AO$3-1)</f>
        <v>223.23338634945398</v>
      </c>
      <c r="AP40" s="841">
        <f>'Property Data'!$G$64*(1+'Property Data'!$H$64)^(AP$3-1)</f>
        <v>223.23338634945398</v>
      </c>
      <c r="AQ40" s="841">
        <f>'Property Data'!$G$64*(1+'Property Data'!$H$64)^(AQ$3-1)</f>
        <v>223.23338634945398</v>
      </c>
      <c r="AR40" s="841">
        <f>'Property Data'!$G$64*(1+'Property Data'!$H$64)^(AR$3-1)</f>
        <v>223.23338634945398</v>
      </c>
      <c r="AS40" s="841">
        <f>'Property Data'!$G$64*(1+'Property Data'!$H$64)^(AS$3-1)</f>
        <v>223.23338634945398</v>
      </c>
      <c r="AT40" s="841">
        <f>'Property Data'!$G$64*(1+'Property Data'!$H$64)^(AT$3-1)</f>
        <v>223.23338634945398</v>
      </c>
      <c r="AU40" s="841">
        <f>'Property Data'!$G$64*(1+'Property Data'!$H$64)^(AU$3-1)</f>
        <v>223.23338634945398</v>
      </c>
      <c r="AV40" s="841">
        <f>'Property Data'!$G$64*(1+'Property Data'!$H$64)^(AV$3-1)</f>
        <v>223.23338634945398</v>
      </c>
      <c r="AW40" s="841">
        <f>'Property Data'!$G$64*(1+'Property Data'!$H$64)^(AW$3-1)</f>
        <v>223.23338634945398</v>
      </c>
      <c r="AX40" s="841">
        <f>'Property Data'!$G$64*(1+'Property Data'!$H$64)^(AX$3-1)</f>
        <v>223.23338634945398</v>
      </c>
      <c r="AY40" s="841">
        <f>'Property Data'!$G$64*(1+'Property Data'!$H$64)^(AY$3-1)</f>
        <v>229.93038793993759</v>
      </c>
      <c r="AZ40" s="841">
        <f>'Property Data'!$G$64*(1+'Property Data'!$H$64)^(AZ$3-1)</f>
        <v>229.93038793993759</v>
      </c>
      <c r="BA40" s="841">
        <f>'Property Data'!$G$64*(1+'Property Data'!$H$64)^(BA$3-1)</f>
        <v>229.93038793993759</v>
      </c>
      <c r="BB40" s="841">
        <f>'Property Data'!$G$64*(1+'Property Data'!$H$64)^(BB$3-1)</f>
        <v>229.93038793993759</v>
      </c>
      <c r="BC40" s="841">
        <f>'Property Data'!$G$64*(1+'Property Data'!$H$64)^(BC$3-1)</f>
        <v>229.93038793993759</v>
      </c>
      <c r="BD40" s="841">
        <f>'Property Data'!$G$64*(1+'Property Data'!$H$64)^(BD$3-1)</f>
        <v>229.93038793993759</v>
      </c>
      <c r="BE40" s="841">
        <f>'Property Data'!$G$64*(1+'Property Data'!$H$64)^(BE$3-1)</f>
        <v>229.93038793993759</v>
      </c>
      <c r="BF40" s="841">
        <f>'Property Data'!$G$64*(1+'Property Data'!$H$64)^(BF$3-1)</f>
        <v>229.93038793993759</v>
      </c>
      <c r="BG40" s="841">
        <f>'Property Data'!$G$64*(1+'Property Data'!$H$64)^(BG$3-1)</f>
        <v>229.93038793993759</v>
      </c>
      <c r="BH40" s="841">
        <f>'Property Data'!$G$64*(1+'Property Data'!$H$64)^(BH$3-1)</f>
        <v>229.93038793993759</v>
      </c>
      <c r="BI40" s="841">
        <f>'Property Data'!$G$64*(1+'Property Data'!$H$64)^(BI$3-1)</f>
        <v>229.93038793993759</v>
      </c>
      <c r="BJ40" s="841">
        <f>'Property Data'!$G$64*(1+'Property Data'!$H$64)^(BJ$3-1)</f>
        <v>229.93038793993759</v>
      </c>
    </row>
    <row r="41" spans="2:62">
      <c r="B41" s="849" t="s">
        <v>837</v>
      </c>
      <c r="C41" s="850">
        <f>+SUM(C27:C40)</f>
        <v>16901.816961637469</v>
      </c>
      <c r="D41" s="850">
        <f t="shared" ref="D41:BJ41" si="4">+SUM(D27:D40)</f>
        <v>16487.879045921636</v>
      </c>
      <c r="E41" s="850">
        <f t="shared" si="4"/>
        <v>16358.994104017174</v>
      </c>
      <c r="F41" s="850">
        <f t="shared" si="4"/>
        <v>16569.133298406676</v>
      </c>
      <c r="G41" s="850">
        <f t="shared" si="4"/>
        <v>16898.168844883508</v>
      </c>
      <c r="H41" s="850">
        <f t="shared" si="4"/>
        <v>17117.670909184755</v>
      </c>
      <c r="I41" s="850">
        <f t="shared" si="4"/>
        <v>17472.97926763038</v>
      </c>
      <c r="J41" s="850">
        <f t="shared" si="4"/>
        <v>17953.878415183186</v>
      </c>
      <c r="K41" s="850">
        <f t="shared" si="4"/>
        <v>18675.217484368783</v>
      </c>
      <c r="L41" s="850">
        <f t="shared" si="4"/>
        <v>19417.492790934575</v>
      </c>
      <c r="M41" s="850">
        <f t="shared" si="4"/>
        <v>20165.344656572441</v>
      </c>
      <c r="N41" s="850">
        <f t="shared" si="4"/>
        <v>19427.076947217742</v>
      </c>
      <c r="O41" s="851">
        <f t="shared" si="4"/>
        <v>19592.788032319862</v>
      </c>
      <c r="P41" s="850">
        <f t="shared" si="4"/>
        <v>19590.876381349506</v>
      </c>
      <c r="Q41" s="850">
        <f t="shared" si="4"/>
        <v>19354.045704169486</v>
      </c>
      <c r="R41" s="850">
        <f t="shared" si="4"/>
        <v>19710.846522608532</v>
      </c>
      <c r="S41" s="850">
        <f t="shared" si="4"/>
        <v>20055.39349739144</v>
      </c>
      <c r="T41" s="850">
        <f t="shared" si="4"/>
        <v>20292.797475020023</v>
      </c>
      <c r="U41" s="850">
        <f t="shared" si="4"/>
        <v>20750.727321068895</v>
      </c>
      <c r="V41" s="850">
        <f t="shared" si="4"/>
        <v>20990.200572107427</v>
      </c>
      <c r="W41" s="850">
        <f t="shared" si="4"/>
        <v>21704.73614119424</v>
      </c>
      <c r="X41" s="850">
        <f t="shared" si="4"/>
        <v>22095.810098971757</v>
      </c>
      <c r="Y41" s="850">
        <f t="shared" si="4"/>
        <v>22594.045415991528</v>
      </c>
      <c r="Z41" s="852">
        <f t="shared" si="4"/>
        <v>19928.153298226931</v>
      </c>
      <c r="AA41" s="850">
        <f t="shared" si="4"/>
        <v>20200.880168938929</v>
      </c>
      <c r="AB41" s="850">
        <f t="shared" si="4"/>
        <v>19964.036295355658</v>
      </c>
      <c r="AC41" s="850">
        <f t="shared" si="4"/>
        <v>19591.386055484221</v>
      </c>
      <c r="AD41" s="850">
        <f t="shared" si="4"/>
        <v>20344.673721819097</v>
      </c>
      <c r="AE41" s="850">
        <f t="shared" si="4"/>
        <v>20999.340775960387</v>
      </c>
      <c r="AF41" s="850">
        <f t="shared" si="4"/>
        <v>21038.530647548818</v>
      </c>
      <c r="AG41" s="850">
        <f t="shared" si="4"/>
        <v>21327.503982231068</v>
      </c>
      <c r="AH41" s="1118">
        <f t="shared" si="4"/>
        <v>21374.683613403289</v>
      </c>
      <c r="AI41" s="850">
        <f t="shared" si="4"/>
        <v>21801.930553160986</v>
      </c>
      <c r="AJ41" s="850">
        <f t="shared" si="4"/>
        <v>21098.959330202779</v>
      </c>
      <c r="AK41" s="850">
        <f t="shared" si="4"/>
        <v>21126.060582132686</v>
      </c>
      <c r="AL41" s="850">
        <f t="shared" si="4"/>
        <v>20781.072882141787</v>
      </c>
      <c r="AM41" s="851">
        <f t="shared" si="4"/>
        <v>21056.127642520532</v>
      </c>
      <c r="AN41" s="850">
        <f t="shared" si="4"/>
        <v>20799.496391132521</v>
      </c>
      <c r="AO41" s="850">
        <f t="shared" si="4"/>
        <v>20405.094154538067</v>
      </c>
      <c r="AP41" s="850">
        <f t="shared" si="4"/>
        <v>21167.22392453095</v>
      </c>
      <c r="AQ41" s="850">
        <f t="shared" si="4"/>
        <v>21827.490175573148</v>
      </c>
      <c r="AR41" s="850">
        <f t="shared" si="4"/>
        <v>21865.553770647035</v>
      </c>
      <c r="AS41" s="850">
        <f t="shared" si="4"/>
        <v>22034.801238901528</v>
      </c>
      <c r="AT41" s="850">
        <f t="shared" si="4"/>
        <v>22335.206997563626</v>
      </c>
      <c r="AU41" s="850">
        <f t="shared" si="4"/>
        <v>22254.098912896596</v>
      </c>
      <c r="AV41" s="850">
        <f t="shared" si="4"/>
        <v>21776.372683464826</v>
      </c>
      <c r="AW41" s="850">
        <f t="shared" si="4"/>
        <v>21925.264436596488</v>
      </c>
      <c r="AX41" s="852">
        <f t="shared" si="4"/>
        <v>21565.426907590041</v>
      </c>
      <c r="AY41" s="850">
        <f t="shared" si="4"/>
        <v>21845.536848482694</v>
      </c>
      <c r="AZ41" s="850">
        <f t="shared" si="4"/>
        <v>21583.006235722249</v>
      </c>
      <c r="BA41" s="850">
        <f t="shared" si="4"/>
        <v>21178.928341623941</v>
      </c>
      <c r="BB41" s="850">
        <f t="shared" si="4"/>
        <v>22092.77299501657</v>
      </c>
      <c r="BC41" s="850">
        <f t="shared" si="4"/>
        <v>22512.551672614412</v>
      </c>
      <c r="BD41" s="850">
        <f t="shared" si="4"/>
        <v>22682.720776755952</v>
      </c>
      <c r="BE41" s="850">
        <f t="shared" si="4"/>
        <v>22987.666927460326</v>
      </c>
      <c r="BF41" s="850">
        <f t="shared" si="4"/>
        <v>23037.860349556373</v>
      </c>
      <c r="BG41" s="850">
        <f t="shared" si="4"/>
        <v>23085.654461677696</v>
      </c>
      <c r="BH41" s="850">
        <f t="shared" si="4"/>
        <v>22725.988403260686</v>
      </c>
      <c r="BI41" s="850">
        <f t="shared" si="4"/>
        <v>22750.329019280962</v>
      </c>
      <c r="BJ41" s="850">
        <f t="shared" si="4"/>
        <v>22381.919264504035</v>
      </c>
    </row>
    <row r="42" spans="2:62">
      <c r="C42" s="841"/>
      <c r="D42" s="841"/>
      <c r="E42" s="841"/>
      <c r="F42" s="841"/>
      <c r="G42" s="841"/>
      <c r="H42" s="841"/>
      <c r="I42" s="841"/>
      <c r="J42" s="841"/>
      <c r="K42" s="841"/>
      <c r="L42" s="841"/>
      <c r="M42" s="841"/>
      <c r="N42" s="841"/>
      <c r="O42" s="842"/>
      <c r="P42" s="843"/>
      <c r="Q42" s="843"/>
      <c r="R42" s="843"/>
      <c r="S42" s="843"/>
      <c r="T42" s="843"/>
      <c r="U42" s="843"/>
      <c r="V42" s="843"/>
      <c r="W42" s="843"/>
      <c r="X42" s="843"/>
      <c r="Y42" s="843"/>
      <c r="Z42" s="844"/>
      <c r="AA42" s="841"/>
      <c r="AB42" s="841"/>
      <c r="AC42" s="841"/>
      <c r="AD42" s="841"/>
      <c r="AE42" s="841"/>
      <c r="AF42" s="841"/>
      <c r="AG42" s="841"/>
      <c r="AH42" s="1097"/>
      <c r="AI42" s="841"/>
      <c r="AJ42" s="841"/>
      <c r="AK42" s="841"/>
      <c r="AL42" s="841"/>
      <c r="AM42" s="842"/>
      <c r="AN42" s="843"/>
      <c r="AO42" s="843"/>
      <c r="AP42" s="843"/>
      <c r="AQ42" s="843"/>
      <c r="AR42" s="843"/>
      <c r="AS42" s="843"/>
      <c r="AT42" s="843"/>
      <c r="AU42" s="843"/>
      <c r="AV42" s="843"/>
      <c r="AW42" s="843"/>
      <c r="AX42" s="844"/>
      <c r="AY42" s="841"/>
      <c r="AZ42" s="841"/>
      <c r="BA42" s="841"/>
      <c r="BB42" s="841"/>
      <c r="BC42" s="841"/>
      <c r="BD42" s="841"/>
      <c r="BE42" s="841"/>
      <c r="BF42" s="841"/>
      <c r="BG42" s="841"/>
      <c r="BH42" s="841"/>
      <c r="BI42" s="841"/>
      <c r="BJ42" s="841"/>
    </row>
    <row r="43" spans="2:62">
      <c r="B43" s="4" t="s">
        <v>838</v>
      </c>
      <c r="C43" s="841"/>
      <c r="D43" s="841"/>
      <c r="E43" s="841"/>
      <c r="F43" s="841"/>
      <c r="G43" s="841"/>
      <c r="H43" s="841"/>
      <c r="I43" s="841"/>
      <c r="J43" s="841"/>
      <c r="K43" s="841"/>
      <c r="L43" s="841"/>
      <c r="M43" s="841"/>
      <c r="N43" s="841"/>
      <c r="O43" s="842"/>
      <c r="P43" s="843"/>
      <c r="Q43" s="843"/>
      <c r="R43" s="843"/>
      <c r="S43" s="843"/>
      <c r="T43" s="843"/>
      <c r="U43" s="843"/>
      <c r="V43" s="843"/>
      <c r="W43" s="843"/>
      <c r="X43" s="843"/>
      <c r="Y43" s="843"/>
      <c r="Z43" s="844"/>
      <c r="AA43" s="841"/>
      <c r="AB43" s="841"/>
      <c r="AC43" s="841"/>
      <c r="AD43" s="841"/>
      <c r="AE43" s="841"/>
      <c r="AF43" s="841"/>
      <c r="AG43" s="841"/>
      <c r="AH43" s="1097"/>
      <c r="AI43" s="841"/>
      <c r="AJ43" s="841"/>
      <c r="AK43" s="841"/>
      <c r="AL43" s="841"/>
      <c r="AM43" s="842"/>
      <c r="AN43" s="843"/>
      <c r="AO43" s="843"/>
      <c r="AP43" s="843"/>
      <c r="AQ43" s="843"/>
      <c r="AR43" s="843"/>
      <c r="AS43" s="843"/>
      <c r="AT43" s="843"/>
      <c r="AU43" s="843"/>
      <c r="AV43" s="843"/>
      <c r="AW43" s="843"/>
      <c r="AX43" s="844"/>
      <c r="AY43" s="841"/>
      <c r="AZ43" s="841"/>
      <c r="BA43" s="841"/>
      <c r="BB43" s="841"/>
      <c r="BC43" s="841"/>
      <c r="BD43" s="841"/>
      <c r="BE43" s="841"/>
      <c r="BF43" s="841"/>
      <c r="BG43" s="841"/>
      <c r="BH43" s="841"/>
      <c r="BI43" s="841"/>
      <c r="BJ43" s="841"/>
    </row>
    <row r="44" spans="2:62">
      <c r="B44" s="401" t="s">
        <v>839</v>
      </c>
      <c r="C44" s="841">
        <v>0</v>
      </c>
      <c r="D44" s="841">
        <v>0</v>
      </c>
      <c r="E44" s="841">
        <v>0</v>
      </c>
      <c r="F44" s="841">
        <v>0</v>
      </c>
      <c r="G44" s="841">
        <v>0</v>
      </c>
      <c r="H44" s="841">
        <v>0</v>
      </c>
      <c r="I44" s="841">
        <v>0</v>
      </c>
      <c r="J44" s="841">
        <v>0</v>
      </c>
      <c r="K44" s="841">
        <v>0</v>
      </c>
      <c r="L44" s="841">
        <v>0</v>
      </c>
      <c r="M44" s="841">
        <v>0</v>
      </c>
      <c r="N44" s="841">
        <v>0</v>
      </c>
      <c r="O44" s="842">
        <v>0</v>
      </c>
      <c r="P44" s="843">
        <v>0</v>
      </c>
      <c r="Q44" s="843">
        <v>0</v>
      </c>
      <c r="R44" s="843">
        <v>0</v>
      </c>
      <c r="S44" s="843">
        <v>0</v>
      </c>
      <c r="T44" s="843">
        <v>0</v>
      </c>
      <c r="U44" s="843">
        <v>0</v>
      </c>
      <c r="V44" s="843">
        <v>0</v>
      </c>
      <c r="W44" s="843">
        <v>0</v>
      </c>
      <c r="X44" s="843">
        <v>0</v>
      </c>
      <c r="Y44" s="843">
        <v>0</v>
      </c>
      <c r="Z44" s="844">
        <v>0</v>
      </c>
      <c r="AA44" s="841">
        <v>0</v>
      </c>
      <c r="AB44" s="841">
        <v>0</v>
      </c>
      <c r="AC44" s="841">
        <v>0</v>
      </c>
      <c r="AD44" s="841">
        <v>0</v>
      </c>
      <c r="AE44" s="841">
        <v>0</v>
      </c>
      <c r="AF44" s="841">
        <v>0</v>
      </c>
      <c r="AG44" s="841">
        <v>0</v>
      </c>
      <c r="AH44" s="1097">
        <v>0</v>
      </c>
      <c r="AI44" s="841">
        <v>0</v>
      </c>
      <c r="AJ44" s="841">
        <v>0</v>
      </c>
      <c r="AK44" s="841">
        <v>0</v>
      </c>
      <c r="AL44" s="841">
        <v>0</v>
      </c>
      <c r="AM44" s="842">
        <v>0</v>
      </c>
      <c r="AN44" s="843">
        <v>0</v>
      </c>
      <c r="AO44" s="843">
        <v>0</v>
      </c>
      <c r="AP44" s="843">
        <v>0</v>
      </c>
      <c r="AQ44" s="843">
        <v>0</v>
      </c>
      <c r="AR44" s="843">
        <v>0</v>
      </c>
      <c r="AS44" s="843">
        <v>0</v>
      </c>
      <c r="AT44" s="843">
        <v>0</v>
      </c>
      <c r="AU44" s="843">
        <v>0</v>
      </c>
      <c r="AV44" s="843">
        <v>0</v>
      </c>
      <c r="AW44" s="843">
        <v>0</v>
      </c>
      <c r="AX44" s="844">
        <v>0</v>
      </c>
      <c r="AY44" s="841">
        <v>0</v>
      </c>
      <c r="AZ44" s="841">
        <v>0</v>
      </c>
      <c r="BA44" s="841">
        <v>0</v>
      </c>
      <c r="BB44" s="841">
        <v>0</v>
      </c>
      <c r="BC44" s="841">
        <v>0</v>
      </c>
      <c r="BD44" s="841">
        <v>0</v>
      </c>
      <c r="BE44" s="841">
        <v>0</v>
      </c>
      <c r="BF44" s="841">
        <v>0</v>
      </c>
      <c r="BG44" s="841">
        <v>0</v>
      </c>
      <c r="BH44" s="841">
        <v>0</v>
      </c>
      <c r="BI44" s="841">
        <v>0</v>
      </c>
      <c r="BJ44" s="841">
        <v>0</v>
      </c>
    </row>
    <row r="45" spans="2:62">
      <c r="B45" s="401" t="s">
        <v>839</v>
      </c>
      <c r="C45" s="841">
        <v>0</v>
      </c>
      <c r="D45" s="841">
        <v>0</v>
      </c>
      <c r="E45" s="841">
        <v>0</v>
      </c>
      <c r="F45" s="841">
        <v>0</v>
      </c>
      <c r="G45" s="841">
        <v>0</v>
      </c>
      <c r="H45" s="841">
        <v>0</v>
      </c>
      <c r="I45" s="841">
        <v>0</v>
      </c>
      <c r="J45" s="841">
        <v>0</v>
      </c>
      <c r="K45" s="841">
        <v>0</v>
      </c>
      <c r="L45" s="841">
        <v>0</v>
      </c>
      <c r="M45" s="841">
        <v>0</v>
      </c>
      <c r="N45" s="841">
        <v>0</v>
      </c>
      <c r="O45" s="842">
        <v>0</v>
      </c>
      <c r="P45" s="843">
        <v>0</v>
      </c>
      <c r="Q45" s="843">
        <v>0</v>
      </c>
      <c r="R45" s="843">
        <v>0</v>
      </c>
      <c r="S45" s="843">
        <v>0</v>
      </c>
      <c r="T45" s="843">
        <v>0</v>
      </c>
      <c r="U45" s="843">
        <v>0</v>
      </c>
      <c r="V45" s="843">
        <v>0</v>
      </c>
      <c r="W45" s="843">
        <v>0</v>
      </c>
      <c r="X45" s="843">
        <v>0</v>
      </c>
      <c r="Y45" s="843">
        <v>0</v>
      </c>
      <c r="Z45" s="844">
        <v>0</v>
      </c>
      <c r="AA45" s="841">
        <v>0</v>
      </c>
      <c r="AB45" s="841">
        <v>0</v>
      </c>
      <c r="AC45" s="841">
        <v>0</v>
      </c>
      <c r="AD45" s="841">
        <v>0</v>
      </c>
      <c r="AE45" s="841">
        <v>0</v>
      </c>
      <c r="AF45" s="841">
        <v>0</v>
      </c>
      <c r="AG45" s="841">
        <v>0</v>
      </c>
      <c r="AH45" s="1097">
        <v>0</v>
      </c>
      <c r="AI45" s="841">
        <v>0</v>
      </c>
      <c r="AJ45" s="841">
        <v>0</v>
      </c>
      <c r="AK45" s="841">
        <v>0</v>
      </c>
      <c r="AL45" s="841">
        <v>0</v>
      </c>
      <c r="AM45" s="842">
        <v>0</v>
      </c>
      <c r="AN45" s="843">
        <v>0</v>
      </c>
      <c r="AO45" s="843">
        <v>0</v>
      </c>
      <c r="AP45" s="843">
        <v>0</v>
      </c>
      <c r="AQ45" s="843">
        <v>0</v>
      </c>
      <c r="AR45" s="843">
        <v>0</v>
      </c>
      <c r="AS45" s="843">
        <v>0</v>
      </c>
      <c r="AT45" s="843">
        <v>0</v>
      </c>
      <c r="AU45" s="843">
        <v>0</v>
      </c>
      <c r="AV45" s="843">
        <v>0</v>
      </c>
      <c r="AW45" s="843">
        <v>0</v>
      </c>
      <c r="AX45" s="844">
        <v>0</v>
      </c>
      <c r="AY45" s="841">
        <v>0</v>
      </c>
      <c r="AZ45" s="841">
        <v>0</v>
      </c>
      <c r="BA45" s="841">
        <v>0</v>
      </c>
      <c r="BB45" s="841">
        <v>0</v>
      </c>
      <c r="BC45" s="841">
        <v>0</v>
      </c>
      <c r="BD45" s="841">
        <v>0</v>
      </c>
      <c r="BE45" s="841">
        <v>0</v>
      </c>
      <c r="BF45" s="841">
        <v>0</v>
      </c>
      <c r="BG45" s="841">
        <v>0</v>
      </c>
      <c r="BH45" s="841">
        <v>0</v>
      </c>
      <c r="BI45" s="841">
        <v>0</v>
      </c>
      <c r="BJ45" s="841">
        <v>0</v>
      </c>
    </row>
    <row r="46" spans="2:62">
      <c r="B46" s="401" t="s">
        <v>839</v>
      </c>
      <c r="C46" s="841">
        <v>0</v>
      </c>
      <c r="D46" s="841">
        <v>0</v>
      </c>
      <c r="E46" s="841">
        <v>0</v>
      </c>
      <c r="F46" s="841">
        <v>0</v>
      </c>
      <c r="G46" s="841">
        <v>0</v>
      </c>
      <c r="H46" s="841">
        <v>0</v>
      </c>
      <c r="I46" s="841">
        <v>0</v>
      </c>
      <c r="J46" s="841">
        <v>0</v>
      </c>
      <c r="K46" s="841">
        <v>0</v>
      </c>
      <c r="L46" s="841">
        <v>0</v>
      </c>
      <c r="M46" s="841">
        <v>0</v>
      </c>
      <c r="N46" s="841">
        <v>0</v>
      </c>
      <c r="O46" s="842">
        <v>0</v>
      </c>
      <c r="P46" s="843">
        <v>0</v>
      </c>
      <c r="Q46" s="843">
        <v>0</v>
      </c>
      <c r="R46" s="843">
        <v>0</v>
      </c>
      <c r="S46" s="843">
        <v>0</v>
      </c>
      <c r="T46" s="843">
        <v>0</v>
      </c>
      <c r="U46" s="843">
        <v>0</v>
      </c>
      <c r="V46" s="843">
        <v>0</v>
      </c>
      <c r="W46" s="843">
        <v>0</v>
      </c>
      <c r="X46" s="843">
        <v>0</v>
      </c>
      <c r="Y46" s="843">
        <v>0</v>
      </c>
      <c r="Z46" s="844">
        <v>0</v>
      </c>
      <c r="AA46" s="841">
        <v>0</v>
      </c>
      <c r="AB46" s="841">
        <v>0</v>
      </c>
      <c r="AC46" s="841">
        <v>0</v>
      </c>
      <c r="AD46" s="841">
        <v>0</v>
      </c>
      <c r="AE46" s="841">
        <v>0</v>
      </c>
      <c r="AF46" s="841">
        <v>0</v>
      </c>
      <c r="AG46" s="841">
        <v>0</v>
      </c>
      <c r="AH46" s="1097">
        <v>0</v>
      </c>
      <c r="AI46" s="841">
        <v>0</v>
      </c>
      <c r="AJ46" s="841">
        <v>0</v>
      </c>
      <c r="AK46" s="841">
        <v>0</v>
      </c>
      <c r="AL46" s="841">
        <v>0</v>
      </c>
      <c r="AM46" s="842">
        <v>0</v>
      </c>
      <c r="AN46" s="843">
        <v>0</v>
      </c>
      <c r="AO46" s="843">
        <v>0</v>
      </c>
      <c r="AP46" s="843">
        <v>0</v>
      </c>
      <c r="AQ46" s="843">
        <v>0</v>
      </c>
      <c r="AR46" s="843">
        <v>0</v>
      </c>
      <c r="AS46" s="843">
        <v>0</v>
      </c>
      <c r="AT46" s="843">
        <v>0</v>
      </c>
      <c r="AU46" s="843">
        <v>0</v>
      </c>
      <c r="AV46" s="843">
        <v>0</v>
      </c>
      <c r="AW46" s="843">
        <v>0</v>
      </c>
      <c r="AX46" s="844">
        <v>0</v>
      </c>
      <c r="AY46" s="841">
        <v>0</v>
      </c>
      <c r="AZ46" s="841">
        <v>0</v>
      </c>
      <c r="BA46" s="841">
        <v>0</v>
      </c>
      <c r="BB46" s="841">
        <v>0</v>
      </c>
      <c r="BC46" s="841">
        <v>0</v>
      </c>
      <c r="BD46" s="841">
        <v>0</v>
      </c>
      <c r="BE46" s="841">
        <v>0</v>
      </c>
      <c r="BF46" s="841">
        <v>0</v>
      </c>
      <c r="BG46" s="841">
        <v>0</v>
      </c>
      <c r="BH46" s="841">
        <v>0</v>
      </c>
      <c r="BI46" s="841">
        <v>0</v>
      </c>
      <c r="BJ46" s="841">
        <v>0</v>
      </c>
    </row>
    <row r="47" spans="2:62">
      <c r="B47" s="849" t="s">
        <v>840</v>
      </c>
      <c r="C47" s="850">
        <f>SUM(C44:C46)</f>
        <v>0</v>
      </c>
      <c r="D47" s="850">
        <f t="shared" ref="D47:BJ47" si="5">SUM(D44:D46)</f>
        <v>0</v>
      </c>
      <c r="E47" s="850">
        <f t="shared" si="5"/>
        <v>0</v>
      </c>
      <c r="F47" s="850">
        <f t="shared" si="5"/>
        <v>0</v>
      </c>
      <c r="G47" s="850">
        <f t="shared" si="5"/>
        <v>0</v>
      </c>
      <c r="H47" s="850">
        <f t="shared" si="5"/>
        <v>0</v>
      </c>
      <c r="I47" s="850">
        <f t="shared" si="5"/>
        <v>0</v>
      </c>
      <c r="J47" s="850">
        <f t="shared" si="5"/>
        <v>0</v>
      </c>
      <c r="K47" s="850">
        <f t="shared" si="5"/>
        <v>0</v>
      </c>
      <c r="L47" s="850">
        <f t="shared" si="5"/>
        <v>0</v>
      </c>
      <c r="M47" s="850">
        <f t="shared" si="5"/>
        <v>0</v>
      </c>
      <c r="N47" s="850">
        <f t="shared" si="5"/>
        <v>0</v>
      </c>
      <c r="O47" s="851">
        <f t="shared" si="5"/>
        <v>0</v>
      </c>
      <c r="P47" s="850">
        <f t="shared" si="5"/>
        <v>0</v>
      </c>
      <c r="Q47" s="850">
        <f t="shared" si="5"/>
        <v>0</v>
      </c>
      <c r="R47" s="850">
        <f t="shared" si="5"/>
        <v>0</v>
      </c>
      <c r="S47" s="850">
        <f t="shared" si="5"/>
        <v>0</v>
      </c>
      <c r="T47" s="850">
        <f t="shared" si="5"/>
        <v>0</v>
      </c>
      <c r="U47" s="850">
        <f t="shared" si="5"/>
        <v>0</v>
      </c>
      <c r="V47" s="850">
        <f t="shared" si="5"/>
        <v>0</v>
      </c>
      <c r="W47" s="850">
        <f t="shared" si="5"/>
        <v>0</v>
      </c>
      <c r="X47" s="850">
        <f t="shared" si="5"/>
        <v>0</v>
      </c>
      <c r="Y47" s="850">
        <f t="shared" si="5"/>
        <v>0</v>
      </c>
      <c r="Z47" s="852">
        <f t="shared" si="5"/>
        <v>0</v>
      </c>
      <c r="AA47" s="850">
        <f t="shared" si="5"/>
        <v>0</v>
      </c>
      <c r="AB47" s="850">
        <f t="shared" si="5"/>
        <v>0</v>
      </c>
      <c r="AC47" s="850">
        <f t="shared" si="5"/>
        <v>0</v>
      </c>
      <c r="AD47" s="850">
        <f t="shared" si="5"/>
        <v>0</v>
      </c>
      <c r="AE47" s="850">
        <f t="shared" si="5"/>
        <v>0</v>
      </c>
      <c r="AF47" s="850">
        <f t="shared" si="5"/>
        <v>0</v>
      </c>
      <c r="AG47" s="850">
        <f t="shared" si="5"/>
        <v>0</v>
      </c>
      <c r="AH47" s="1118">
        <f t="shared" si="5"/>
        <v>0</v>
      </c>
      <c r="AI47" s="850">
        <f t="shared" si="5"/>
        <v>0</v>
      </c>
      <c r="AJ47" s="850">
        <f t="shared" si="5"/>
        <v>0</v>
      </c>
      <c r="AK47" s="850">
        <f t="shared" si="5"/>
        <v>0</v>
      </c>
      <c r="AL47" s="850">
        <f t="shared" si="5"/>
        <v>0</v>
      </c>
      <c r="AM47" s="851">
        <f t="shared" si="5"/>
        <v>0</v>
      </c>
      <c r="AN47" s="850">
        <f t="shared" si="5"/>
        <v>0</v>
      </c>
      <c r="AO47" s="850">
        <f t="shared" si="5"/>
        <v>0</v>
      </c>
      <c r="AP47" s="850">
        <f t="shared" si="5"/>
        <v>0</v>
      </c>
      <c r="AQ47" s="850">
        <f t="shared" si="5"/>
        <v>0</v>
      </c>
      <c r="AR47" s="850">
        <f t="shared" si="5"/>
        <v>0</v>
      </c>
      <c r="AS47" s="850">
        <f t="shared" si="5"/>
        <v>0</v>
      </c>
      <c r="AT47" s="850">
        <f t="shared" si="5"/>
        <v>0</v>
      </c>
      <c r="AU47" s="850">
        <f t="shared" si="5"/>
        <v>0</v>
      </c>
      <c r="AV47" s="850">
        <f t="shared" si="5"/>
        <v>0</v>
      </c>
      <c r="AW47" s="850">
        <f t="shared" si="5"/>
        <v>0</v>
      </c>
      <c r="AX47" s="852">
        <f t="shared" si="5"/>
        <v>0</v>
      </c>
      <c r="AY47" s="850">
        <f t="shared" si="5"/>
        <v>0</v>
      </c>
      <c r="AZ47" s="850">
        <f t="shared" si="5"/>
        <v>0</v>
      </c>
      <c r="BA47" s="850">
        <f t="shared" si="5"/>
        <v>0</v>
      </c>
      <c r="BB47" s="850">
        <f t="shared" si="5"/>
        <v>0</v>
      </c>
      <c r="BC47" s="850">
        <f t="shared" si="5"/>
        <v>0</v>
      </c>
      <c r="BD47" s="850">
        <f t="shared" si="5"/>
        <v>0</v>
      </c>
      <c r="BE47" s="850">
        <f t="shared" si="5"/>
        <v>0</v>
      </c>
      <c r="BF47" s="850">
        <f t="shared" si="5"/>
        <v>0</v>
      </c>
      <c r="BG47" s="850">
        <f t="shared" si="5"/>
        <v>0</v>
      </c>
      <c r="BH47" s="850">
        <f t="shared" si="5"/>
        <v>0</v>
      </c>
      <c r="BI47" s="850">
        <f t="shared" si="5"/>
        <v>0</v>
      </c>
      <c r="BJ47" s="850">
        <f t="shared" si="5"/>
        <v>0</v>
      </c>
    </row>
    <row r="48" spans="2:62">
      <c r="C48" s="841"/>
      <c r="D48" s="841"/>
      <c r="E48" s="841"/>
      <c r="F48" s="841"/>
      <c r="G48" s="841"/>
      <c r="H48" s="841"/>
      <c r="I48" s="841"/>
      <c r="J48" s="841"/>
      <c r="K48" s="841"/>
      <c r="L48" s="841"/>
      <c r="M48" s="841"/>
      <c r="N48" s="841"/>
      <c r="O48" s="842"/>
      <c r="P48" s="843"/>
      <c r="Q48" s="843"/>
      <c r="R48" s="843"/>
      <c r="S48" s="843"/>
      <c r="T48" s="843"/>
      <c r="U48" s="843"/>
      <c r="V48" s="843"/>
      <c r="W48" s="843"/>
      <c r="X48" s="843"/>
      <c r="Y48" s="843"/>
      <c r="Z48" s="844"/>
      <c r="AA48" s="841"/>
      <c r="AB48" s="841"/>
      <c r="AC48" s="841"/>
      <c r="AD48" s="841"/>
      <c r="AE48" s="841"/>
      <c r="AF48" s="841"/>
      <c r="AG48" s="841"/>
      <c r="AH48" s="1097"/>
      <c r="AI48" s="841"/>
      <c r="AJ48" s="841"/>
      <c r="AK48" s="841"/>
      <c r="AL48" s="841"/>
      <c r="AM48" s="842"/>
      <c r="AN48" s="843"/>
      <c r="AO48" s="843"/>
      <c r="AP48" s="843"/>
      <c r="AQ48" s="843"/>
      <c r="AR48" s="843"/>
      <c r="AS48" s="843"/>
      <c r="AT48" s="843"/>
      <c r="AU48" s="843"/>
      <c r="AV48" s="843"/>
      <c r="AW48" s="843"/>
      <c r="AX48" s="844"/>
      <c r="AY48" s="841"/>
      <c r="AZ48" s="841"/>
      <c r="BA48" s="841"/>
      <c r="BB48" s="841"/>
      <c r="BC48" s="841"/>
      <c r="BD48" s="841"/>
      <c r="BE48" s="841"/>
      <c r="BF48" s="841"/>
      <c r="BG48" s="841"/>
      <c r="BH48" s="841"/>
      <c r="BI48" s="841"/>
      <c r="BJ48" s="841"/>
    </row>
    <row r="49" spans="1:63" ht="15" thickBot="1">
      <c r="B49" s="845" t="s">
        <v>23</v>
      </c>
      <c r="C49" s="846">
        <f>+C24+C41+C47</f>
        <v>17921.625845052313</v>
      </c>
      <c r="D49" s="846">
        <f t="shared" ref="D49:BJ49" si="6">+D24+D41+D47</f>
        <v>17717.296930642642</v>
      </c>
      <c r="E49" s="846">
        <f t="shared" si="6"/>
        <v>17854.007541335792</v>
      </c>
      <c r="F49" s="846">
        <f t="shared" si="6"/>
        <v>18314.045686321726</v>
      </c>
      <c r="G49" s="846">
        <f t="shared" si="6"/>
        <v>18903.214601544372</v>
      </c>
      <c r="H49" s="846">
        <f t="shared" si="6"/>
        <v>19397.208754743555</v>
      </c>
      <c r="I49" s="846">
        <f t="shared" si="6"/>
        <v>20081.660401373032</v>
      </c>
      <c r="J49" s="846">
        <f t="shared" si="6"/>
        <v>20919.521309831198</v>
      </c>
      <c r="K49" s="846">
        <f t="shared" si="6"/>
        <v>22025.244334077634</v>
      </c>
      <c r="L49" s="846">
        <f t="shared" si="6"/>
        <v>23206.896112556235</v>
      </c>
      <c r="M49" s="846">
        <f t="shared" si="6"/>
        <v>24408.772211936222</v>
      </c>
      <c r="N49" s="846">
        <f t="shared" si="6"/>
        <v>24147.85465267652</v>
      </c>
      <c r="O49" s="847">
        <f t="shared" si="6"/>
        <v>24724.191946744875</v>
      </c>
      <c r="P49" s="846">
        <f t="shared" si="6"/>
        <v>25027.599692559044</v>
      </c>
      <c r="Q49" s="846">
        <f t="shared" si="6"/>
        <v>25099.715769986171</v>
      </c>
      <c r="R49" s="846">
        <f t="shared" si="6"/>
        <v>25773.032071525118</v>
      </c>
      <c r="S49" s="846">
        <f t="shared" si="6"/>
        <v>26401.907766737793</v>
      </c>
      <c r="T49" s="846">
        <f t="shared" si="6"/>
        <v>26952.552192270792</v>
      </c>
      <c r="U49" s="846">
        <f t="shared" si="6"/>
        <v>27682.289100608032</v>
      </c>
      <c r="V49" s="846">
        <f t="shared" si="6"/>
        <v>28240.438091041113</v>
      </c>
      <c r="W49" s="846">
        <f t="shared" si="6"/>
        <v>29280.117088262617</v>
      </c>
      <c r="X49" s="846">
        <f t="shared" si="6"/>
        <v>30077.730641802416</v>
      </c>
      <c r="Y49" s="846">
        <f t="shared" si="6"/>
        <v>30953.642058194109</v>
      </c>
      <c r="Z49" s="848">
        <f t="shared" si="6"/>
        <v>28423.175311101179</v>
      </c>
      <c r="AA49" s="846">
        <f t="shared" si="6"/>
        <v>28736.642716035993</v>
      </c>
      <c r="AB49" s="846">
        <f t="shared" si="6"/>
        <v>28515.414707840657</v>
      </c>
      <c r="AC49" s="846">
        <f t="shared" si="6"/>
        <v>28120.525164573588</v>
      </c>
      <c r="AD49" s="846">
        <f t="shared" si="6"/>
        <v>28939.271114481406</v>
      </c>
      <c r="AE49" s="846">
        <f t="shared" si="6"/>
        <v>29719.215864167145</v>
      </c>
      <c r="AF49" s="846">
        <f t="shared" si="6"/>
        <v>29861.344465127851</v>
      </c>
      <c r="AG49" s="846">
        <f t="shared" si="6"/>
        <v>30271.628652242151</v>
      </c>
      <c r="AH49" s="846">
        <f t="shared" si="6"/>
        <v>30442.733447960065</v>
      </c>
      <c r="AI49" s="846">
        <f t="shared" si="6"/>
        <v>31035.62702281465</v>
      </c>
      <c r="AJ49" s="846">
        <f t="shared" si="6"/>
        <v>30399.362040886219</v>
      </c>
      <c r="AK49" s="846">
        <f t="shared" si="6"/>
        <v>30497.649247885351</v>
      </c>
      <c r="AL49" s="846">
        <f t="shared" si="6"/>
        <v>30203.082515918359</v>
      </c>
      <c r="AM49" s="847">
        <f t="shared" si="6"/>
        <v>30503.147739325777</v>
      </c>
      <c r="AN49" s="846">
        <f t="shared" si="6"/>
        <v>30227.713280825257</v>
      </c>
      <c r="AO49" s="846">
        <f t="shared" si="6"/>
        <v>29780.270155909369</v>
      </c>
      <c r="AP49" s="846">
        <f t="shared" si="6"/>
        <v>30578.41614881689</v>
      </c>
      <c r="AQ49" s="846">
        <f t="shared" si="6"/>
        <v>31334.777886263262</v>
      </c>
      <c r="AR49" s="846">
        <f t="shared" si="6"/>
        <v>31472.821857731222</v>
      </c>
      <c r="AS49" s="846">
        <f t="shared" si="6"/>
        <v>31758.985236000844</v>
      </c>
      <c r="AT49" s="846">
        <f t="shared" si="6"/>
        <v>32193.175240882068</v>
      </c>
      <c r="AU49" s="846">
        <f t="shared" si="6"/>
        <v>32226.664027089631</v>
      </c>
      <c r="AV49" s="846">
        <f t="shared" si="6"/>
        <v>31804.673328083743</v>
      </c>
      <c r="AW49" s="846">
        <f t="shared" si="6"/>
        <v>32017.013312841242</v>
      </c>
      <c r="AX49" s="848">
        <f t="shared" si="6"/>
        <v>31694.924860777857</v>
      </c>
      <c r="AY49" s="846">
        <f t="shared" si="6"/>
        <v>31990.823537622084</v>
      </c>
      <c r="AZ49" s="846">
        <f t="shared" si="6"/>
        <v>31712.076508273531</v>
      </c>
      <c r="BA49" s="846">
        <f t="shared" si="6"/>
        <v>31256.666668404345</v>
      </c>
      <c r="BB49" s="846">
        <f t="shared" si="6"/>
        <v>32214.102636122276</v>
      </c>
      <c r="BC49" s="846">
        <f t="shared" si="6"/>
        <v>32726.453984149783</v>
      </c>
      <c r="BD49" s="846">
        <f t="shared" si="6"/>
        <v>33006.918605371764</v>
      </c>
      <c r="BE49" s="846">
        <f t="shared" si="6"/>
        <v>33439.492652330293</v>
      </c>
      <c r="BF49" s="846">
        <f t="shared" si="6"/>
        <v>33621.527463131955</v>
      </c>
      <c r="BG49" s="846">
        <f t="shared" si="6"/>
        <v>33794.860776425288</v>
      </c>
      <c r="BH49" s="846">
        <f t="shared" si="6"/>
        <v>33500.51786062694</v>
      </c>
      <c r="BI49" s="846">
        <f t="shared" si="6"/>
        <v>33588.793161393805</v>
      </c>
      <c r="BJ49" s="846">
        <f t="shared" si="6"/>
        <v>33262.73977346348</v>
      </c>
    </row>
    <row r="50" spans="1:63" ht="15" thickTop="1">
      <c r="C50" s="841"/>
      <c r="D50" s="841"/>
      <c r="E50" s="841"/>
      <c r="F50" s="841"/>
      <c r="G50" s="841"/>
      <c r="H50" s="841"/>
      <c r="I50" s="841"/>
      <c r="J50" s="841"/>
      <c r="K50" s="841"/>
      <c r="L50" s="841"/>
      <c r="M50" s="841"/>
      <c r="N50" s="841"/>
      <c r="O50" s="842"/>
      <c r="P50" s="843"/>
      <c r="Q50" s="843"/>
      <c r="R50" s="843"/>
      <c r="S50" s="843"/>
      <c r="T50" s="843"/>
      <c r="U50" s="843"/>
      <c r="V50" s="843"/>
      <c r="W50" s="843"/>
      <c r="X50" s="843"/>
      <c r="Y50" s="843"/>
      <c r="Z50" s="844"/>
      <c r="AA50" s="841"/>
      <c r="AB50" s="841"/>
      <c r="AC50" s="841"/>
      <c r="AD50" s="841"/>
      <c r="AE50" s="841"/>
      <c r="AF50" s="841"/>
      <c r="AG50" s="841"/>
      <c r="AH50" s="841"/>
      <c r="AI50" s="841"/>
      <c r="AJ50" s="841"/>
      <c r="AK50" s="841"/>
      <c r="AL50" s="841"/>
      <c r="AM50" s="842"/>
      <c r="AN50" s="843"/>
      <c r="AO50" s="843"/>
      <c r="AP50" s="843"/>
      <c r="AQ50" s="843"/>
      <c r="AR50" s="843"/>
      <c r="AS50" s="843"/>
      <c r="AT50" s="843"/>
      <c r="AU50" s="843"/>
      <c r="AV50" s="843"/>
      <c r="AW50" s="843"/>
      <c r="AX50" s="844"/>
      <c r="AY50" s="841"/>
      <c r="AZ50" s="841"/>
      <c r="BA50" s="841"/>
      <c r="BB50" s="841"/>
      <c r="BC50" s="841"/>
      <c r="BD50" s="841"/>
      <c r="BE50" s="841"/>
      <c r="BF50" s="841"/>
      <c r="BG50" s="841"/>
      <c r="BH50" s="841"/>
      <c r="BI50" s="841"/>
      <c r="BJ50" s="841"/>
    </row>
    <row r="51" spans="1:63" ht="15" thickBot="1">
      <c r="B51" s="845" t="s">
        <v>24</v>
      </c>
      <c r="C51" s="853">
        <f t="shared" ref="C51:BJ51" si="7">+C18-C49</f>
        <v>-13332.305327329976</v>
      </c>
      <c r="D51" s="853">
        <f t="shared" si="7"/>
        <v>-7539.8220349333278</v>
      </c>
      <c r="E51" s="853">
        <f t="shared" si="7"/>
        <v>-691.95076542469906</v>
      </c>
      <c r="F51" s="853">
        <f t="shared" si="7"/>
        <v>5435.787830197678</v>
      </c>
      <c r="G51" s="853">
        <f t="shared" si="7"/>
        <v>11702.021404137755</v>
      </c>
      <c r="H51" s="853">
        <f t="shared" si="7"/>
        <v>18425.975404447465</v>
      </c>
      <c r="I51" s="853">
        <f t="shared" si="7"/>
        <v>26354.232777574412</v>
      </c>
      <c r="J51" s="853">
        <f t="shared" si="7"/>
        <v>34843.670931799119</v>
      </c>
      <c r="K51" s="853">
        <f t="shared" si="7"/>
        <v>43792.62803228636</v>
      </c>
      <c r="L51" s="853">
        <f t="shared" si="7"/>
        <v>54074.871895328324</v>
      </c>
      <c r="M51" s="853">
        <f t="shared" si="7"/>
        <v>64728.453105244618</v>
      </c>
      <c r="N51" s="853">
        <f t="shared" si="7"/>
        <v>77340.178654207295</v>
      </c>
      <c r="O51" s="854">
        <f t="shared" si="7"/>
        <v>87369.101871815059</v>
      </c>
      <c r="P51" s="853">
        <f t="shared" si="7"/>
        <v>94978.175886575322</v>
      </c>
      <c r="Q51" s="853">
        <f t="shared" si="7"/>
        <v>102880.20761780567</v>
      </c>
      <c r="R51" s="853">
        <f t="shared" si="7"/>
        <v>110373.82927316916</v>
      </c>
      <c r="S51" s="853">
        <f t="shared" si="7"/>
        <v>117106.95149640116</v>
      </c>
      <c r="T51" s="853">
        <f t="shared" si="7"/>
        <v>124641.50760419236</v>
      </c>
      <c r="U51" s="853">
        <f t="shared" si="7"/>
        <v>130956.88961964901</v>
      </c>
      <c r="V51" s="853">
        <f t="shared" si="7"/>
        <v>138625.33022169286</v>
      </c>
      <c r="W51" s="853">
        <f t="shared" si="7"/>
        <v>146005.90917138854</v>
      </c>
      <c r="X51" s="853">
        <f t="shared" si="7"/>
        <v>155691.29442909037</v>
      </c>
      <c r="Y51" s="853">
        <f t="shared" si="7"/>
        <v>164574.84656950773</v>
      </c>
      <c r="Z51" s="855">
        <f t="shared" si="7"/>
        <v>170532.26638642803</v>
      </c>
      <c r="AA51" s="853">
        <f t="shared" si="7"/>
        <v>171228.36191558669</v>
      </c>
      <c r="AB51" s="853">
        <f t="shared" si="7"/>
        <v>171804.36434618739</v>
      </c>
      <c r="AC51" s="853">
        <f t="shared" si="7"/>
        <v>171577.11429170825</v>
      </c>
      <c r="AD51" s="853">
        <f t="shared" si="7"/>
        <v>172409.8043501715</v>
      </c>
      <c r="AE51" s="853">
        <f t="shared" si="7"/>
        <v>174833.44994767001</v>
      </c>
      <c r="AF51" s="853">
        <f t="shared" si="7"/>
        <v>177333.96075878144</v>
      </c>
      <c r="AG51" s="853">
        <f t="shared" si="7"/>
        <v>180038.29482072231</v>
      </c>
      <c r="AH51" s="853">
        <f t="shared" si="7"/>
        <v>183053.51599618531</v>
      </c>
      <c r="AI51" s="853">
        <f t="shared" si="7"/>
        <v>186723.07901416704</v>
      </c>
      <c r="AJ51" s="853">
        <f t="shared" si="7"/>
        <v>189052.39579888168</v>
      </c>
      <c r="AK51" s="853">
        <f t="shared" si="7"/>
        <v>190760.85872054307</v>
      </c>
      <c r="AL51" s="853">
        <f t="shared" si="7"/>
        <v>192322.32217436683</v>
      </c>
      <c r="AM51" s="854">
        <f t="shared" si="7"/>
        <v>192630.1438913384</v>
      </c>
      <c r="AN51" s="853">
        <f t="shared" si="7"/>
        <v>192384.47669131652</v>
      </c>
      <c r="AO51" s="853">
        <f t="shared" si="7"/>
        <v>191425.8505377415</v>
      </c>
      <c r="AP51" s="853">
        <f t="shared" si="7"/>
        <v>191529.84096956672</v>
      </c>
      <c r="AQ51" s="853">
        <f t="shared" si="7"/>
        <v>193234.482463608</v>
      </c>
      <c r="AR51" s="853">
        <f t="shared" si="7"/>
        <v>195662.18140392465</v>
      </c>
      <c r="AS51" s="853">
        <f t="shared" si="7"/>
        <v>198377.38226900253</v>
      </c>
      <c r="AT51" s="853">
        <f t="shared" si="7"/>
        <v>201378.13965729249</v>
      </c>
      <c r="AU51" s="853">
        <f t="shared" si="7"/>
        <v>204285.05329261729</v>
      </c>
      <c r="AV51" s="853">
        <f t="shared" si="7"/>
        <v>206121.65136283843</v>
      </c>
      <c r="AW51" s="853">
        <f t="shared" si="7"/>
        <v>207519.67258685853</v>
      </c>
      <c r="AX51" s="855">
        <f t="shared" si="7"/>
        <v>208787.03615974204</v>
      </c>
      <c r="AY51" s="853">
        <f t="shared" si="7"/>
        <v>208864.97043654826</v>
      </c>
      <c r="AZ51" s="853">
        <f t="shared" si="7"/>
        <v>208688.27038921206</v>
      </c>
      <c r="BA51" s="853">
        <f t="shared" si="7"/>
        <v>207780.98512700043</v>
      </c>
      <c r="BB51" s="853">
        <f t="shared" si="7"/>
        <v>207917.94678733154</v>
      </c>
      <c r="BC51" s="853">
        <f t="shared" si="7"/>
        <v>209777.1870978346</v>
      </c>
      <c r="BD51" s="853">
        <f t="shared" si="7"/>
        <v>212324.27098957414</v>
      </c>
      <c r="BE51" s="853">
        <f t="shared" si="7"/>
        <v>215164.93900928844</v>
      </c>
      <c r="BF51" s="853">
        <f t="shared" si="7"/>
        <v>218368.5404872543</v>
      </c>
      <c r="BG51" s="853">
        <f t="shared" si="7"/>
        <v>221413.33371471707</v>
      </c>
      <c r="BH51" s="853">
        <f t="shared" si="7"/>
        <v>223365.62441271482</v>
      </c>
      <c r="BI51" s="853">
        <f t="shared" si="7"/>
        <v>224900.05684663306</v>
      </c>
      <c r="BJ51" s="853">
        <f t="shared" si="7"/>
        <v>226288.32164735146</v>
      </c>
    </row>
    <row r="52" spans="1:63" ht="15" thickTop="1">
      <c r="AH52" s="1098"/>
    </row>
    <row r="53" spans="1:63" ht="15" thickBot="1">
      <c r="AH53" s="1098"/>
    </row>
    <row r="54" spans="1:63" ht="17.5" thickBot="1">
      <c r="A54" s="823"/>
      <c r="B54" s="823"/>
      <c r="C54" s="823"/>
      <c r="D54" s="823"/>
      <c r="E54" s="899" t="s">
        <v>914</v>
      </c>
      <c r="F54" s="900"/>
      <c r="G54" s="900"/>
      <c r="H54" s="900"/>
      <c r="I54" s="900"/>
      <c r="J54" s="901"/>
      <c r="K54" s="901"/>
      <c r="L54" s="901"/>
      <c r="M54" s="823"/>
      <c r="N54" s="823"/>
      <c r="O54" s="823"/>
      <c r="P54" s="823"/>
      <c r="Q54" s="823"/>
      <c r="R54" s="823"/>
      <c r="S54" s="823"/>
      <c r="T54" s="823"/>
      <c r="U54" s="823"/>
      <c r="V54" s="823"/>
      <c r="W54" s="823"/>
      <c r="X54" s="823"/>
      <c r="Y54" s="823"/>
      <c r="Z54" s="823"/>
      <c r="AA54" s="823"/>
      <c r="AB54" s="823"/>
      <c r="AC54" s="823"/>
      <c r="AD54" s="823"/>
      <c r="AE54" s="823"/>
      <c r="AF54" s="823"/>
      <c r="AG54" s="823"/>
      <c r="AH54" s="1119"/>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row>
    <row r="55" spans="1:63">
      <c r="E55" s="902"/>
      <c r="L55" s="903"/>
      <c r="AH55" s="1098"/>
    </row>
    <row r="56" spans="1:63">
      <c r="E56" s="904" t="s">
        <v>915</v>
      </c>
      <c r="L56" s="905">
        <f>+ROUNDUP($D$41+$D$24,-3)</f>
        <v>18000</v>
      </c>
    </row>
    <row r="57" spans="1:63">
      <c r="E57" s="904" t="s">
        <v>916</v>
      </c>
      <c r="L57" s="905">
        <f>'Property Data'!H68</f>
        <v>7100</v>
      </c>
    </row>
    <row r="58" spans="1:63">
      <c r="E58" s="906" t="s">
        <v>917</v>
      </c>
      <c r="F58" s="907"/>
      <c r="G58" s="907"/>
      <c r="H58" s="907"/>
      <c r="I58" s="907"/>
      <c r="J58" s="907"/>
      <c r="K58" s="907"/>
      <c r="L58" s="908">
        <f>+SUM(L56:L57)</f>
        <v>25100</v>
      </c>
    </row>
    <row r="59" spans="1:63">
      <c r="E59" s="902"/>
      <c r="L59" s="909"/>
    </row>
    <row r="60" spans="1:63">
      <c r="E60" s="910" t="s">
        <v>918</v>
      </c>
      <c r="L60" s="909"/>
    </row>
    <row r="61" spans="1:63">
      <c r="E61" s="911" t="s">
        <v>901</v>
      </c>
      <c r="L61" s="905">
        <f>+'Property Data'!$H$69</f>
        <v>2500</v>
      </c>
    </row>
    <row r="62" spans="1:63">
      <c r="E62" s="911" t="s">
        <v>902</v>
      </c>
      <c r="L62" s="905">
        <f>+'Property Data'!$H$70</f>
        <v>2000</v>
      </c>
    </row>
    <row r="63" spans="1:63">
      <c r="E63" s="911" t="s">
        <v>904</v>
      </c>
      <c r="L63" s="905">
        <f>+'Property Data'!$H$71</f>
        <v>1000</v>
      </c>
    </row>
    <row r="64" spans="1:63">
      <c r="E64" s="911" t="s">
        <v>905</v>
      </c>
      <c r="L64" s="905">
        <f>+'Property Data'!$H$72</f>
        <v>1200</v>
      </c>
    </row>
    <row r="65" spans="3:14">
      <c r="E65" s="911" t="s">
        <v>919</v>
      </c>
      <c r="L65" s="905">
        <f>+'Property Data'!$H$73</f>
        <v>2000</v>
      </c>
    </row>
    <row r="66" spans="3:14">
      <c r="E66" s="911" t="s">
        <v>907</v>
      </c>
      <c r="L66" s="905">
        <f>+'Property Data'!$H$74</f>
        <v>1200</v>
      </c>
    </row>
    <row r="67" spans="3:14">
      <c r="E67" s="911" t="s">
        <v>908</v>
      </c>
      <c r="L67" s="905">
        <f>+'Property Data'!$H$75</f>
        <v>2500</v>
      </c>
    </row>
    <row r="68" spans="3:14">
      <c r="E68" s="911" t="s">
        <v>909</v>
      </c>
      <c r="L68" s="912">
        <f>+'Property Data'!$H$76</f>
        <v>1000</v>
      </c>
    </row>
    <row r="69" spans="3:14">
      <c r="E69" s="911" t="s">
        <v>920</v>
      </c>
      <c r="L69" s="905">
        <f>+'Property Data'!$H$77</f>
        <v>500</v>
      </c>
    </row>
    <row r="70" spans="3:14">
      <c r="E70" s="911" t="s">
        <v>921</v>
      </c>
      <c r="L70" s="905">
        <f>+'Property Data'!$H$78</f>
        <v>11829.909</v>
      </c>
    </row>
    <row r="71" spans="3:14">
      <c r="E71" s="913" t="s">
        <v>922</v>
      </c>
      <c r="F71" s="914"/>
      <c r="G71" s="914"/>
      <c r="H71" s="914"/>
      <c r="I71" s="914"/>
      <c r="J71" s="914"/>
      <c r="K71" s="914"/>
      <c r="L71" s="915">
        <f>+SUM(L61:L70)</f>
        <v>25729.909</v>
      </c>
    </row>
    <row r="72" spans="3:14">
      <c r="E72" s="904"/>
      <c r="L72" s="909"/>
    </row>
    <row r="73" spans="3:14" ht="15" thickBot="1">
      <c r="E73" s="916" t="s">
        <v>923</v>
      </c>
      <c r="F73" s="917"/>
      <c r="G73" s="917"/>
      <c r="H73" s="917"/>
      <c r="I73" s="917"/>
      <c r="J73" s="917"/>
      <c r="K73" s="917"/>
      <c r="L73" s="918">
        <f>+L58+L71</f>
        <v>50829.909</v>
      </c>
    </row>
    <row r="74" spans="3:14" ht="15.5" thickTop="1" thickBot="1">
      <c r="E74" s="919"/>
      <c r="F74" s="920"/>
      <c r="G74" s="920"/>
      <c r="H74" s="920"/>
      <c r="I74" s="920"/>
      <c r="J74" s="920"/>
      <c r="K74" s="920"/>
      <c r="L74" s="921"/>
    </row>
    <row r="76" spans="3:14" ht="91">
      <c r="C76" s="897" t="s">
        <v>912</v>
      </c>
      <c r="D76" s="897"/>
      <c r="E76" s="897"/>
      <c r="F76" s="897"/>
      <c r="G76" s="897"/>
      <c r="H76" s="897"/>
      <c r="I76" s="922"/>
      <c r="J76" s="922"/>
      <c r="K76" s="922"/>
      <c r="L76" s="922"/>
      <c r="M76" s="922"/>
      <c r="N76" s="922"/>
    </row>
    <row r="77" spans="3:14">
      <c r="C77" s="13"/>
      <c r="D77" s="13"/>
      <c r="E77" s="13"/>
      <c r="F77" s="13"/>
      <c r="G77" s="13"/>
      <c r="H77" s="13"/>
    </row>
    <row r="78" spans="3:14" ht="65">
      <c r="C78" s="897" t="s">
        <v>913</v>
      </c>
      <c r="D78" s="897"/>
      <c r="E78" s="897"/>
      <c r="F78" s="897"/>
      <c r="G78" s="897"/>
      <c r="H78" s="897"/>
      <c r="I78" s="922"/>
      <c r="J78" s="922"/>
      <c r="K78" s="922"/>
      <c r="L78" s="922"/>
      <c r="M78" s="922"/>
      <c r="N78" s="922"/>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A067-A3E6-481D-BB63-779E06CB6D46}">
  <sheetPr>
    <tabColor rgb="FFFFC000"/>
  </sheetPr>
  <dimension ref="B1:G55"/>
  <sheetViews>
    <sheetView workbookViewId="0">
      <selection activeCell="D47" sqref="D47"/>
    </sheetView>
  </sheetViews>
  <sheetFormatPr defaultRowHeight="14.5"/>
  <cols>
    <col min="1" max="1" width="1.6328125" customWidth="1"/>
    <col min="2" max="2" width="40.36328125" customWidth="1"/>
    <col min="3" max="7" width="15.6328125" customWidth="1"/>
    <col min="8" max="8" width="1.6328125" customWidth="1"/>
  </cols>
  <sheetData>
    <row r="1" spans="2:7">
      <c r="C1">
        <v>1</v>
      </c>
      <c r="D1">
        <v>2</v>
      </c>
      <c r="E1">
        <v>3</v>
      </c>
      <c r="F1">
        <v>4</v>
      </c>
      <c r="G1">
        <v>5</v>
      </c>
    </row>
    <row r="7" spans="2:7" ht="16">
      <c r="B7" s="1121"/>
      <c r="C7" s="1121" t="s">
        <v>658</v>
      </c>
      <c r="D7" s="1121" t="s">
        <v>659</v>
      </c>
      <c r="E7" s="1121" t="s">
        <v>660</v>
      </c>
      <c r="F7" s="1121" t="s">
        <v>661</v>
      </c>
      <c r="G7" s="1121" t="s">
        <v>662</v>
      </c>
    </row>
    <row r="9" spans="2:7">
      <c r="B9" s="1122" t="s">
        <v>983</v>
      </c>
      <c r="C9" s="1123">
        <f>+'5 Year Model'!N9</f>
        <v>0.60980004878944616</v>
      </c>
      <c r="D9" s="1123">
        <f>+'5 Year Model'!Z9</f>
        <v>0.92946512407858628</v>
      </c>
      <c r="E9" s="1123">
        <f>+'5 Year Model'!AL9</f>
        <v>0.93755187499999992</v>
      </c>
      <c r="F9" s="1123">
        <f>+'5 Year Model'!AX9</f>
        <v>0.93755187499999992</v>
      </c>
      <c r="G9" s="1124">
        <f>+'5 Year Model'!BJ9</f>
        <v>0.93755187499999992</v>
      </c>
    </row>
    <row r="10" spans="2:7">
      <c r="B10" s="3" t="s">
        <v>984</v>
      </c>
      <c r="C10" s="1125">
        <f>+'5 Year Model'!N11</f>
        <v>2.5422466446354943</v>
      </c>
      <c r="D10" s="1125">
        <f>+'5 Year Model'!Z11</f>
        <v>3.0058729519673184</v>
      </c>
      <c r="E10" s="1125">
        <f>+'5 Year Model'!AL11</f>
        <v>3.3427005092135222</v>
      </c>
      <c r="F10" s="1125">
        <f>+'5 Year Model'!AX11</f>
        <v>3.6200561718982445</v>
      </c>
      <c r="G10" s="1126">
        <f>+'5 Year Model'!BJ11</f>
        <v>3.9145347811204232</v>
      </c>
    </row>
    <row r="12" spans="2:7">
      <c r="B12" s="4" t="s">
        <v>811</v>
      </c>
    </row>
    <row r="13" spans="2:7">
      <c r="B13" s="401" t="s">
        <v>985</v>
      </c>
      <c r="C13" s="1127">
        <f>+SUMIF('5 Year Model'!$3:$3,'5 Year Summary'!C$1,'5 Year Model'!$14:$14)</f>
        <v>484960.00412191963</v>
      </c>
      <c r="D13" s="1127">
        <f>+SUMIF('5 Year Model'!$3:$3,'5 Year Summary'!D$1,'5 Year Model'!$14:$14)</f>
        <v>1762054.2962033914</v>
      </c>
      <c r="E13" s="1127">
        <f>+SUMIF('5 Year Model'!$3:$3,'5 Year Summary'!E$1,'5 Year Model'!$14:$14)</f>
        <v>2411323.4606993333</v>
      </c>
      <c r="F13" s="1127">
        <f>+SUMIF('5 Year Model'!$3:$3,'5 Year Summary'!F$1,'5 Year Model'!$14:$14)</f>
        <v>2652549.9451419245</v>
      </c>
      <c r="G13" s="1127">
        <f>+SUMIF('5 Year Model'!$3:$3,'5 Year Summary'!G$1,'5 Year Model'!$14:$14)</f>
        <v>2872480.8713543052</v>
      </c>
    </row>
    <row r="14" spans="2:7">
      <c r="B14" s="401" t="s">
        <v>813</v>
      </c>
      <c r="C14" s="1127">
        <f>+SUMIF('5 Year Model'!$3:$3,'5 Year Summary'!C$1,'5 Year Model'!$15:$15)</f>
        <v>20038.814753257851</v>
      </c>
      <c r="D14" s="1127">
        <f>+SUMIF('5 Year Model'!$3:$3,'5 Year Summary'!D$1,'5 Year Model'!$15:$15)</f>
        <v>50038.405675157141</v>
      </c>
      <c r="E14" s="1127">
        <f>+SUMIF('5 Year Model'!$3:$3,'5 Year Summary'!E$1,'5 Year Model'!$15:$15)</f>
        <v>58046.558395571861</v>
      </c>
      <c r="F14" s="1127">
        <f>+SUMIF('5 Year Model'!$3:$3,'5 Year Summary'!F$1,'5 Year Model'!$15:$15)</f>
        <v>58308.549218470143</v>
      </c>
      <c r="G14" s="1127">
        <f>+SUMIF('5 Year Model'!$3:$3,'5 Year Summary'!G$1,'5 Year Model'!$15:$15)</f>
        <v>58308.549218470129</v>
      </c>
    </row>
    <row r="15" spans="2:7">
      <c r="B15" s="401" t="s">
        <v>814</v>
      </c>
      <c r="C15" s="1127">
        <f>+SUMIF('5 Year Model'!$3:$3,'5 Year Summary'!C$1,'5 Year Model'!$16:$16)</f>
        <v>10005.867529899784</v>
      </c>
      <c r="D15" s="1127">
        <f>+SUMIF('5 Year Model'!$3:$3,'5 Year Summary'!D$1,'5 Year Model'!$16:$16)</f>
        <v>10960</v>
      </c>
      <c r="E15" s="1127">
        <f>+SUMIF('5 Year Model'!$3:$3,'5 Year Summary'!E$1,'5 Year Model'!$16:$16)</f>
        <v>8820</v>
      </c>
      <c r="F15" s="1127">
        <f>+SUMIF('5 Year Model'!$3:$3,'5 Year Summary'!F$1,'5 Year Model'!$16:$16)</f>
        <v>8740</v>
      </c>
      <c r="G15" s="1127">
        <f>+SUMIF('5 Year Model'!$3:$3,'5 Year Summary'!G$1,'5 Year Model'!$16:$16)</f>
        <v>8760</v>
      </c>
    </row>
    <row r="16" spans="2:7">
      <c r="B16" s="401" t="s">
        <v>815</v>
      </c>
      <c r="C16" s="1127">
        <f>+SUMIF('5 Year Model'!$3:$3,'5 Year Summary'!C$1,'5 Year Model'!$17:$17)</f>
        <v>45026.403884549029</v>
      </c>
      <c r="D16" s="1127">
        <f>+SUMIF('5 Year Model'!$3:$3,'5 Year Summary'!D$1,'5 Year Model'!$17:$17)</f>
        <v>49320</v>
      </c>
      <c r="E16" s="1127">
        <f>+SUMIF('5 Year Model'!$3:$3,'5 Year Summary'!E$1,'5 Year Model'!$17:$17)</f>
        <v>39690</v>
      </c>
      <c r="F16" s="1127">
        <f>+SUMIF('5 Year Model'!$3:$3,'5 Year Summary'!F$1,'5 Year Model'!$17:$17)</f>
        <v>39330</v>
      </c>
      <c r="G16" s="1127">
        <f>+SUMIF('5 Year Model'!$3:$3,'5 Year Summary'!G$1,'5 Year Model'!$17:$17)</f>
        <v>39420</v>
      </c>
    </row>
    <row r="17" spans="2:7" ht="15" thickBot="1">
      <c r="B17" s="845" t="s">
        <v>816</v>
      </c>
      <c r="C17" s="1128">
        <f>+SUM(C13:C16)</f>
        <v>560031.09028962627</v>
      </c>
      <c r="D17" s="1128">
        <f t="shared" ref="D17:G17" si="0">+SUM(D13:D16)</f>
        <v>1872372.7018785486</v>
      </c>
      <c r="E17" s="1128">
        <f t="shared" si="0"/>
        <v>2517880.0190949054</v>
      </c>
      <c r="F17" s="1128">
        <f t="shared" si="0"/>
        <v>2758928.4943603948</v>
      </c>
      <c r="G17" s="1128">
        <f t="shared" si="0"/>
        <v>2978969.4205727754</v>
      </c>
    </row>
    <row r="18" spans="2:7" ht="15" thickTop="1">
      <c r="C18" s="1129"/>
      <c r="D18" s="1129"/>
      <c r="E18" s="1129"/>
      <c r="F18" s="1129"/>
      <c r="G18" s="1129"/>
    </row>
    <row r="19" spans="2:7">
      <c r="B19" s="4" t="s">
        <v>817</v>
      </c>
      <c r="C19" s="1130"/>
      <c r="D19" s="1130"/>
      <c r="E19" s="1130"/>
      <c r="F19" s="1130"/>
      <c r="G19" s="1130"/>
    </row>
    <row r="20" spans="2:7">
      <c r="B20" s="401" t="s">
        <v>818</v>
      </c>
      <c r="C20" s="1127">
        <f>+SUMIF('5 Year Model'!$3:$3,'5 Year Summary'!C$1,'5 Year Model'!$21:$21)</f>
        <v>3588</v>
      </c>
      <c r="D20" s="1127">
        <f>+SUMIF('5 Year Model'!$3:$3,'5 Year Summary'!D$1,'5 Year Model'!$21:$21)</f>
        <v>3588</v>
      </c>
      <c r="E20" s="1127">
        <f>+SUMIF('5 Year Model'!$3:$3,'5 Year Summary'!E$1,'5 Year Model'!$21:$21)</f>
        <v>3588</v>
      </c>
      <c r="F20" s="1127">
        <f>+SUMIF('5 Year Model'!$3:$3,'5 Year Summary'!F$1,'5 Year Model'!$21:$21)</f>
        <v>3588</v>
      </c>
      <c r="G20" s="1127">
        <f>+SUMIF('5 Year Model'!$3:$3,'5 Year Summary'!G$1,'5 Year Model'!$21:$21)</f>
        <v>3588</v>
      </c>
    </row>
    <row r="21" spans="2:7">
      <c r="B21" s="401" t="s">
        <v>819</v>
      </c>
      <c r="C21" s="1127">
        <f>+SUMIF('5 Year Model'!$3:$3,'5 Year Summary'!C$1,'5 Year Model'!$22:$22)</f>
        <v>6588</v>
      </c>
      <c r="D21" s="1127">
        <f>+SUMIF('5 Year Model'!$3:$3,'5 Year Summary'!D$1,'5 Year Model'!$22:$22)</f>
        <v>6588</v>
      </c>
      <c r="E21" s="1127">
        <f>+SUMIF('5 Year Model'!$3:$3,'5 Year Summary'!E$1,'5 Year Model'!$22:$22)</f>
        <v>6588</v>
      </c>
      <c r="F21" s="1127">
        <f>+SUMIF('5 Year Model'!$3:$3,'5 Year Summary'!F$1,'5 Year Model'!$22:$22)</f>
        <v>6588</v>
      </c>
      <c r="G21" s="1127">
        <f>+SUMIF('5 Year Model'!$3:$3,'5 Year Summary'!G$1,'5 Year Model'!$22:$22)</f>
        <v>6588</v>
      </c>
    </row>
    <row r="22" spans="2:7">
      <c r="B22" s="401" t="s">
        <v>820</v>
      </c>
      <c r="C22" s="1127">
        <f>+SUMIF('5 Year Model'!$3:$3,'5 Year Summary'!C$1,'5 Year Model'!$23:$23)</f>
        <v>21275.695656132917</v>
      </c>
      <c r="D22" s="1127">
        <f>+SUMIF('5 Year Model'!$3:$3,'5 Year Summary'!D$1,'5 Year Model'!$23:$23)</f>
        <v>71799.971270413633</v>
      </c>
      <c r="E22" s="1127">
        <f>+SUMIF('5 Year Model'!$3:$3,'5 Year Summary'!E$1,'5 Year Model'!$23:$23)</f>
        <v>96917.438351553734</v>
      </c>
      <c r="F22" s="1127">
        <f>+SUMIF('5 Year Model'!$3:$3,'5 Year Summary'!F$1,'5 Year Model'!$23:$23)</f>
        <v>106404.42583859182</v>
      </c>
      <c r="G22" s="1127">
        <f>+SUMIF('5 Year Model'!$3:$3,'5 Year Summary'!G$1,'5 Year Model'!$23:$23)</f>
        <v>115074.03833135965</v>
      </c>
    </row>
    <row r="23" spans="2:7">
      <c r="B23" s="849" t="s">
        <v>821</v>
      </c>
      <c r="C23" s="1131">
        <f>+SUM(C20:C22)</f>
        <v>31451.695656132917</v>
      </c>
      <c r="D23" s="1131">
        <f t="shared" ref="D23:G23" si="1">+SUM(D20:D22)</f>
        <v>81975.971270413633</v>
      </c>
      <c r="E23" s="1131">
        <f t="shared" si="1"/>
        <v>107093.43835155373</v>
      </c>
      <c r="F23" s="1131">
        <f t="shared" si="1"/>
        <v>116580.42583859182</v>
      </c>
      <c r="G23" s="1131">
        <f t="shared" si="1"/>
        <v>125250.03833135965</v>
      </c>
    </row>
    <row r="24" spans="2:7">
      <c r="C24" s="1134">
        <f>C23/C$17</f>
        <v>5.6160624296532048E-2</v>
      </c>
      <c r="D24" s="1134">
        <f t="shared" ref="D24" si="2">D23/D$17</f>
        <v>4.3781866285578327E-2</v>
      </c>
      <c r="E24" s="1134">
        <f t="shared" ref="E24" si="3">E23/E$17</f>
        <v>4.253317772863946E-2</v>
      </c>
      <c r="F24" s="1134">
        <f t="shared" ref="F24" si="4">F23/F$17</f>
        <v>4.2255689510220081E-2</v>
      </c>
      <c r="G24" s="1134">
        <f t="shared" ref="G24" si="5">G23/G$17</f>
        <v>4.2044754627685116E-2</v>
      </c>
    </row>
    <row r="25" spans="2:7">
      <c r="B25" s="4" t="s">
        <v>822</v>
      </c>
      <c r="C25" s="1130"/>
      <c r="D25" s="1130"/>
      <c r="E25" s="1130"/>
      <c r="F25" s="1130"/>
      <c r="G25" s="1130"/>
    </row>
    <row r="26" spans="2:7">
      <c r="B26" s="401" t="s">
        <v>823</v>
      </c>
      <c r="C26" s="1127">
        <f>+SUMIF('5 Year Model'!$3:$3,'5 Year Summary'!C$1,'5 Year Model'!$27:$27)</f>
        <v>5002.9337649498921</v>
      </c>
      <c r="D26" s="1127">
        <f>+SUMIF('5 Year Model'!$3:$3,'5 Year Summary'!D$1,'5 Year Model'!$27:$27)</f>
        <v>5480</v>
      </c>
      <c r="E26" s="1127">
        <f>+SUMIF('5 Year Model'!$3:$3,'5 Year Summary'!E$1,'5 Year Model'!$27:$27)</f>
        <v>4410</v>
      </c>
      <c r="F26" s="1127">
        <f>+SUMIF('5 Year Model'!$3:$3,'5 Year Summary'!F$1,'5 Year Model'!$27:$27)</f>
        <v>4370</v>
      </c>
      <c r="G26" s="1127">
        <f>+SUMIF('5 Year Model'!$3:$3,'5 Year Summary'!G$1,'5 Year Model'!$27:$27)</f>
        <v>4380</v>
      </c>
    </row>
    <row r="27" spans="2:7">
      <c r="B27" s="401" t="s">
        <v>824</v>
      </c>
      <c r="C27" s="1127">
        <f>+SUMIF('5 Year Model'!$3:$3,'5 Year Summary'!C$1,'5 Year Model'!$28:$28)</f>
        <v>70979.453999999998</v>
      </c>
      <c r="D27" s="1127">
        <f>+SUMIF('5 Year Model'!$3:$3,'5 Year Summary'!D$1,'5 Year Model'!$28:$28)</f>
        <v>66581.262832500011</v>
      </c>
      <c r="E27" s="1127">
        <f>+SUMIF('5 Year Model'!$3:$3,'5 Year Summary'!E$1,'5 Year Model'!$28:$28)</f>
        <v>68578.700717474989</v>
      </c>
      <c r="F27" s="1127">
        <f>+SUMIF('5 Year Model'!$3:$3,'5 Year Summary'!F$1,'5 Year Model'!$28:$28)</f>
        <v>70636.06173899924</v>
      </c>
      <c r="G27" s="1127">
        <f>+SUMIF('5 Year Model'!$3:$3,'5 Year Summary'!G$1,'5 Year Model'!$28:$28)</f>
        <v>72755.143591169239</v>
      </c>
    </row>
    <row r="28" spans="2:7">
      <c r="B28" s="401" t="s">
        <v>825</v>
      </c>
      <c r="C28" s="1127">
        <f>+SUMIF('5 Year Model'!$3:$3,'5 Year Summary'!C$1,'5 Year Model'!$29:$29)</f>
        <v>14599.914236706691</v>
      </c>
      <c r="D28" s="1127">
        <f>+SUMIF('5 Year Model'!$3:$3,'5 Year Summary'!D$1,'5 Year Model'!$29:$29)</f>
        <v>15037.911663807887</v>
      </c>
      <c r="E28" s="1127">
        <f>+SUMIF('5 Year Model'!$3:$3,'5 Year Summary'!E$1,'5 Year Model'!$29:$29)</f>
        <v>15489.04901372213</v>
      </c>
      <c r="F28" s="1127">
        <f>+SUMIF('5 Year Model'!$3:$3,'5 Year Summary'!F$1,'5 Year Model'!$29:$29)</f>
        <v>15953.720484133786</v>
      </c>
      <c r="G28" s="1127">
        <f>+SUMIF('5 Year Model'!$3:$3,'5 Year Summary'!G$1,'5 Year Model'!$29:$29)</f>
        <v>16432.332098657804</v>
      </c>
    </row>
    <row r="29" spans="2:7">
      <c r="B29" s="401" t="s">
        <v>826</v>
      </c>
      <c r="C29" s="1127">
        <f>+SUMIF('5 Year Model'!$3:$3,'5 Year Summary'!C$1,'5 Year Model'!$30:$30)</f>
        <v>28674.399999999998</v>
      </c>
      <c r="D29" s="1127">
        <f>+SUMIF('5 Year Model'!$3:$3,'5 Year Summary'!D$1,'5 Year Model'!$30:$30)</f>
        <v>29534.632000000009</v>
      </c>
      <c r="E29" s="1127">
        <f>+SUMIF('5 Year Model'!$3:$3,'5 Year Summary'!E$1,'5 Year Model'!$30:$30)</f>
        <v>30420.670959999999</v>
      </c>
      <c r="F29" s="1127">
        <f>+SUMIF('5 Year Model'!$3:$3,'5 Year Summary'!F$1,'5 Year Model'!$30:$30)</f>
        <v>31333.291088799993</v>
      </c>
      <c r="G29" s="1127">
        <f>+SUMIF('5 Year Model'!$3:$3,'5 Year Summary'!G$1,'5 Year Model'!$30:$30)</f>
        <v>32273.28982146399</v>
      </c>
    </row>
    <row r="30" spans="2:7">
      <c r="B30" s="401" t="s">
        <v>827</v>
      </c>
      <c r="C30" s="1127">
        <f>+SUMIF('5 Year Model'!$3:$3,'5 Year Summary'!C$1,'5 Year Model'!$31:$31)</f>
        <v>16487.780000000002</v>
      </c>
      <c r="D30" s="1127">
        <f>+SUMIF('5 Year Model'!$3:$3,'5 Year Summary'!D$1,'5 Year Model'!$31:$31)</f>
        <v>25842.802999999996</v>
      </c>
      <c r="E30" s="1127">
        <f>+SUMIF('5 Year Model'!$3:$3,'5 Year Summary'!E$1,'5 Year Model'!$31:$31)</f>
        <v>26618.08708999999</v>
      </c>
      <c r="F30" s="1127">
        <f>+SUMIF('5 Year Model'!$3:$3,'5 Year Summary'!F$1,'5 Year Model'!$31:$31)</f>
        <v>27416.629702699996</v>
      </c>
      <c r="G30" s="1127">
        <f>+SUMIF('5 Year Model'!$3:$3,'5 Year Summary'!G$1,'5 Year Model'!$31:$31)</f>
        <v>28239.128593780992</v>
      </c>
    </row>
    <row r="31" spans="2:7">
      <c r="B31" s="401" t="s">
        <v>828</v>
      </c>
      <c r="C31" s="1127">
        <f>+SUMIF('5 Year Model'!$3:$3,'5 Year Summary'!C$1,'5 Year Model'!$32:$32)</f>
        <v>8099.8841330455261</v>
      </c>
      <c r="D31" s="1127">
        <f>+SUMIF('5 Year Model'!$3:$3,'5 Year Summary'!D$1,'5 Year Model'!$32:$32)</f>
        <v>27335.01444305087</v>
      </c>
      <c r="E31" s="1127">
        <f>+SUMIF('5 Year Model'!$3:$3,'5 Year Summary'!E$1,'5 Year Model'!$32:$32)</f>
        <v>36897.501910489998</v>
      </c>
      <c r="F31" s="1127">
        <f>+SUMIF('5 Year Model'!$3:$3,'5 Year Summary'!F$1,'5 Year Model'!$32:$32)</f>
        <v>40509.299177128865</v>
      </c>
      <c r="G31" s="1127">
        <f>+SUMIF('5 Year Model'!$3:$3,'5 Year Summary'!G$1,'5 Year Model'!$32:$32)</f>
        <v>43809.913070314578</v>
      </c>
    </row>
    <row r="32" spans="2:7">
      <c r="B32" s="401" t="s">
        <v>829</v>
      </c>
      <c r="C32" s="1127">
        <f>+SUMIF('5 Year Model'!$3:$3,'5 Year Summary'!C$1,'5 Year Model'!$33:$33)</f>
        <v>52530.804531973874</v>
      </c>
      <c r="D32" s="1127">
        <f>+SUMIF('5 Year Model'!$3:$3,'5 Year Summary'!D$1,'5 Year Model'!$33:$33)</f>
        <v>59266.2</v>
      </c>
      <c r="E32" s="1127">
        <f>+SUMIF('5 Year Model'!$3:$3,'5 Year Summary'!E$1,'5 Year Model'!$33:$33)</f>
        <v>49124.974500000004</v>
      </c>
      <c r="F32" s="1127">
        <f>+SUMIF('5 Year Model'!$3:$3,'5 Year Summary'!F$1,'5 Year Model'!$33:$33)</f>
        <v>50139.778395000008</v>
      </c>
      <c r="G32" s="1127">
        <f>+SUMIF('5 Year Model'!$3:$3,'5 Year Summary'!G$1,'5 Year Model'!$33:$33)</f>
        <v>51762.150171899993</v>
      </c>
    </row>
    <row r="33" spans="2:7">
      <c r="B33" s="401" t="s">
        <v>830</v>
      </c>
      <c r="C33" s="1127">
        <f>+SUMIF('5 Year Model'!$3:$3,'5 Year Summary'!C$1,'5 Year Model'!$34:$34)</f>
        <v>4800</v>
      </c>
      <c r="D33" s="1127">
        <f>+SUMIF('5 Year Model'!$3:$3,'5 Year Summary'!D$1,'5 Year Model'!$34:$34)</f>
        <v>4944</v>
      </c>
      <c r="E33" s="1127">
        <f>+SUMIF('5 Year Model'!$3:$3,'5 Year Summary'!E$1,'5 Year Model'!$34:$34)</f>
        <v>5092.32</v>
      </c>
      <c r="F33" s="1127">
        <f>+SUMIF('5 Year Model'!$3:$3,'5 Year Summary'!F$1,'5 Year Model'!$34:$34)</f>
        <v>5245.0896000000002</v>
      </c>
      <c r="G33" s="1127">
        <f>+SUMIF('5 Year Model'!$3:$3,'5 Year Summary'!G$1,'5 Year Model'!$34:$34)</f>
        <v>5402.4422879999984</v>
      </c>
    </row>
    <row r="34" spans="2:7">
      <c r="B34" s="401" t="s">
        <v>831</v>
      </c>
      <c r="C34" s="1127">
        <f>+SUMIF('5 Year Model'!$3:$3,'5 Year Summary'!C$1,'5 Year Model'!$35:$35)</f>
        <v>1800</v>
      </c>
      <c r="D34" s="1127">
        <f>+SUMIF('5 Year Model'!$3:$3,'5 Year Summary'!D$1,'5 Year Model'!$35:$35)</f>
        <v>1854</v>
      </c>
      <c r="E34" s="1127">
        <f>+SUMIF('5 Year Model'!$3:$3,'5 Year Summary'!E$1,'5 Year Model'!$35:$35)</f>
        <v>1909.62</v>
      </c>
      <c r="F34" s="1127">
        <f>+SUMIF('5 Year Model'!$3:$3,'5 Year Summary'!F$1,'5 Year Model'!$35:$35)</f>
        <v>1966.9086</v>
      </c>
      <c r="G34" s="1127">
        <f>+SUMIF('5 Year Model'!$3:$3,'5 Year Summary'!G$1,'5 Year Model'!$35:$35)</f>
        <v>2025.9158579999996</v>
      </c>
    </row>
    <row r="35" spans="2:7">
      <c r="B35" s="401" t="s">
        <v>832</v>
      </c>
      <c r="C35" s="1127">
        <f>+SUMIF('5 Year Model'!$3:$3,'5 Year Summary'!C$1,'5 Year Model'!$36:$36)</f>
        <v>4800</v>
      </c>
      <c r="D35" s="1127">
        <f>+SUMIF('5 Year Model'!$3:$3,'5 Year Summary'!D$1,'5 Year Model'!$36:$36)</f>
        <v>4944</v>
      </c>
      <c r="E35" s="1127">
        <f>+SUMIF('5 Year Model'!$3:$3,'5 Year Summary'!E$1,'5 Year Model'!$36:$36)</f>
        <v>5092.32</v>
      </c>
      <c r="F35" s="1127">
        <f>+SUMIF('5 Year Model'!$3:$3,'5 Year Summary'!F$1,'5 Year Model'!$36:$36)</f>
        <v>5245.0896000000002</v>
      </c>
      <c r="G35" s="1127">
        <f>+SUMIF('5 Year Model'!$3:$3,'5 Year Summary'!G$1,'5 Year Model'!$36:$36)</f>
        <v>5402.4422879999984</v>
      </c>
    </row>
    <row r="36" spans="2:7">
      <c r="B36" s="401" t="s">
        <v>833</v>
      </c>
      <c r="C36" s="1127">
        <f>+SUMIF('5 Year Model'!$3:$3,'5 Year Summary'!C$1,'5 Year Model'!$37:$37)</f>
        <v>873</v>
      </c>
      <c r="D36" s="1127">
        <f>+SUMIF('5 Year Model'!$3:$3,'5 Year Summary'!D$1,'5 Year Model'!$37:$37)</f>
        <v>899.19</v>
      </c>
      <c r="E36" s="1127">
        <f>+SUMIF('5 Year Model'!$3:$3,'5 Year Summary'!E$1,'5 Year Model'!$37:$37)</f>
        <v>926.1656999999999</v>
      </c>
      <c r="F36" s="1127">
        <f>+SUMIF('5 Year Model'!$3:$3,'5 Year Summary'!F$1,'5 Year Model'!$37:$37)</f>
        <v>953.95067100000006</v>
      </c>
      <c r="G36" s="1127">
        <f>+SUMIF('5 Year Model'!$3:$3,'5 Year Summary'!G$1,'5 Year Model'!$37:$37)</f>
        <v>982.56919112999969</v>
      </c>
    </row>
    <row r="37" spans="2:7">
      <c r="B37" s="401" t="s">
        <v>834</v>
      </c>
      <c r="C37" s="1127">
        <f>+SUMIF('5 Year Model'!$3:$3,'5 Year Summary'!C$1,'5 Year Model'!$38:$38)</f>
        <v>1746</v>
      </c>
      <c r="D37" s="1127">
        <f>+SUMIF('5 Year Model'!$3:$3,'5 Year Summary'!D$1,'5 Year Model'!$38:$38)</f>
        <v>1798.38</v>
      </c>
      <c r="E37" s="1127">
        <f>+SUMIF('5 Year Model'!$3:$3,'5 Year Summary'!E$1,'5 Year Model'!$38:$38)</f>
        <v>1852.3313999999998</v>
      </c>
      <c r="F37" s="1127">
        <f>+SUMIF('5 Year Model'!$3:$3,'5 Year Summary'!F$1,'5 Year Model'!$38:$38)</f>
        <v>1907.9013420000001</v>
      </c>
      <c r="G37" s="1127">
        <f>+SUMIF('5 Year Model'!$3:$3,'5 Year Summary'!G$1,'5 Year Model'!$38:$38)</f>
        <v>1965.1383822599994</v>
      </c>
    </row>
    <row r="38" spans="2:7">
      <c r="B38" s="401" t="s">
        <v>835</v>
      </c>
      <c r="C38" s="1127">
        <f>+SUMIF('5 Year Model'!$3:$3,'5 Year Summary'!C$1,'5 Year Model'!$39:$39)</f>
        <v>600</v>
      </c>
      <c r="D38" s="1127">
        <f>+SUMIF('5 Year Model'!$3:$3,'5 Year Summary'!D$1,'5 Year Model'!$39:$39)</f>
        <v>618</v>
      </c>
      <c r="E38" s="1127">
        <f>+SUMIF('5 Year Model'!$3:$3,'5 Year Summary'!E$1,'5 Year Model'!$39:$39)</f>
        <v>636.54</v>
      </c>
      <c r="F38" s="1127">
        <f>+SUMIF('5 Year Model'!$3:$3,'5 Year Summary'!F$1,'5 Year Model'!$39:$39)</f>
        <v>655.63620000000003</v>
      </c>
      <c r="G38" s="1127">
        <f>+SUMIF('5 Year Model'!$3:$3,'5 Year Summary'!G$1,'5 Year Model'!$39:$39)</f>
        <v>675.3052859999998</v>
      </c>
    </row>
    <row r="39" spans="2:7">
      <c r="B39" s="401" t="s">
        <v>836</v>
      </c>
      <c r="C39" s="1127">
        <f>+SUMIF('5 Year Model'!$3:$3,'5 Year Summary'!C$1,'5 Year Model'!$40:$40)</f>
        <v>2451.4820592823712</v>
      </c>
      <c r="D39" s="1127">
        <f>+SUMIF('5 Year Model'!$3:$3,'5 Year Summary'!D$1,'5 Year Model'!$40:$40)</f>
        <v>2525.0265210608432</v>
      </c>
      <c r="E39" s="1127">
        <f>+SUMIF('5 Year Model'!$3:$3,'5 Year Summary'!E$1,'5 Year Model'!$40:$40)</f>
        <v>2600.7773166926672</v>
      </c>
      <c r="F39" s="1127">
        <f>+SUMIF('5 Year Model'!$3:$3,'5 Year Summary'!F$1,'5 Year Model'!$40:$40)</f>
        <v>2678.8006361934476</v>
      </c>
      <c r="G39" s="1127">
        <f>+SUMIF('5 Year Model'!$3:$3,'5 Year Summary'!G$1,'5 Year Model'!$40:$40)</f>
        <v>2759.1646552792513</v>
      </c>
    </row>
    <row r="40" spans="2:7">
      <c r="B40" s="849" t="s">
        <v>837</v>
      </c>
      <c r="C40" s="1131">
        <f>+SUM(C26:C39)</f>
        <v>213445.65272595835</v>
      </c>
      <c r="D40" s="1131">
        <f t="shared" ref="D40:G40" si="6">+SUM(D26:D39)</f>
        <v>246660.42046041961</v>
      </c>
      <c r="E40" s="1131">
        <f t="shared" si="6"/>
        <v>249649.05860837983</v>
      </c>
      <c r="F40" s="1131">
        <f t="shared" si="6"/>
        <v>259012.15723595532</v>
      </c>
      <c r="G40" s="1131">
        <f t="shared" si="6"/>
        <v>268864.9352959558</v>
      </c>
    </row>
    <row r="41" spans="2:7">
      <c r="C41" s="1134">
        <f>C40/C$17</f>
        <v>0.38113179147888482</v>
      </c>
      <c r="D41" s="1134">
        <f t="shared" ref="D41:G41" si="7">D40/D$17</f>
        <v>0.13173681725489034</v>
      </c>
      <c r="E41" s="1134">
        <f t="shared" si="7"/>
        <v>9.9150498322044908E-2</v>
      </c>
      <c r="F41" s="1134">
        <f t="shared" si="7"/>
        <v>9.3881431782450883E-2</v>
      </c>
      <c r="G41" s="1134">
        <f t="shared" si="7"/>
        <v>9.0254345492495974E-2</v>
      </c>
    </row>
    <row r="42" spans="2:7">
      <c r="B42" s="4" t="s">
        <v>838</v>
      </c>
      <c r="C42" s="1132"/>
      <c r="D42" s="1132"/>
      <c r="E42" s="1132"/>
      <c r="F42" s="1132"/>
      <c r="G42" s="1132"/>
    </row>
    <row r="43" spans="2:7">
      <c r="B43" s="401" t="s">
        <v>30</v>
      </c>
      <c r="C43" s="1127">
        <f>'Untrended Pro Forma'!D53</f>
        <v>350000</v>
      </c>
      <c r="D43" s="1127">
        <f>C43*1.03</f>
        <v>360500</v>
      </c>
      <c r="E43" s="1127">
        <f t="shared" ref="E43:G44" si="8">D43*1.03</f>
        <v>371315</v>
      </c>
      <c r="F43" s="1127">
        <f t="shared" si="8"/>
        <v>382454.45</v>
      </c>
      <c r="G43" s="1127">
        <f t="shared" si="8"/>
        <v>393928.08350000001</v>
      </c>
    </row>
    <row r="44" spans="2:7">
      <c r="B44" s="401" t="s">
        <v>1003</v>
      </c>
      <c r="C44" s="1127">
        <f>'Untrended Pro Forma'!D54</f>
        <v>50000</v>
      </c>
      <c r="D44" s="1127">
        <f>C44*1.03</f>
        <v>51500</v>
      </c>
      <c r="E44" s="1127">
        <f t="shared" si="8"/>
        <v>53045</v>
      </c>
      <c r="F44" s="1127">
        <f t="shared" si="8"/>
        <v>54636.35</v>
      </c>
      <c r="G44" s="1127">
        <f t="shared" si="8"/>
        <v>56275.440499999997</v>
      </c>
    </row>
    <row r="45" spans="2:7">
      <c r="B45" s="849" t="s">
        <v>840</v>
      </c>
      <c r="C45" s="1133">
        <f>+SUM(C43:C44)</f>
        <v>400000</v>
      </c>
      <c r="D45" s="1133">
        <f>+SUM(D43:D44)</f>
        <v>412000</v>
      </c>
      <c r="E45" s="1133">
        <f>+SUM(E43:E44)</f>
        <v>424360</v>
      </c>
      <c r="F45" s="1133">
        <f>+SUM(F43:F44)</f>
        <v>437090.8</v>
      </c>
      <c r="G45" s="1133">
        <f>+SUM(G43:G44)</f>
        <v>450203.52399999998</v>
      </c>
    </row>
    <row r="46" spans="2:7">
      <c r="C46" s="1129"/>
      <c r="D46" s="1134"/>
      <c r="E46" s="1134"/>
      <c r="F46" s="1134"/>
      <c r="G46" s="1129"/>
    </row>
    <row r="47" spans="2:7" ht="15" thickBot="1">
      <c r="B47" s="845" t="s">
        <v>23</v>
      </c>
      <c r="C47" s="1128">
        <f>+C23+C40+C45</f>
        <v>644897.34838209127</v>
      </c>
      <c r="D47" s="1128">
        <f>+D23+D40+D45</f>
        <v>740636.39173083322</v>
      </c>
      <c r="E47" s="1128">
        <f>+E23+E40+E45</f>
        <v>781102.49695993355</v>
      </c>
      <c r="F47" s="1128">
        <f>+F23+F40+F45</f>
        <v>812683.38307454716</v>
      </c>
      <c r="G47" s="1128">
        <f>+G23+G40+G45</f>
        <v>844318.49762731546</v>
      </c>
    </row>
    <row r="48" spans="2:7" ht="15" thickTop="1">
      <c r="C48" s="1129"/>
      <c r="D48" s="1129"/>
      <c r="E48" s="1129"/>
      <c r="F48" s="1129"/>
      <c r="G48" s="1129"/>
    </row>
    <row r="49" spans="2:7" ht="15" thickBot="1">
      <c r="B49" s="845" t="s">
        <v>24</v>
      </c>
      <c r="C49" s="1135">
        <f>+C17-C47</f>
        <v>-84866.258092464996</v>
      </c>
      <c r="D49" s="1135">
        <f>+D17-D47</f>
        <v>1131736.3101477153</v>
      </c>
      <c r="E49" s="1135">
        <f>+E17-E47</f>
        <v>1736777.5221349718</v>
      </c>
      <c r="F49" s="1135">
        <f>+F17-F47</f>
        <v>1946245.1112858476</v>
      </c>
      <c r="G49" s="1135">
        <f>+G17-G47</f>
        <v>2134650.9229454598</v>
      </c>
    </row>
    <row r="50" spans="2:7" ht="15" thickTop="1">
      <c r="C50" s="1136"/>
      <c r="D50" s="1136"/>
      <c r="E50" s="1136"/>
      <c r="F50" s="1136"/>
      <c r="G50" s="1136"/>
    </row>
    <row r="51" spans="2:7">
      <c r="B51" s="1137" t="s">
        <v>986</v>
      </c>
      <c r="C51" s="1138">
        <f>+C49/C17</f>
        <v>-0.15153847628097838</v>
      </c>
      <c r="D51" s="1138">
        <f>+D49/D17</f>
        <v>0.60443965510298558</v>
      </c>
      <c r="E51" s="1138">
        <f>+E49/E17</f>
        <v>0.68977771337940319</v>
      </c>
      <c r="F51" s="1138">
        <f>+F49/F17</f>
        <v>0.70543514094846005</v>
      </c>
      <c r="G51" s="1139">
        <f>+G49/G17</f>
        <v>0.71657362717574458</v>
      </c>
    </row>
    <row r="53" spans="2:7" ht="104">
      <c r="B53" s="897" t="s">
        <v>912</v>
      </c>
      <c r="C53" s="897"/>
      <c r="D53" s="897"/>
      <c r="E53" s="897"/>
      <c r="F53" s="897"/>
      <c r="G53" s="897"/>
    </row>
    <row r="54" spans="2:7">
      <c r="B54" s="13"/>
      <c r="C54" s="13"/>
      <c r="D54" s="13"/>
      <c r="E54" s="13"/>
      <c r="F54" s="13"/>
      <c r="G54" s="13"/>
    </row>
    <row r="55" spans="2:7" ht="65">
      <c r="B55" s="897" t="s">
        <v>913</v>
      </c>
      <c r="C55" s="897"/>
      <c r="D55" s="897"/>
      <c r="E55" s="897"/>
      <c r="F55" s="897"/>
      <c r="G55" s="897"/>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95AF2-BEAA-47F3-918B-0DC81DC5FD84}">
  <dimension ref="A2:L39"/>
  <sheetViews>
    <sheetView showGridLines="0" topLeftCell="A20" zoomScale="80" zoomScaleNormal="80" workbookViewId="0">
      <selection activeCell="A36" sqref="A36"/>
    </sheetView>
  </sheetViews>
  <sheetFormatPr defaultRowHeight="14.5"/>
  <cols>
    <col min="1" max="1" width="51.6328125" customWidth="1"/>
    <col min="2" max="2" width="43" bestFit="1" customWidth="1"/>
    <col min="3" max="3" width="12.7265625" customWidth="1"/>
    <col min="4" max="4" width="16.36328125" bestFit="1" customWidth="1"/>
    <col min="5" max="5" width="16.36328125" customWidth="1"/>
    <col min="6" max="6" width="18.81640625" bestFit="1" customWidth="1"/>
    <col min="7" max="11" width="12.7265625" customWidth="1"/>
  </cols>
  <sheetData>
    <row r="2" spans="1:12">
      <c r="A2" s="486" t="s">
        <v>502</v>
      </c>
      <c r="B2" s="487"/>
      <c r="C2" s="487"/>
      <c r="D2" s="487"/>
      <c r="E2" s="487"/>
      <c r="F2" s="487"/>
      <c r="G2" s="487"/>
      <c r="H2" s="487"/>
      <c r="I2" s="487"/>
      <c r="J2" s="487"/>
      <c r="K2" s="487"/>
    </row>
    <row r="4" spans="1:12" s="477" customFormat="1">
      <c r="A4" s="478" t="s">
        <v>482</v>
      </c>
      <c r="B4" s="478" t="s">
        <v>402</v>
      </c>
      <c r="C4" s="480" t="s">
        <v>483</v>
      </c>
      <c r="D4" s="480" t="s">
        <v>484</v>
      </c>
      <c r="E4" s="480" t="s">
        <v>485</v>
      </c>
      <c r="F4" s="480" t="s">
        <v>486</v>
      </c>
      <c r="G4" s="480" t="s">
        <v>487</v>
      </c>
      <c r="H4" s="480" t="s">
        <v>488</v>
      </c>
      <c r="I4" s="480" t="s">
        <v>489</v>
      </c>
      <c r="J4" s="480" t="s">
        <v>490</v>
      </c>
      <c r="K4" s="480" t="s">
        <v>491</v>
      </c>
    </row>
    <row r="5" spans="1:12" s="477" customFormat="1">
      <c r="A5" s="479" t="s">
        <v>492</v>
      </c>
      <c r="B5" s="479" t="s">
        <v>493</v>
      </c>
      <c r="C5" s="479">
        <v>9510</v>
      </c>
      <c r="D5" s="479">
        <v>0.31</v>
      </c>
      <c r="E5" s="481" t="s">
        <v>475</v>
      </c>
      <c r="F5" s="482">
        <v>4.41</v>
      </c>
      <c r="G5" s="482">
        <v>3.22</v>
      </c>
      <c r="H5" s="482">
        <v>2.5</v>
      </c>
      <c r="I5" s="482"/>
      <c r="J5" s="482"/>
      <c r="K5" s="482"/>
    </row>
    <row r="6" spans="1:12" s="477" customFormat="1">
      <c r="A6" s="479" t="s">
        <v>494</v>
      </c>
      <c r="B6" s="479" t="s">
        <v>495</v>
      </c>
      <c r="C6" s="479">
        <v>60856</v>
      </c>
      <c r="D6" s="479">
        <v>0.33</v>
      </c>
      <c r="E6" s="481" t="s">
        <v>475</v>
      </c>
      <c r="F6" s="482">
        <v>6.42</v>
      </c>
      <c r="G6" s="482">
        <v>4.29</v>
      </c>
      <c r="H6" s="482">
        <v>3.05</v>
      </c>
      <c r="I6" s="482">
        <v>2.2999999999999998</v>
      </c>
      <c r="J6" s="482">
        <v>2.42</v>
      </c>
      <c r="K6" s="482">
        <v>3.32</v>
      </c>
    </row>
    <row r="7" spans="1:12" s="477" customFormat="1">
      <c r="A7" s="479" t="s">
        <v>496</v>
      </c>
      <c r="B7" s="479" t="s">
        <v>497</v>
      </c>
      <c r="C7" s="479">
        <v>81385</v>
      </c>
      <c r="D7" s="479">
        <v>0.65</v>
      </c>
      <c r="E7" s="481" t="s">
        <v>475</v>
      </c>
      <c r="F7" s="482">
        <v>6.23</v>
      </c>
      <c r="G7" s="482">
        <v>4.21</v>
      </c>
      <c r="H7" s="482">
        <v>2.92</v>
      </c>
      <c r="I7" s="482">
        <v>2.23</v>
      </c>
      <c r="J7" s="482">
        <v>2.33</v>
      </c>
      <c r="K7" s="482">
        <v>2.15</v>
      </c>
    </row>
    <row r="8" spans="1:12" s="477" customFormat="1">
      <c r="A8" s="479" t="s">
        <v>398</v>
      </c>
      <c r="B8" s="479" t="s">
        <v>498</v>
      </c>
      <c r="C8" s="479">
        <v>58581</v>
      </c>
      <c r="D8" s="479">
        <v>1.24</v>
      </c>
      <c r="E8" s="481" t="s">
        <v>475</v>
      </c>
      <c r="F8" s="482"/>
      <c r="G8" s="482">
        <v>6.3</v>
      </c>
      <c r="H8" s="482"/>
      <c r="I8" s="482"/>
      <c r="J8" s="482"/>
      <c r="K8" s="482"/>
    </row>
    <row r="9" spans="1:12" s="477" customFormat="1">
      <c r="A9" s="479" t="s">
        <v>397</v>
      </c>
      <c r="B9" s="479" t="s">
        <v>499</v>
      </c>
      <c r="C9" s="479">
        <v>98300</v>
      </c>
      <c r="D9" s="479">
        <v>1.68</v>
      </c>
      <c r="E9" s="481" t="s">
        <v>475</v>
      </c>
      <c r="F9" s="482">
        <v>7.84</v>
      </c>
      <c r="G9" s="482">
        <v>5.62</v>
      </c>
      <c r="H9" s="482">
        <v>4.12</v>
      </c>
      <c r="I9" s="482">
        <v>3.74</v>
      </c>
      <c r="J9" s="482">
        <v>3.98</v>
      </c>
      <c r="K9" s="482">
        <v>6.48</v>
      </c>
    </row>
    <row r="10" spans="1:12" s="477" customFormat="1">
      <c r="A10" s="479" t="s">
        <v>403</v>
      </c>
      <c r="B10" s="479" t="s">
        <v>500</v>
      </c>
      <c r="C10" s="479">
        <v>99388</v>
      </c>
      <c r="D10" s="479">
        <v>1.71</v>
      </c>
      <c r="E10" s="481" t="s">
        <v>475</v>
      </c>
      <c r="F10" s="482">
        <v>3.13</v>
      </c>
      <c r="G10" s="482">
        <v>2.54</v>
      </c>
      <c r="H10" s="482">
        <v>1.9</v>
      </c>
      <c r="I10" s="482">
        <v>1.72</v>
      </c>
      <c r="J10" s="482">
        <v>1.77</v>
      </c>
      <c r="K10" s="482">
        <v>1.57</v>
      </c>
    </row>
    <row r="11" spans="1:12" s="477" customFormat="1">
      <c r="A11" s="479"/>
      <c r="B11" s="479"/>
      <c r="C11" s="479"/>
      <c r="D11" s="479"/>
      <c r="E11" s="479"/>
      <c r="F11" s="482"/>
      <c r="G11" s="482"/>
      <c r="H11" s="482"/>
      <c r="I11" s="482"/>
      <c r="J11" s="482"/>
      <c r="K11" s="482"/>
    </row>
    <row r="12" spans="1:12" s="477" customFormat="1">
      <c r="A12" s="479" t="s">
        <v>504</v>
      </c>
      <c r="B12" s="479"/>
      <c r="C12" s="479"/>
      <c r="D12" s="479"/>
      <c r="E12" s="479"/>
      <c r="F12" s="482">
        <v>5.6</v>
      </c>
      <c r="G12" s="482">
        <v>4.4000000000000004</v>
      </c>
      <c r="H12" s="482">
        <v>2.9</v>
      </c>
      <c r="I12" s="482">
        <v>2.5</v>
      </c>
      <c r="J12" s="482">
        <v>2.6</v>
      </c>
      <c r="K12" s="482">
        <v>3.4</v>
      </c>
    </row>
    <row r="13" spans="1:12" s="477" customFormat="1">
      <c r="A13" s="479" t="s">
        <v>503</v>
      </c>
      <c r="B13" s="479"/>
      <c r="C13" s="479"/>
      <c r="D13" s="479"/>
      <c r="E13" s="479"/>
      <c r="F13" s="482"/>
      <c r="G13" s="488">
        <v>0.35</v>
      </c>
      <c r="H13" s="488">
        <v>0.65</v>
      </c>
      <c r="I13" s="482"/>
      <c r="J13" s="482"/>
      <c r="K13" s="482"/>
    </row>
    <row r="14" spans="1:12" s="477" customFormat="1">
      <c r="A14" s="479"/>
      <c r="B14" s="479"/>
      <c r="C14" s="479"/>
      <c r="D14" s="479"/>
      <c r="E14" s="479"/>
      <c r="F14" s="482"/>
      <c r="G14" s="482"/>
      <c r="H14" s="482"/>
      <c r="I14" s="482"/>
      <c r="J14" s="482"/>
      <c r="K14" s="482"/>
      <c r="L14" s="479"/>
    </row>
    <row r="15" spans="1:12" s="477" customFormat="1">
      <c r="A15" s="483" t="s">
        <v>501</v>
      </c>
      <c r="B15" s="484"/>
      <c r="C15" s="484"/>
      <c r="D15" s="484"/>
      <c r="E15" s="484"/>
      <c r="F15" s="485"/>
      <c r="G15" s="1257">
        <f>SUMPRODUCT(G12:H12,G13:H13)</f>
        <v>3.4249999999999998</v>
      </c>
      <c r="H15" s="1257"/>
      <c r="I15" s="485"/>
      <c r="J15" s="485"/>
      <c r="K15" s="485"/>
      <c r="L15" s="479"/>
    </row>
    <row r="20" spans="1:11">
      <c r="A20" s="486" t="s">
        <v>481</v>
      </c>
      <c r="B20" s="487"/>
      <c r="C20" s="487"/>
      <c r="D20" s="487"/>
      <c r="E20" s="487"/>
      <c r="F20" s="487"/>
      <c r="G20" s="487"/>
      <c r="H20" s="487"/>
      <c r="I20" s="487"/>
      <c r="J20" s="487"/>
      <c r="K20" s="487"/>
    </row>
    <row r="22" spans="1:11">
      <c r="A22" s="452" t="s">
        <v>402</v>
      </c>
      <c r="B22" s="452" t="s">
        <v>456</v>
      </c>
      <c r="C22" s="453" t="s">
        <v>457</v>
      </c>
      <c r="D22" s="453" t="s">
        <v>458</v>
      </c>
      <c r="E22" s="453" t="s">
        <v>459</v>
      </c>
      <c r="F22" s="453" t="s">
        <v>460</v>
      </c>
      <c r="G22" s="453" t="s">
        <v>461</v>
      </c>
      <c r="H22" s="453" t="s">
        <v>157</v>
      </c>
      <c r="I22" s="453" t="s">
        <v>462</v>
      </c>
      <c r="J22" s="453" t="s">
        <v>463</v>
      </c>
      <c r="K22" s="453" t="s">
        <v>464</v>
      </c>
    </row>
    <row r="23" spans="1:11">
      <c r="A23" s="454" t="s">
        <v>465</v>
      </c>
      <c r="B23" t="s">
        <v>466</v>
      </c>
      <c r="C23" s="455">
        <v>4760000</v>
      </c>
      <c r="D23" s="455">
        <v>7180000</v>
      </c>
      <c r="E23" s="456">
        <f>D23/G23</f>
        <v>117.98343630866307</v>
      </c>
      <c r="F23" s="455">
        <f t="shared" ref="F23:F28" si="0">C23+D23</f>
        <v>11940000</v>
      </c>
      <c r="G23" s="457">
        <v>60856</v>
      </c>
      <c r="H23" s="457">
        <v>45642</v>
      </c>
      <c r="I23" s="455">
        <v>312000</v>
      </c>
      <c r="J23" s="433">
        <f t="shared" ref="J23:J28" si="1">I23/H23</f>
        <v>6.8358091231760225</v>
      </c>
      <c r="K23" s="433">
        <f t="shared" ref="K23:K28" si="2">I23/G23</f>
        <v>5.1268568423820167</v>
      </c>
    </row>
    <row r="24" spans="1:11">
      <c r="A24" s="454" t="s">
        <v>467</v>
      </c>
      <c r="B24" t="s">
        <v>468</v>
      </c>
      <c r="C24" s="455">
        <v>4700000</v>
      </c>
      <c r="D24" s="455">
        <v>2187000</v>
      </c>
      <c r="E24" s="456">
        <f t="shared" ref="E24:E33" si="3">D24/G24</f>
        <v>29.443442203613451</v>
      </c>
      <c r="F24" s="455">
        <f t="shared" si="0"/>
        <v>6887000</v>
      </c>
      <c r="G24" s="457">
        <v>74278</v>
      </c>
      <c r="H24" s="457">
        <v>55708</v>
      </c>
      <c r="I24" s="455">
        <v>180000</v>
      </c>
      <c r="J24" s="433">
        <f t="shared" si="1"/>
        <v>3.2311337689380339</v>
      </c>
      <c r="K24" s="433">
        <f t="shared" si="2"/>
        <v>2.4233285764290908</v>
      </c>
    </row>
    <row r="25" spans="1:11">
      <c r="A25" s="454" t="s">
        <v>469</v>
      </c>
      <c r="B25" t="s">
        <v>470</v>
      </c>
      <c r="C25" s="455">
        <v>3115000</v>
      </c>
      <c r="D25" s="455">
        <v>7545000</v>
      </c>
      <c r="E25" s="456">
        <f t="shared" si="3"/>
        <v>92.707501382318611</v>
      </c>
      <c r="F25" s="455">
        <f t="shared" si="0"/>
        <v>10660000</v>
      </c>
      <c r="G25" s="457">
        <v>81385</v>
      </c>
      <c r="H25" s="457">
        <v>61040</v>
      </c>
      <c r="I25" s="455">
        <v>279522</v>
      </c>
      <c r="J25" s="433">
        <f t="shared" si="1"/>
        <v>4.5793250327654</v>
      </c>
      <c r="K25" s="433">
        <f t="shared" si="2"/>
        <v>3.4345641088652701</v>
      </c>
    </row>
    <row r="26" spans="1:11">
      <c r="A26" s="454" t="s">
        <v>471</v>
      </c>
      <c r="B26" t="s">
        <v>472</v>
      </c>
      <c r="C26" s="455">
        <v>4382000</v>
      </c>
      <c r="D26" s="455">
        <v>10028000</v>
      </c>
      <c r="E26" s="456">
        <f t="shared" si="3"/>
        <v>100.89749265504889</v>
      </c>
      <c r="F26" s="455">
        <f t="shared" si="0"/>
        <v>14410000</v>
      </c>
      <c r="G26" s="457">
        <v>99388</v>
      </c>
      <c r="H26" s="457">
        <v>74540</v>
      </c>
      <c r="I26" s="455">
        <v>377829</v>
      </c>
      <c r="J26" s="433">
        <f t="shared" si="1"/>
        <v>5.0688086933190233</v>
      </c>
      <c r="K26" s="433">
        <f t="shared" si="2"/>
        <v>3.80155551978106</v>
      </c>
    </row>
    <row r="27" spans="1:11">
      <c r="A27" s="454" t="s">
        <v>473</v>
      </c>
      <c r="B27" t="s">
        <v>472</v>
      </c>
      <c r="C27" s="455">
        <v>1321000</v>
      </c>
      <c r="D27" s="455">
        <v>3778800</v>
      </c>
      <c r="E27" s="456">
        <f t="shared" si="3"/>
        <v>65.947643979057588</v>
      </c>
      <c r="F27" s="455">
        <f t="shared" si="0"/>
        <v>5099800</v>
      </c>
      <c r="G27" s="457">
        <v>57300</v>
      </c>
      <c r="H27" s="457">
        <v>33616</v>
      </c>
      <c r="I27" s="455">
        <v>133707</v>
      </c>
      <c r="J27" s="433">
        <f t="shared" si="1"/>
        <v>3.97748096144693</v>
      </c>
      <c r="K27" s="433">
        <f t="shared" si="2"/>
        <v>2.3334554973821988</v>
      </c>
    </row>
    <row r="28" spans="1:11">
      <c r="A28" s="454" t="s">
        <v>474</v>
      </c>
      <c r="B28" t="s">
        <v>472</v>
      </c>
      <c r="C28" s="455">
        <v>4742000</v>
      </c>
      <c r="D28" s="455">
        <v>12691000</v>
      </c>
      <c r="E28" s="456">
        <f t="shared" si="3"/>
        <v>95.781132075471703</v>
      </c>
      <c r="F28" s="455">
        <f t="shared" si="0"/>
        <v>17433000</v>
      </c>
      <c r="G28" s="457">
        <v>132500</v>
      </c>
      <c r="H28" s="457">
        <v>73416</v>
      </c>
      <c r="I28" s="455">
        <v>457000</v>
      </c>
      <c r="J28" s="433">
        <f t="shared" si="1"/>
        <v>6.2248011332679525</v>
      </c>
      <c r="K28" s="433">
        <f t="shared" si="2"/>
        <v>3.449056603773585</v>
      </c>
    </row>
    <row r="29" spans="1:11">
      <c r="C29" s="455"/>
      <c r="D29" s="455"/>
      <c r="E29" s="456"/>
      <c r="F29" s="429"/>
      <c r="G29" s="428"/>
      <c r="H29" s="428"/>
      <c r="I29" s="455"/>
      <c r="J29" s="433"/>
      <c r="K29" s="433"/>
    </row>
    <row r="30" spans="1:11">
      <c r="A30" s="452" t="s">
        <v>475</v>
      </c>
      <c r="B30" s="452"/>
      <c r="C30" s="458"/>
      <c r="D30" s="458"/>
      <c r="E30" s="459">
        <f>AVERAGE(E23:E28)</f>
        <v>83.793441434028892</v>
      </c>
      <c r="F30" s="460"/>
      <c r="G30" s="461"/>
      <c r="H30" s="461"/>
      <c r="I30" s="458"/>
      <c r="J30" s="462">
        <f>AVERAGE(J23:J28)</f>
        <v>4.986226452152227</v>
      </c>
      <c r="K30" s="462">
        <f>AVERAGE(K23:K29)</f>
        <v>3.4281361914355366</v>
      </c>
    </row>
    <row r="31" spans="1:11">
      <c r="C31" s="7"/>
      <c r="D31" s="7"/>
      <c r="E31" s="456"/>
      <c r="F31" s="7"/>
      <c r="I31" s="7"/>
      <c r="J31" s="433"/>
      <c r="K31" s="433"/>
    </row>
    <row r="32" spans="1:11">
      <c r="A32" s="4" t="s">
        <v>477</v>
      </c>
      <c r="C32" s="7"/>
      <c r="D32" s="7"/>
      <c r="E32" s="456"/>
      <c r="F32" s="7"/>
      <c r="I32" s="7"/>
      <c r="J32" s="433"/>
      <c r="K32" s="433"/>
    </row>
    <row r="33" spans="1:12">
      <c r="A33" s="401" t="s">
        <v>1026</v>
      </c>
      <c r="B33" t="s">
        <v>472</v>
      </c>
      <c r="C33" s="455">
        <v>1804000</v>
      </c>
      <c r="D33" s="455">
        <f ca="1">(I33-C33/1000*B36)*1000/B36</f>
        <v>12141885.160590628</v>
      </c>
      <c r="E33" s="456">
        <f t="shared" ca="1" si="3"/>
        <v>114.97235183833106</v>
      </c>
      <c r="F33" s="455">
        <f ca="1">C33+D33</f>
        <v>13945885.160590628</v>
      </c>
      <c r="G33" s="428">
        <f ca="1">'SF Breakdown'!E12</f>
        <v>105607</v>
      </c>
      <c r="H33" s="428">
        <f ca="1">'SF Breakdown'!E24</f>
        <v>79196.100000000006</v>
      </c>
      <c r="I33" s="455">
        <f ca="1">K33*G33</f>
        <v>362035.1787689327</v>
      </c>
      <c r="J33" s="433">
        <f ca="1">I33/H33</f>
        <v>4.5713763527362161</v>
      </c>
      <c r="K33" s="433">
        <f>K30</f>
        <v>3.4281361914355366</v>
      </c>
      <c r="L33" t="s">
        <v>478</v>
      </c>
    </row>
    <row r="34" spans="1:12">
      <c r="A34" s="476"/>
      <c r="B34" s="463"/>
      <c r="C34" s="464"/>
      <c r="D34" s="464"/>
      <c r="E34" s="465"/>
      <c r="F34" s="466">
        <f>C34+D34</f>
        <v>0</v>
      </c>
      <c r="G34" s="467">
        <f ca="1">F33*B36/1000</f>
        <v>362035.1787689327</v>
      </c>
      <c r="H34" s="468"/>
      <c r="I34" s="464"/>
      <c r="J34" s="469"/>
      <c r="K34" s="469"/>
    </row>
    <row r="35" spans="1:12">
      <c r="A35" s="476" t="s">
        <v>1027</v>
      </c>
      <c r="B35" s="463"/>
      <c r="C35" s="464">
        <f>C33</f>
        <v>1804000</v>
      </c>
      <c r="D35" s="464">
        <f ca="1">E30*G33</f>
        <v>8849173.9695234895</v>
      </c>
      <c r="E35" s="470">
        <f>E30</f>
        <v>83.793441434028892</v>
      </c>
      <c r="F35" s="464">
        <f ca="1">D35+C35</f>
        <v>10653173.969523489</v>
      </c>
      <c r="G35" s="471">
        <f ca="1">G33</f>
        <v>105607</v>
      </c>
      <c r="H35" s="468">
        <f ca="1">H33</f>
        <v>79196.100000000006</v>
      </c>
      <c r="I35" s="464">
        <f ca="1">F35*B36/1000</f>
        <v>276556.39624882978</v>
      </c>
      <c r="J35" s="433">
        <f ca="1">I35/H35</f>
        <v>3.4920456468036907</v>
      </c>
      <c r="K35" s="469">
        <f ca="1">I35/G35</f>
        <v>2.6187316773398521</v>
      </c>
      <c r="L35" t="s">
        <v>479</v>
      </c>
    </row>
    <row r="36" spans="1:12" ht="15" thickBot="1">
      <c r="A36" s="472" t="s">
        <v>476</v>
      </c>
      <c r="B36" s="473">
        <v>25.96</v>
      </c>
      <c r="C36" s="455"/>
      <c r="D36" s="455"/>
      <c r="E36" s="455"/>
      <c r="F36" s="455"/>
      <c r="G36" s="428"/>
      <c r="H36" s="428"/>
      <c r="I36" s="428"/>
      <c r="J36" s="433"/>
      <c r="K36" s="433"/>
    </row>
    <row r="37" spans="1:12">
      <c r="C37" s="428"/>
      <c r="D37" s="428"/>
      <c r="E37" s="428"/>
      <c r="F37" s="428"/>
      <c r="G37" s="428"/>
      <c r="H37" s="428"/>
      <c r="I37" s="475" t="s">
        <v>475</v>
      </c>
    </row>
    <row r="38" spans="1:12" ht="15" thickBot="1">
      <c r="C38" s="428"/>
      <c r="D38" s="428"/>
      <c r="E38" s="428"/>
      <c r="F38" s="428"/>
      <c r="G38" s="428"/>
      <c r="H38" s="428"/>
      <c r="I38" s="474">
        <f ca="1">AVERAGE(I33:I35)</f>
        <v>319295.78750888124</v>
      </c>
      <c r="J38" s="428" t="s">
        <v>480</v>
      </c>
    </row>
    <row r="39" spans="1:12">
      <c r="I39" s="7">
        <f ca="1">I38/12</f>
        <v>26607.98229240677</v>
      </c>
      <c r="J39" t="s">
        <v>452</v>
      </c>
    </row>
  </sheetData>
  <mergeCells count="1">
    <mergeCell ref="G15:H15"/>
  </mergeCells>
  <hyperlinks>
    <hyperlink ref="A23" r:id="rId1" display="https://www.google.com/maps/search/?api=1&amp;query=42.3289774221023,-71.06849133968353" xr:uid="{3D97A8CB-3867-468D-BF15-616801E69376}"/>
    <hyperlink ref="A24" r:id="rId2" display="https://www.google.com/maps/search/?api=1&amp;query=42.33248711377982,-71.0699987411499" xr:uid="{8CA1717D-89B6-4998-8A48-7F5FEA23ABF7}"/>
    <hyperlink ref="A25" r:id="rId3" display="https://www.google.com/maps/search/?api=1&amp;query=42.330968254299734,-71.06260120868683" xr:uid="{B71E24D7-2D10-480D-B868-CF959A2F0758}"/>
    <hyperlink ref="A26" r:id="rId4" display="https://www.google.com/maps/search/?api=1&amp;query=42.31330634209269,-71.10126256942749" xr:uid="{823FB027-839C-4B1F-8901-5CAA35676146}"/>
    <hyperlink ref="A27" r:id="rId5" display="https://www.google.com/maps/search/?api=1&amp;query=42.29454033619413,-71.12087488174438" xr:uid="{ADCD2FF5-8C5F-4CD5-A107-FD8EE285B8F7}"/>
    <hyperlink ref="A28" r:id="rId6" display="https://www.google.com/maps/search/?api=1&amp;query=42.30555066900072,-71.10994756221771" xr:uid="{452FF3AB-C4A8-4EA6-87AB-B7C53C7E33DB}"/>
  </hyperlinks>
  <pageMargins left="0.7" right="0.7" top="0.75" bottom="0.75" header="0.3" footer="0.3"/>
  <ignoredErrors>
    <ignoredError sqref="G15" formulaRange="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FE030-BE03-4949-B2F4-D159885D66FF}">
  <dimension ref="C7:I19"/>
  <sheetViews>
    <sheetView showGridLines="0" workbookViewId="0">
      <selection activeCell="D8" sqref="D8:D14"/>
    </sheetView>
  </sheetViews>
  <sheetFormatPr defaultRowHeight="14.5"/>
  <cols>
    <col min="3" max="3" width="25.7265625" customWidth="1"/>
    <col min="4" max="4" width="29.7265625" bestFit="1" customWidth="1"/>
    <col min="5" max="5" width="15.26953125" customWidth="1"/>
    <col min="6" max="6" width="12.08984375" customWidth="1"/>
    <col min="7" max="7" width="14.7265625" customWidth="1"/>
    <col min="9" max="9" width="34.7265625" customWidth="1"/>
  </cols>
  <sheetData>
    <row r="7" spans="3:9" ht="22.15" customHeight="1">
      <c r="C7" s="387" t="s">
        <v>401</v>
      </c>
      <c r="D7" s="388" t="s">
        <v>402</v>
      </c>
      <c r="E7" s="389" t="s">
        <v>404</v>
      </c>
      <c r="F7" s="389" t="s">
        <v>157</v>
      </c>
      <c r="G7" s="389" t="s">
        <v>406</v>
      </c>
      <c r="H7" s="389" t="s">
        <v>405</v>
      </c>
      <c r="I7" s="390" t="s">
        <v>175</v>
      </c>
    </row>
    <row r="8" spans="3:9" ht="16.149999999999999" customHeight="1">
      <c r="C8" s="1" t="s">
        <v>399</v>
      </c>
      <c r="D8" s="375"/>
      <c r="E8" s="6">
        <v>36000000</v>
      </c>
      <c r="F8" s="379">
        <f t="shared" ref="F8:F14" si="0">E8/G8</f>
        <v>44499.381953028431</v>
      </c>
      <c r="G8" s="380">
        <v>809</v>
      </c>
      <c r="H8" s="5">
        <v>2021</v>
      </c>
      <c r="I8" s="2"/>
    </row>
    <row r="9" spans="3:9" ht="16.149999999999999" customHeight="1">
      <c r="C9" s="1" t="s">
        <v>400</v>
      </c>
      <c r="D9" s="375"/>
      <c r="E9" s="6">
        <v>13000000</v>
      </c>
      <c r="F9" s="379">
        <f t="shared" si="0"/>
        <v>32994.923857868023</v>
      </c>
      <c r="G9" s="380">
        <v>394</v>
      </c>
      <c r="H9" s="5">
        <v>2021</v>
      </c>
      <c r="I9" s="2"/>
    </row>
    <row r="10" spans="3:9" ht="16.149999999999999" customHeight="1">
      <c r="C10" s="1" t="s">
        <v>397</v>
      </c>
      <c r="D10" s="375"/>
      <c r="E10" s="6">
        <v>48250000</v>
      </c>
      <c r="F10" s="379">
        <f t="shared" si="0"/>
        <v>70747.80058651026</v>
      </c>
      <c r="G10" s="380">
        <v>682</v>
      </c>
      <c r="H10" s="5">
        <v>2020</v>
      </c>
      <c r="I10" s="2" t="s">
        <v>407</v>
      </c>
    </row>
    <row r="11" spans="3:9" ht="16.149999999999999" customHeight="1">
      <c r="C11" s="1" t="s">
        <v>398</v>
      </c>
      <c r="D11" s="375"/>
      <c r="E11" s="6">
        <v>14600000</v>
      </c>
      <c r="F11" s="379">
        <f t="shared" si="0"/>
        <v>15565.031982942432</v>
      </c>
      <c r="G11" s="380">
        <v>938</v>
      </c>
      <c r="H11" s="5">
        <v>2019</v>
      </c>
      <c r="I11" s="2" t="s">
        <v>407</v>
      </c>
    </row>
    <row r="12" spans="3:9" ht="16.149999999999999" customHeight="1">
      <c r="C12" s="1" t="s">
        <v>398</v>
      </c>
      <c r="D12" s="375"/>
      <c r="E12" s="6">
        <v>12100000</v>
      </c>
      <c r="F12" s="379">
        <f t="shared" si="0"/>
        <v>24103.585657370517</v>
      </c>
      <c r="G12" s="380">
        <v>502</v>
      </c>
      <c r="H12" s="5">
        <v>2017</v>
      </c>
      <c r="I12" s="2"/>
    </row>
    <row r="13" spans="3:9" ht="16.149999999999999" customHeight="1">
      <c r="C13" s="1" t="s">
        <v>398</v>
      </c>
      <c r="D13" s="375"/>
      <c r="E13" s="6">
        <v>15400000</v>
      </c>
      <c r="F13" s="379">
        <f t="shared" si="0"/>
        <v>62857.142857142855</v>
      </c>
      <c r="G13" s="380">
        <v>245</v>
      </c>
      <c r="H13" s="5">
        <v>2017</v>
      </c>
      <c r="I13" s="2" t="s">
        <v>408</v>
      </c>
    </row>
    <row r="14" spans="3:9" ht="16.149999999999999" customHeight="1">
      <c r="C14" s="3" t="s">
        <v>403</v>
      </c>
      <c r="D14" s="381"/>
      <c r="E14" s="382">
        <v>20600000</v>
      </c>
      <c r="F14" s="383">
        <f t="shared" si="0"/>
        <v>72027.972027972035</v>
      </c>
      <c r="G14" s="384">
        <v>286</v>
      </c>
      <c r="H14" s="385">
        <v>2017</v>
      </c>
      <c r="I14" s="386"/>
    </row>
    <row r="15" spans="3:9">
      <c r="F15" s="5"/>
    </row>
    <row r="16" spans="3:9">
      <c r="E16" s="395" t="s">
        <v>404</v>
      </c>
      <c r="F16" s="396" t="s">
        <v>157</v>
      </c>
      <c r="G16" s="397" t="s">
        <v>406</v>
      </c>
    </row>
    <row r="17" spans="4:7">
      <c r="D17" s="391" t="s">
        <v>409</v>
      </c>
      <c r="E17" s="392">
        <f>MIN(E8:E14)</f>
        <v>12100000</v>
      </c>
      <c r="F17" s="393">
        <f>MIN(F8:F14)</f>
        <v>15565.031982942432</v>
      </c>
      <c r="G17" s="394">
        <f>MIN(G8:G14)</f>
        <v>245</v>
      </c>
    </row>
    <row r="18" spans="4:7">
      <c r="D18" s="391" t="s">
        <v>410</v>
      </c>
      <c r="E18" s="392">
        <f>AVERAGE(E8:E14)</f>
        <v>22850000</v>
      </c>
      <c r="F18" s="393">
        <f>AVERAGE(F8:F14)</f>
        <v>46113.691274690653</v>
      </c>
      <c r="G18" s="394">
        <f>AVERAGE(G8:G14)</f>
        <v>550.85714285714289</v>
      </c>
    </row>
    <row r="19" spans="4:7">
      <c r="D19" s="391" t="s">
        <v>411</v>
      </c>
      <c r="E19" s="392">
        <f>MAX(E8:E14)</f>
        <v>48250000</v>
      </c>
      <c r="F19" s="393">
        <f>MAX(F8:F14)</f>
        <v>72027.972027972035</v>
      </c>
      <c r="G19" s="394">
        <f>MAX(G8:G14)</f>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Assumptions &amp; Inputs</vt:lpstr>
      <vt:lpstr>SF Breakdown</vt:lpstr>
      <vt:lpstr>Sources &amp; Uses</vt:lpstr>
      <vt:lpstr>Monthly PF Cash Flow</vt:lpstr>
      <vt:lpstr>Pro Forma (Annual)</vt:lpstr>
      <vt:lpstr>Untrended Pro Forma</vt:lpstr>
      <vt:lpstr>Investor Returns - Pari Passu</vt:lpstr>
      <vt:lpstr>Investor Returns - Sep Pref Pay</vt:lpstr>
      <vt:lpstr>Budget to Convert Existing Bldg</vt:lpstr>
      <vt:lpstr>Budget for New Bldg</vt:lpstr>
      <vt:lpstr>Property Data</vt:lpstr>
      <vt:lpstr>Rental Income Model</vt:lpstr>
      <vt:lpstr>5 Year Model</vt:lpstr>
      <vt:lpstr>5 Year Summary</vt:lpstr>
      <vt:lpstr>RE Tax UW</vt:lpstr>
      <vt:lpstr>Comps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Binnie, Duncan</dc:creator>
  <cp:lastModifiedBy>Olga Bahlmann</cp:lastModifiedBy>
  <dcterms:created xsi:type="dcterms:W3CDTF">2025-02-03T15:36:10Z</dcterms:created>
  <dcterms:modified xsi:type="dcterms:W3CDTF">2025-05-23T17:39:10Z</dcterms:modified>
</cp:coreProperties>
</file>