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.sharepoint.com/sites/Project4/Shared Documents/General/Data_Analysis/"/>
    </mc:Choice>
  </mc:AlternateContent>
  <xr:revisionPtr revIDLastSave="485" documentId="11_A43A874F452FD1728BE75BFE2E4A552A3B730393" xr6:coauthVersionLast="47" xr6:coauthVersionMax="47" xr10:uidLastSave="{ED983D6A-8839-4D30-AF67-063AB6E08469}"/>
  <bookViews>
    <workbookView xWindow="-108" yWindow="-108" windowWidth="23256" windowHeight="12720" xr2:uid="{00000000-000D-0000-FFFF-FFFF00000000}"/>
  </bookViews>
  <sheets>
    <sheet name="Linear regression δ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1" i="1" l="1"/>
  <c r="D264" i="1"/>
  <c r="D247" i="1"/>
  <c r="D230" i="1"/>
  <c r="D213" i="1"/>
  <c r="D196" i="1"/>
  <c r="D179" i="1"/>
  <c r="D162" i="1"/>
  <c r="D145" i="1"/>
  <c r="D128" i="1"/>
  <c r="D111" i="1"/>
  <c r="D94" i="1"/>
  <c r="D77" i="1"/>
  <c r="D60" i="1"/>
  <c r="D43" i="1"/>
  <c r="D26" i="1"/>
  <c r="D9" i="1"/>
  <c r="H401" i="1"/>
  <c r="B407" i="1" l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C407" i="1"/>
  <c r="B360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361" i="1" l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40" i="1" l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C277" i="1"/>
  <c r="I274" i="1"/>
  <c r="I275" i="1" s="1"/>
  <c r="I276" i="1" s="1"/>
  <c r="D274" i="1"/>
  <c r="C274" i="1"/>
  <c r="C310" i="1" s="1"/>
  <c r="C332" i="1" s="1"/>
  <c r="C260" i="1"/>
  <c r="I257" i="1"/>
  <c r="J257" i="1" s="1"/>
  <c r="D257" i="1"/>
  <c r="C257" i="1"/>
  <c r="C309" i="1" s="1"/>
  <c r="C331" i="1" s="1"/>
  <c r="C243" i="1"/>
  <c r="I240" i="1"/>
  <c r="I241" i="1" s="1"/>
  <c r="I242" i="1" s="1"/>
  <c r="D240" i="1"/>
  <c r="C240" i="1"/>
  <c r="C308" i="1" s="1"/>
  <c r="C330" i="1" s="1"/>
  <c r="C226" i="1"/>
  <c r="I223" i="1"/>
  <c r="I224" i="1" s="1"/>
  <c r="I225" i="1" s="1"/>
  <c r="D223" i="1"/>
  <c r="C223" i="1"/>
  <c r="C307" i="1" s="1"/>
  <c r="C329" i="1" s="1"/>
  <c r="C209" i="1"/>
  <c r="I206" i="1"/>
  <c r="I207" i="1" s="1"/>
  <c r="I208" i="1" s="1"/>
  <c r="D206" i="1"/>
  <c r="C206" i="1"/>
  <c r="C306" i="1" s="1"/>
  <c r="C328" i="1" s="1"/>
  <c r="C192" i="1"/>
  <c r="I189" i="1"/>
  <c r="I190" i="1" s="1"/>
  <c r="I191" i="1" s="1"/>
  <c r="D189" i="1"/>
  <c r="C189" i="1"/>
  <c r="C305" i="1" s="1"/>
  <c r="C327" i="1" s="1"/>
  <c r="C175" i="1"/>
  <c r="I172" i="1"/>
  <c r="I173" i="1" s="1"/>
  <c r="D172" i="1"/>
  <c r="C172" i="1"/>
  <c r="C304" i="1" s="1"/>
  <c r="C326" i="1" s="1"/>
  <c r="C158" i="1"/>
  <c r="I155" i="1"/>
  <c r="I156" i="1" s="1"/>
  <c r="I157" i="1" s="1"/>
  <c r="D155" i="1"/>
  <c r="C155" i="1"/>
  <c r="C303" i="1" s="1"/>
  <c r="C325" i="1" s="1"/>
  <c r="D325" i="1" l="1"/>
  <c r="D326" i="1"/>
  <c r="D327" i="1"/>
  <c r="D328" i="1"/>
  <c r="D329" i="1"/>
  <c r="D330" i="1"/>
  <c r="D331" i="1"/>
  <c r="D332" i="1"/>
  <c r="B351" i="1"/>
  <c r="C350" i="1"/>
  <c r="J274" i="1"/>
  <c r="E274" i="1"/>
  <c r="E155" i="1"/>
  <c r="E172" i="1"/>
  <c r="E189" i="1"/>
  <c r="E206" i="1"/>
  <c r="E223" i="1"/>
  <c r="E240" i="1"/>
  <c r="E257" i="1"/>
  <c r="J276" i="1"/>
  <c r="I277" i="1"/>
  <c r="I258" i="1"/>
  <c r="I259" i="1" s="1"/>
  <c r="I260" i="1" s="1"/>
  <c r="J275" i="1"/>
  <c r="D280" i="1"/>
  <c r="J240" i="1"/>
  <c r="D263" i="1"/>
  <c r="I243" i="1"/>
  <c r="J242" i="1"/>
  <c r="J223" i="1"/>
  <c r="D246" i="1"/>
  <c r="J241" i="1"/>
  <c r="J225" i="1"/>
  <c r="I226" i="1"/>
  <c r="J206" i="1"/>
  <c r="J224" i="1"/>
  <c r="D229" i="1"/>
  <c r="J208" i="1"/>
  <c r="I209" i="1"/>
  <c r="J189" i="1"/>
  <c r="J207" i="1"/>
  <c r="D212" i="1"/>
  <c r="J191" i="1"/>
  <c r="I192" i="1"/>
  <c r="J190" i="1"/>
  <c r="D195" i="1"/>
  <c r="D178" i="1"/>
  <c r="J173" i="1"/>
  <c r="I174" i="1"/>
  <c r="J155" i="1"/>
  <c r="J172" i="1"/>
  <c r="J157" i="1"/>
  <c r="I158" i="1"/>
  <c r="D161" i="1"/>
  <c r="J156" i="1"/>
  <c r="B352" i="1" l="1"/>
  <c r="C351" i="1"/>
  <c r="J258" i="1"/>
  <c r="J259" i="1"/>
  <c r="J277" i="1"/>
  <c r="I278" i="1"/>
  <c r="J260" i="1"/>
  <c r="I261" i="1"/>
  <c r="J243" i="1"/>
  <c r="I244" i="1"/>
  <c r="J226" i="1"/>
  <c r="I227" i="1"/>
  <c r="J209" i="1"/>
  <c r="I210" i="1"/>
  <c r="J192" i="1"/>
  <c r="I193" i="1"/>
  <c r="I175" i="1"/>
  <c r="J174" i="1"/>
  <c r="J158" i="1"/>
  <c r="I159" i="1"/>
  <c r="B353" i="1" l="1"/>
  <c r="C352" i="1"/>
  <c r="I279" i="1"/>
  <c r="J278" i="1"/>
  <c r="I262" i="1"/>
  <c r="J261" i="1"/>
  <c r="I245" i="1"/>
  <c r="J244" i="1"/>
  <c r="I228" i="1"/>
  <c r="J227" i="1"/>
  <c r="I211" i="1"/>
  <c r="J210" i="1"/>
  <c r="I194" i="1"/>
  <c r="J193" i="1"/>
  <c r="I176" i="1"/>
  <c r="J175" i="1"/>
  <c r="I160" i="1"/>
  <c r="J159" i="1"/>
  <c r="B354" i="1" l="1"/>
  <c r="C353" i="1"/>
  <c r="J279" i="1"/>
  <c r="I280" i="1"/>
  <c r="J262" i="1"/>
  <c r="I263" i="1"/>
  <c r="J245" i="1"/>
  <c r="I246" i="1"/>
  <c r="J228" i="1"/>
  <c r="I229" i="1"/>
  <c r="J211" i="1"/>
  <c r="I212" i="1"/>
  <c r="J194" i="1"/>
  <c r="I195" i="1"/>
  <c r="I177" i="1"/>
  <c r="J176" i="1"/>
  <c r="J160" i="1"/>
  <c r="I161" i="1"/>
  <c r="B355" i="1" l="1"/>
  <c r="C354" i="1"/>
  <c r="I281" i="1"/>
  <c r="J280" i="1"/>
  <c r="I264" i="1"/>
  <c r="J263" i="1"/>
  <c r="J246" i="1"/>
  <c r="I247" i="1"/>
  <c r="J229" i="1"/>
  <c r="I230" i="1"/>
  <c r="J212" i="1"/>
  <c r="I213" i="1"/>
  <c r="J195" i="1"/>
  <c r="I196" i="1"/>
  <c r="I178" i="1"/>
  <c r="J177" i="1"/>
  <c r="I162" i="1"/>
  <c r="J161" i="1"/>
  <c r="C141" i="1"/>
  <c r="I138" i="1"/>
  <c r="I139" i="1" s="1"/>
  <c r="I140" i="1" s="1"/>
  <c r="I141" i="1" s="1"/>
  <c r="D138" i="1"/>
  <c r="C138" i="1"/>
  <c r="C302" i="1" s="1"/>
  <c r="C124" i="1"/>
  <c r="I121" i="1"/>
  <c r="J121" i="1" s="1"/>
  <c r="D121" i="1"/>
  <c r="C121" i="1"/>
  <c r="C107" i="1"/>
  <c r="I104" i="1"/>
  <c r="J104" i="1" s="1"/>
  <c r="D104" i="1"/>
  <c r="C104" i="1"/>
  <c r="C90" i="1"/>
  <c r="I87" i="1"/>
  <c r="J87" i="1" s="1"/>
  <c r="D87" i="1"/>
  <c r="C87" i="1"/>
  <c r="C73" i="1"/>
  <c r="I70" i="1"/>
  <c r="J70" i="1" s="1"/>
  <c r="D70" i="1"/>
  <c r="C70" i="1"/>
  <c r="C56" i="1"/>
  <c r="I53" i="1"/>
  <c r="I54" i="1" s="1"/>
  <c r="D53" i="1"/>
  <c r="C53" i="1"/>
  <c r="C39" i="1"/>
  <c r="I36" i="1"/>
  <c r="D36" i="1"/>
  <c r="C36" i="1"/>
  <c r="C22" i="1"/>
  <c r="I19" i="1"/>
  <c r="I20" i="1" s="1"/>
  <c r="I21" i="1" s="1"/>
  <c r="J21" i="1" s="1"/>
  <c r="D19" i="1"/>
  <c r="C19" i="1"/>
  <c r="C5" i="1"/>
  <c r="I2" i="1"/>
  <c r="I3" i="1" s="1"/>
  <c r="I4" i="1" s="1"/>
  <c r="J4" i="1" s="1"/>
  <c r="D2" i="1"/>
  <c r="C2" i="1"/>
  <c r="C294" i="1" s="1"/>
  <c r="B356" i="1" l="1"/>
  <c r="C356" i="1" s="1"/>
  <c r="C355" i="1"/>
  <c r="C295" i="1"/>
  <c r="C317" i="1" s="1"/>
  <c r="I282" i="1"/>
  <c r="J281" i="1"/>
  <c r="D8" i="1"/>
  <c r="I265" i="1"/>
  <c r="J264" i="1"/>
  <c r="I248" i="1"/>
  <c r="J247" i="1"/>
  <c r="I231" i="1"/>
  <c r="J230" i="1"/>
  <c r="I22" i="1"/>
  <c r="I23" i="1" s="1"/>
  <c r="D76" i="1"/>
  <c r="I214" i="1"/>
  <c r="J213" i="1"/>
  <c r="I88" i="1"/>
  <c r="J88" i="1" s="1"/>
  <c r="E2" i="1"/>
  <c r="I197" i="1"/>
  <c r="J196" i="1"/>
  <c r="E19" i="1"/>
  <c r="I71" i="1"/>
  <c r="I72" i="1" s="1"/>
  <c r="C341" i="1"/>
  <c r="I122" i="1"/>
  <c r="I123" i="1" s="1"/>
  <c r="C324" i="1"/>
  <c r="J178" i="1"/>
  <c r="I179" i="1"/>
  <c r="J141" i="1"/>
  <c r="I142" i="1"/>
  <c r="J142" i="1" s="1"/>
  <c r="J138" i="1"/>
  <c r="J53" i="1"/>
  <c r="E70" i="1"/>
  <c r="D110" i="1"/>
  <c r="I105" i="1"/>
  <c r="I106" i="1" s="1"/>
  <c r="I163" i="1"/>
  <c r="J162" i="1"/>
  <c r="C297" i="1"/>
  <c r="C319" i="1" s="1"/>
  <c r="D59" i="1"/>
  <c r="I55" i="1"/>
  <c r="J54" i="1"/>
  <c r="C301" i="1"/>
  <c r="C323" i="1" s="1"/>
  <c r="D127" i="1"/>
  <c r="I37" i="1"/>
  <c r="J36" i="1"/>
  <c r="J3" i="1"/>
  <c r="I5" i="1"/>
  <c r="J20" i="1"/>
  <c r="J19" i="1"/>
  <c r="D25" i="1"/>
  <c r="C296" i="1"/>
  <c r="C318" i="1" s="1"/>
  <c r="D42" i="1"/>
  <c r="C299" i="1"/>
  <c r="C321" i="1" s="1"/>
  <c r="E104" i="1"/>
  <c r="E138" i="1"/>
  <c r="J140" i="1"/>
  <c r="C316" i="1"/>
  <c r="E53" i="1"/>
  <c r="C300" i="1"/>
  <c r="C322" i="1" s="1"/>
  <c r="E121" i="1"/>
  <c r="D144" i="1"/>
  <c r="J2" i="1"/>
  <c r="E36" i="1"/>
  <c r="E87" i="1"/>
  <c r="D93" i="1"/>
  <c r="C298" i="1"/>
  <c r="C320" i="1" s="1"/>
  <c r="C342" i="1"/>
  <c r="J139" i="1"/>
  <c r="C340" i="1"/>
  <c r="D318" i="1" l="1"/>
  <c r="D319" i="1"/>
  <c r="G401" i="1"/>
  <c r="L404" i="1" s="1"/>
  <c r="D317" i="1"/>
  <c r="D320" i="1"/>
  <c r="D322" i="1"/>
  <c r="D324" i="1"/>
  <c r="D321" i="1"/>
  <c r="D323" i="1"/>
  <c r="J282" i="1"/>
  <c r="I283" i="1"/>
  <c r="J265" i="1"/>
  <c r="I266" i="1"/>
  <c r="I89" i="1"/>
  <c r="J89" i="1" s="1"/>
  <c r="J248" i="1"/>
  <c r="I249" i="1"/>
  <c r="J22" i="1"/>
  <c r="J231" i="1"/>
  <c r="I232" i="1"/>
  <c r="J71" i="1"/>
  <c r="I143" i="1"/>
  <c r="I144" i="1" s="1"/>
  <c r="J214" i="1"/>
  <c r="I215" i="1"/>
  <c r="J197" i="1"/>
  <c r="I198" i="1"/>
  <c r="I180" i="1"/>
  <c r="J179" i="1"/>
  <c r="J122" i="1"/>
  <c r="J105" i="1"/>
  <c r="J163" i="1"/>
  <c r="I164" i="1"/>
  <c r="I73" i="1"/>
  <c r="J72" i="1"/>
  <c r="I90" i="1"/>
  <c r="I6" i="1"/>
  <c r="J5" i="1"/>
  <c r="J23" i="1"/>
  <c r="I24" i="1"/>
  <c r="I56" i="1"/>
  <c r="J55" i="1"/>
  <c r="I107" i="1"/>
  <c r="J106" i="1"/>
  <c r="I124" i="1"/>
  <c r="J123" i="1"/>
  <c r="C343" i="1"/>
  <c r="D316" i="1"/>
  <c r="J37" i="1"/>
  <c r="I38" i="1"/>
  <c r="F401" i="1" l="1"/>
  <c r="L415" i="1"/>
  <c r="L410" i="1"/>
  <c r="L412" i="1"/>
  <c r="L414" i="1"/>
  <c r="L416" i="1"/>
  <c r="L411" i="1"/>
  <c r="L413" i="1"/>
  <c r="L417" i="1"/>
  <c r="L401" i="1"/>
  <c r="L403" i="1"/>
  <c r="L408" i="1"/>
  <c r="L409" i="1"/>
  <c r="L405" i="1"/>
  <c r="L406" i="1"/>
  <c r="L407" i="1"/>
  <c r="L402" i="1"/>
  <c r="C403" i="1"/>
  <c r="B402" i="1"/>
  <c r="B403" i="1"/>
  <c r="C402" i="1"/>
  <c r="I284" i="1"/>
  <c r="J283" i="1"/>
  <c r="J143" i="1"/>
  <c r="I267" i="1"/>
  <c r="J266" i="1"/>
  <c r="I250" i="1"/>
  <c r="J249" i="1"/>
  <c r="I233" i="1"/>
  <c r="J232" i="1"/>
  <c r="I216" i="1"/>
  <c r="J215" i="1"/>
  <c r="I199" i="1"/>
  <c r="J198" i="1"/>
  <c r="I181" i="1"/>
  <c r="J180" i="1"/>
  <c r="I165" i="1"/>
  <c r="J164" i="1"/>
  <c r="J144" i="1"/>
  <c r="I145" i="1"/>
  <c r="I39" i="1"/>
  <c r="J38" i="1"/>
  <c r="J56" i="1"/>
  <c r="I57" i="1"/>
  <c r="J6" i="1"/>
  <c r="I7" i="1"/>
  <c r="C344" i="1"/>
  <c r="J107" i="1"/>
  <c r="I108" i="1"/>
  <c r="I25" i="1"/>
  <c r="J24" i="1"/>
  <c r="J124" i="1"/>
  <c r="I125" i="1"/>
  <c r="J90" i="1"/>
  <c r="I91" i="1"/>
  <c r="J73" i="1"/>
  <c r="I74" i="1"/>
  <c r="E404" i="1" l="1"/>
  <c r="F404" i="1" s="1"/>
  <c r="J284" i="1"/>
  <c r="I285" i="1"/>
  <c r="J267" i="1"/>
  <c r="I268" i="1"/>
  <c r="J250" i="1"/>
  <c r="I251" i="1"/>
  <c r="J233" i="1"/>
  <c r="I234" i="1"/>
  <c r="J216" i="1"/>
  <c r="I217" i="1"/>
  <c r="J199" i="1"/>
  <c r="I200" i="1"/>
  <c r="I182" i="1"/>
  <c r="J181" i="1"/>
  <c r="J165" i="1"/>
  <c r="I166" i="1"/>
  <c r="I75" i="1"/>
  <c r="J74" i="1"/>
  <c r="I126" i="1"/>
  <c r="J125" i="1"/>
  <c r="I109" i="1"/>
  <c r="J108" i="1"/>
  <c r="I8" i="1"/>
  <c r="J7" i="1"/>
  <c r="I40" i="1"/>
  <c r="J39" i="1"/>
  <c r="I92" i="1"/>
  <c r="J91" i="1"/>
  <c r="I58" i="1"/>
  <c r="J57" i="1"/>
  <c r="I146" i="1"/>
  <c r="J145" i="1"/>
  <c r="I26" i="1"/>
  <c r="J25" i="1"/>
  <c r="C345" i="1"/>
  <c r="I286" i="1" l="1"/>
  <c r="J285" i="1"/>
  <c r="I269" i="1"/>
  <c r="J268" i="1"/>
  <c r="I252" i="1"/>
  <c r="J251" i="1"/>
  <c r="I235" i="1"/>
  <c r="J234" i="1"/>
  <c r="I218" i="1"/>
  <c r="J217" i="1"/>
  <c r="I201" i="1"/>
  <c r="J200" i="1"/>
  <c r="I183" i="1"/>
  <c r="J182" i="1"/>
  <c r="I167" i="1"/>
  <c r="J166" i="1"/>
  <c r="C346" i="1"/>
  <c r="J146" i="1"/>
  <c r="I147" i="1"/>
  <c r="J92" i="1"/>
  <c r="I93" i="1"/>
  <c r="I9" i="1"/>
  <c r="J8" i="1"/>
  <c r="J126" i="1"/>
  <c r="I127" i="1"/>
  <c r="I27" i="1"/>
  <c r="J26" i="1"/>
  <c r="J58" i="1"/>
  <c r="I59" i="1"/>
  <c r="I41" i="1"/>
  <c r="J40" i="1"/>
  <c r="J109" i="1"/>
  <c r="I110" i="1"/>
  <c r="J75" i="1"/>
  <c r="I76" i="1"/>
  <c r="J286" i="1" l="1"/>
  <c r="I287" i="1"/>
  <c r="J269" i="1"/>
  <c r="I270" i="1"/>
  <c r="J252" i="1"/>
  <c r="I253" i="1"/>
  <c r="J235" i="1"/>
  <c r="I236" i="1"/>
  <c r="J218" i="1"/>
  <c r="I219" i="1"/>
  <c r="J201" i="1"/>
  <c r="I202" i="1"/>
  <c r="I184" i="1"/>
  <c r="J183" i="1"/>
  <c r="J167" i="1"/>
  <c r="I168" i="1"/>
  <c r="J76" i="1"/>
  <c r="I77" i="1"/>
  <c r="I28" i="1"/>
  <c r="J27" i="1"/>
  <c r="I148" i="1"/>
  <c r="J147" i="1"/>
  <c r="I42" i="1"/>
  <c r="J41" i="1"/>
  <c r="J9" i="1"/>
  <c r="I10" i="1"/>
  <c r="J110" i="1"/>
  <c r="I111" i="1"/>
  <c r="J59" i="1"/>
  <c r="I60" i="1"/>
  <c r="J127" i="1"/>
  <c r="I128" i="1"/>
  <c r="J93" i="1"/>
  <c r="I94" i="1"/>
  <c r="C347" i="1"/>
  <c r="I288" i="1" l="1"/>
  <c r="J288" i="1" s="1"/>
  <c r="J287" i="1"/>
  <c r="I271" i="1"/>
  <c r="J271" i="1" s="1"/>
  <c r="J270" i="1"/>
  <c r="I254" i="1"/>
  <c r="J254" i="1" s="1"/>
  <c r="J253" i="1"/>
  <c r="I237" i="1"/>
  <c r="J237" i="1" s="1"/>
  <c r="J236" i="1"/>
  <c r="I220" i="1"/>
  <c r="J220" i="1" s="1"/>
  <c r="J219" i="1"/>
  <c r="I203" i="1"/>
  <c r="J203" i="1" s="1"/>
  <c r="J202" i="1"/>
  <c r="I185" i="1"/>
  <c r="J184" i="1"/>
  <c r="I169" i="1"/>
  <c r="J169" i="1" s="1"/>
  <c r="J168" i="1"/>
  <c r="I112" i="1"/>
  <c r="J111" i="1"/>
  <c r="C349" i="1"/>
  <c r="C348" i="1"/>
  <c r="J42" i="1"/>
  <c r="I43" i="1"/>
  <c r="I29" i="1"/>
  <c r="J28" i="1"/>
  <c r="I129" i="1"/>
  <c r="J128" i="1"/>
  <c r="I11" i="1"/>
  <c r="J10" i="1"/>
  <c r="I78" i="1"/>
  <c r="J77" i="1"/>
  <c r="I95" i="1"/>
  <c r="J94" i="1"/>
  <c r="I61" i="1"/>
  <c r="J60" i="1"/>
  <c r="J148" i="1"/>
  <c r="I149" i="1"/>
  <c r="I186" i="1" l="1"/>
  <c r="J186" i="1" s="1"/>
  <c r="J185" i="1"/>
  <c r="J95" i="1"/>
  <c r="I96" i="1"/>
  <c r="J11" i="1"/>
  <c r="I12" i="1"/>
  <c r="J29" i="1"/>
  <c r="I30" i="1"/>
  <c r="I150" i="1"/>
  <c r="J149" i="1"/>
  <c r="I44" i="1"/>
  <c r="J43" i="1"/>
  <c r="J61" i="1"/>
  <c r="I62" i="1"/>
  <c r="J78" i="1"/>
  <c r="I79" i="1"/>
  <c r="J129" i="1"/>
  <c r="I130" i="1"/>
  <c r="J112" i="1"/>
  <c r="I113" i="1"/>
  <c r="I131" i="1" l="1"/>
  <c r="J130" i="1"/>
  <c r="I13" i="1"/>
  <c r="J12" i="1"/>
  <c r="I63" i="1"/>
  <c r="J62" i="1"/>
  <c r="J150" i="1"/>
  <c r="I151" i="1"/>
  <c r="I114" i="1"/>
  <c r="J113" i="1"/>
  <c r="I80" i="1"/>
  <c r="J79" i="1"/>
  <c r="I31" i="1"/>
  <c r="J30" i="1"/>
  <c r="I97" i="1"/>
  <c r="J96" i="1"/>
  <c r="J44" i="1"/>
  <c r="I45" i="1"/>
  <c r="J13" i="1" l="1"/>
  <c r="I14" i="1"/>
  <c r="J97" i="1"/>
  <c r="I98" i="1"/>
  <c r="I152" i="1"/>
  <c r="J152" i="1" s="1"/>
  <c r="J151" i="1"/>
  <c r="J80" i="1"/>
  <c r="I81" i="1"/>
  <c r="I46" i="1"/>
  <c r="J45" i="1"/>
  <c r="I32" i="1"/>
  <c r="J31" i="1"/>
  <c r="J114" i="1"/>
  <c r="I115" i="1"/>
  <c r="J63" i="1"/>
  <c r="I64" i="1"/>
  <c r="J131" i="1"/>
  <c r="I132" i="1"/>
  <c r="I65" i="1" l="1"/>
  <c r="J64" i="1"/>
  <c r="I82" i="1"/>
  <c r="J81" i="1"/>
  <c r="I99" i="1"/>
  <c r="J98" i="1"/>
  <c r="I33" i="1"/>
  <c r="J33" i="1" s="1"/>
  <c r="J32" i="1"/>
  <c r="I15" i="1"/>
  <c r="J14" i="1"/>
  <c r="I133" i="1"/>
  <c r="J132" i="1"/>
  <c r="I116" i="1"/>
  <c r="J115" i="1"/>
  <c r="J46" i="1"/>
  <c r="I47" i="1"/>
  <c r="J82" i="1" l="1"/>
  <c r="I83" i="1"/>
  <c r="I48" i="1"/>
  <c r="J47" i="1"/>
  <c r="J133" i="1"/>
  <c r="I134" i="1"/>
  <c r="J116" i="1"/>
  <c r="I117" i="1"/>
  <c r="J15" i="1"/>
  <c r="I16" i="1"/>
  <c r="J16" i="1" s="1"/>
  <c r="J99" i="1"/>
  <c r="I100" i="1"/>
  <c r="J65" i="1"/>
  <c r="I66" i="1"/>
  <c r="I135" i="1" l="1"/>
  <c r="J135" i="1" s="1"/>
  <c r="J134" i="1"/>
  <c r="I84" i="1"/>
  <c r="J84" i="1" s="1"/>
  <c r="J83" i="1"/>
  <c r="I101" i="1"/>
  <c r="J101" i="1" s="1"/>
  <c r="J100" i="1"/>
  <c r="I118" i="1"/>
  <c r="J118" i="1" s="1"/>
  <c r="J117" i="1"/>
  <c r="J48" i="1"/>
  <c r="I49" i="1"/>
  <c r="I67" i="1"/>
  <c r="J67" i="1" s="1"/>
  <c r="J66" i="1"/>
  <c r="I50" i="1" l="1"/>
  <c r="J50" i="1" s="1"/>
  <c r="J49" i="1"/>
</calcChain>
</file>

<file path=xl/sharedStrings.xml><?xml version="1.0" encoding="utf-8"?>
<sst xmlns="http://schemas.openxmlformats.org/spreadsheetml/2006/main" count="276" uniqueCount="70">
  <si>
    <t>Observations , λ = 77, μ = 7, δ = 1</t>
  </si>
  <si>
    <t>Sample Mean</t>
  </si>
  <si>
    <t>Sample Variance</t>
  </si>
  <si>
    <t>CoV</t>
  </si>
  <si>
    <t>Ordered Observations</t>
  </si>
  <si>
    <t>Quartiles</t>
  </si>
  <si>
    <t>normal values</t>
  </si>
  <si>
    <t>Sample Median</t>
  </si>
  <si>
    <t>Students Quantile</t>
  </si>
  <si>
    <t>Confidence Interval, 95% confidence</t>
  </si>
  <si>
    <t>Upper Limit</t>
  </si>
  <si>
    <t>Lower Limit</t>
  </si>
  <si>
    <t>Observations , λ = 77, μ = 7, δ = 1.25</t>
  </si>
  <si>
    <t>Observations , λ = 77, μ = 7, δ = 1.5</t>
  </si>
  <si>
    <t>Observations , λ = 77, μ = 7, δ = 1.75</t>
  </si>
  <si>
    <t>Observations , λ = 77, μ = 7, δ = 2</t>
  </si>
  <si>
    <t>Observations , λ = 77, μ = 7, δ = 2.25</t>
  </si>
  <si>
    <t>Observations , λ = 77, μ = 7, δ = 2.5</t>
  </si>
  <si>
    <t>Observations , λ = 77, μ = 7, δ = 2.75</t>
  </si>
  <si>
    <t>Observations , λ = 77, μ = 7, δ = 3</t>
  </si>
  <si>
    <t>Observations , λ = 77, μ = 7, δ = 3.25</t>
  </si>
  <si>
    <t>Observations , λ = 77, μ = 7, δ = 3.5</t>
  </si>
  <si>
    <t>Observations , λ = 77, μ = 7, δ = 3.75</t>
  </si>
  <si>
    <t>Observations , λ = 77, μ = 7, δ = 4</t>
  </si>
  <si>
    <t>Observations , λ = 77, μ = 7, δ = 4.25</t>
  </si>
  <si>
    <t>Observations , λ = 77, μ = 7, δ = 4.5</t>
  </si>
  <si>
    <t>Observations , λ = 77, μ = 7, δ = 4.75</t>
  </si>
  <si>
    <t>Observations , λ = 77, μ = 7, δ = 5</t>
  </si>
  <si>
    <t>Exponential fitting of Q1</t>
  </si>
  <si>
    <t>Factors</t>
  </si>
  <si>
    <t>δ</t>
  </si>
  <si>
    <t>Observations</t>
  </si>
  <si>
    <t>Observations , λ = 77, μ = 7, δ = 1,25</t>
  </si>
  <si>
    <t>Observations , λ = 77, μ = 7, δ = 1,5</t>
  </si>
  <si>
    <t>Observations , λ = 77, μ = 7, δ = 1,75</t>
  </si>
  <si>
    <t>Observations , λ 77, μ = 7, δ = 2,25</t>
  </si>
  <si>
    <t>Observations , λ 77, μ = 7, δ = 2,5</t>
  </si>
  <si>
    <t>Observations , λ 77, μ = 7, δ = 2,75</t>
  </si>
  <si>
    <t>Observations , λ 77, μ = 7, δ = 3</t>
  </si>
  <si>
    <t>Observations , λ 77, μ = 7, δ = 3,25</t>
  </si>
  <si>
    <t xml:space="preserve">Observations , λ 77, μ = 7, δ = 3,5 </t>
  </si>
  <si>
    <t>Observations , λ 77, μ = 7, δ = 3,75</t>
  </si>
  <si>
    <t>Observations , λ 77, μ = 7, δ = 4</t>
  </si>
  <si>
    <t>Observations , λ 77, μ = 7, δ = 4,25</t>
  </si>
  <si>
    <t>Observations , λ 77, μ = 7, δ = 4,5</t>
  </si>
  <si>
    <t>Observations , λ 77, μ = 7, δ = 4,75</t>
  </si>
  <si>
    <t>Observations , λ 77, μ = 7, δ = 5</t>
  </si>
  <si>
    <t>Linear Fitting of the transformation of Q1</t>
  </si>
  <si>
    <t>log(observations)</t>
  </si>
  <si>
    <t>Residuals</t>
  </si>
  <si>
    <t>Linear regression</t>
  </si>
  <si>
    <t>Slope</t>
  </si>
  <si>
    <t>Offset</t>
  </si>
  <si>
    <t>Testing Normal Residuals</t>
  </si>
  <si>
    <t>Normal Quantiles</t>
  </si>
  <si>
    <t>Testing Constant Std</t>
  </si>
  <si>
    <t>Predicted Response</t>
  </si>
  <si>
    <t>Testing independence</t>
  </si>
  <si>
    <t>Observation ID</t>
  </si>
  <si>
    <t>CI for parameters of Linear regression</t>
  </si>
  <si>
    <t>Students Quantiles</t>
  </si>
  <si>
    <t>SSE</t>
  </si>
  <si>
    <t>Mean</t>
  </si>
  <si>
    <t>Sum Den b1 Confidence</t>
  </si>
  <si>
    <t>Squared Total</t>
  </si>
  <si>
    <t>Upper limit</t>
  </si>
  <si>
    <t>Lower limit</t>
  </si>
  <si>
    <t>SST</t>
  </si>
  <si>
    <t>Coefficient Of Determination</t>
  </si>
  <si>
    <t>CI for Predicted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</si>
</sst>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3">
    <cellStyle name="Normale" xfId="0" builtinId="0"/>
    <cellStyle name="Normale 2" xfId="1" xr:uid="{0D84CC21-27FA-4EDA-9EF3-4D682AA789DD}"/>
    <cellStyle name="Normale 3" xfId="2" xr:uid="{84E67611-AAEF-4199-934D-F0188BAE8A4B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δ'!$H$2:$H$16</c:f>
              <c:numCache>
                <c:formatCode>General</c:formatCode>
                <c:ptCount val="15"/>
                <c:pt idx="0">
                  <c:v>2.2013541708938999E-2</c:v>
                </c:pt>
                <c:pt idx="1">
                  <c:v>2.2076432806614001E-2</c:v>
                </c:pt>
                <c:pt idx="2">
                  <c:v>2.2173827836027001E-2</c:v>
                </c:pt>
                <c:pt idx="3">
                  <c:v>2.2192207491760998E-2</c:v>
                </c:pt>
                <c:pt idx="4">
                  <c:v>2.2205258853654999E-2</c:v>
                </c:pt>
                <c:pt idx="5">
                  <c:v>2.2364238564460001E-2</c:v>
                </c:pt>
                <c:pt idx="6">
                  <c:v>2.2426269470806E-2</c:v>
                </c:pt>
                <c:pt idx="7">
                  <c:v>2.2431880657848999E-2</c:v>
                </c:pt>
                <c:pt idx="8">
                  <c:v>2.2446091200323998E-2</c:v>
                </c:pt>
                <c:pt idx="9">
                  <c:v>2.2613001691184E-2</c:v>
                </c:pt>
                <c:pt idx="10">
                  <c:v>2.2652500121522999E-2</c:v>
                </c:pt>
                <c:pt idx="11">
                  <c:v>2.2694615442142001E-2</c:v>
                </c:pt>
                <c:pt idx="12">
                  <c:v>2.2805803172218999E-2</c:v>
                </c:pt>
                <c:pt idx="13">
                  <c:v>2.3066927669194E-2</c:v>
                </c:pt>
                <c:pt idx="14">
                  <c:v>2.3164591322292E-2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6-47C5-B3D8-82A5944F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δ'!$H$70:$H$84</c:f>
              <c:numCache>
                <c:formatCode>General</c:formatCode>
                <c:ptCount val="15"/>
                <c:pt idx="0">
                  <c:v>4.2290580179628001E-2</c:v>
                </c:pt>
                <c:pt idx="1">
                  <c:v>4.2408515727125E-2</c:v>
                </c:pt>
                <c:pt idx="2">
                  <c:v>4.2634492260343E-2</c:v>
                </c:pt>
                <c:pt idx="3">
                  <c:v>4.2664176793552E-2</c:v>
                </c:pt>
                <c:pt idx="4">
                  <c:v>4.2903195701750003E-2</c:v>
                </c:pt>
                <c:pt idx="5">
                  <c:v>4.2958739710112999E-2</c:v>
                </c:pt>
                <c:pt idx="6">
                  <c:v>4.3236024839981999E-2</c:v>
                </c:pt>
                <c:pt idx="7">
                  <c:v>4.3284549947391997E-2</c:v>
                </c:pt>
                <c:pt idx="8">
                  <c:v>4.3450682933815002E-2</c:v>
                </c:pt>
                <c:pt idx="9">
                  <c:v>4.3641864275377001E-2</c:v>
                </c:pt>
                <c:pt idx="10">
                  <c:v>4.3684882518703998E-2</c:v>
                </c:pt>
                <c:pt idx="11">
                  <c:v>4.3741829120632E-2</c:v>
                </c:pt>
                <c:pt idx="12">
                  <c:v>4.4090835494419001E-2</c:v>
                </c:pt>
                <c:pt idx="13">
                  <c:v>4.4475659547505E-2</c:v>
                </c:pt>
                <c:pt idx="14">
                  <c:v>4.4483280661943E-2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A-4602-890F-0F1244F84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δ'!$H$87:$H$101</c:f>
              <c:numCache>
                <c:formatCode>General</c:formatCode>
                <c:ptCount val="15"/>
                <c:pt idx="0">
                  <c:v>4.8527030580472003E-2</c:v>
                </c:pt>
                <c:pt idx="1">
                  <c:v>4.8738383373391002E-2</c:v>
                </c:pt>
                <c:pt idx="2">
                  <c:v>4.8803670035976E-2</c:v>
                </c:pt>
                <c:pt idx="3">
                  <c:v>4.8916838068469998E-2</c:v>
                </c:pt>
                <c:pt idx="4">
                  <c:v>4.9126010279038998E-2</c:v>
                </c:pt>
                <c:pt idx="5">
                  <c:v>4.9608755332598002E-2</c:v>
                </c:pt>
                <c:pt idx="6">
                  <c:v>4.9660771746301999E-2</c:v>
                </c:pt>
                <c:pt idx="7">
                  <c:v>4.9693291360324E-2</c:v>
                </c:pt>
                <c:pt idx="8">
                  <c:v>4.9876324631463999E-2</c:v>
                </c:pt>
                <c:pt idx="9">
                  <c:v>4.9949315484817E-2</c:v>
                </c:pt>
                <c:pt idx="10">
                  <c:v>5.0082975762197002E-2</c:v>
                </c:pt>
                <c:pt idx="11">
                  <c:v>5.0311959682578997E-2</c:v>
                </c:pt>
                <c:pt idx="12">
                  <c:v>5.0658959854203003E-2</c:v>
                </c:pt>
                <c:pt idx="13">
                  <c:v>5.1222867622344001E-2</c:v>
                </c:pt>
                <c:pt idx="14">
                  <c:v>5.161566331563E-2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8-4279-9E6B-BF899EEB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δ'!$H$104:$H$118</c:f>
              <c:numCache>
                <c:formatCode>General</c:formatCode>
                <c:ptCount val="15"/>
                <c:pt idx="0">
                  <c:v>5.5108862834506001E-2</c:v>
                </c:pt>
                <c:pt idx="1">
                  <c:v>5.5522409195079003E-2</c:v>
                </c:pt>
                <c:pt idx="2">
                  <c:v>5.5932117979423997E-2</c:v>
                </c:pt>
                <c:pt idx="3">
                  <c:v>5.6084204779926997E-2</c:v>
                </c:pt>
                <c:pt idx="4">
                  <c:v>5.6191831657258003E-2</c:v>
                </c:pt>
                <c:pt idx="5">
                  <c:v>5.6482425899802999E-2</c:v>
                </c:pt>
                <c:pt idx="6">
                  <c:v>5.6490625601990002E-2</c:v>
                </c:pt>
                <c:pt idx="7">
                  <c:v>5.6989056531220002E-2</c:v>
                </c:pt>
                <c:pt idx="8">
                  <c:v>5.7009532270343999E-2</c:v>
                </c:pt>
                <c:pt idx="9">
                  <c:v>5.7283840578483999E-2</c:v>
                </c:pt>
                <c:pt idx="10">
                  <c:v>5.7513098434307998E-2</c:v>
                </c:pt>
                <c:pt idx="11">
                  <c:v>5.7766114546550999E-2</c:v>
                </c:pt>
                <c:pt idx="12">
                  <c:v>5.8248326494383003E-2</c:v>
                </c:pt>
                <c:pt idx="13">
                  <c:v>5.9028270092850998E-2</c:v>
                </c:pt>
                <c:pt idx="14">
                  <c:v>5.9503147404544002E-2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8-4C0D-99F6-A2924B86A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δ'!$H$121:$H$135</c:f>
              <c:numCache>
                <c:formatCode>General</c:formatCode>
                <c:ptCount val="15"/>
                <c:pt idx="0">
                  <c:v>6.3192315417425995E-2</c:v>
                </c:pt>
                <c:pt idx="1">
                  <c:v>6.3546288286616001E-2</c:v>
                </c:pt>
                <c:pt idx="2">
                  <c:v>6.3658449360848995E-2</c:v>
                </c:pt>
                <c:pt idx="3">
                  <c:v>6.4155541240581995E-2</c:v>
                </c:pt>
                <c:pt idx="4">
                  <c:v>6.4219505773213004E-2</c:v>
                </c:pt>
                <c:pt idx="5">
                  <c:v>6.4467014767740999E-2</c:v>
                </c:pt>
                <c:pt idx="6">
                  <c:v>6.4768264343205997E-2</c:v>
                </c:pt>
                <c:pt idx="7">
                  <c:v>6.5168964138144006E-2</c:v>
                </c:pt>
                <c:pt idx="8">
                  <c:v>6.5457710066588001E-2</c:v>
                </c:pt>
                <c:pt idx="9">
                  <c:v>6.5683243570583E-2</c:v>
                </c:pt>
                <c:pt idx="10">
                  <c:v>6.5784729108733994E-2</c:v>
                </c:pt>
                <c:pt idx="11">
                  <c:v>6.5936092746607E-2</c:v>
                </c:pt>
                <c:pt idx="12">
                  <c:v>6.6194949785436996E-2</c:v>
                </c:pt>
                <c:pt idx="13">
                  <c:v>6.7718015722411998E-2</c:v>
                </c:pt>
                <c:pt idx="14">
                  <c:v>6.8130402415583005E-2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8-40E1-A47B-C87BEB0A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δ'!$H$138:$H$152</c:f>
              <c:numCache>
                <c:formatCode>General</c:formatCode>
                <c:ptCount val="15"/>
                <c:pt idx="0">
                  <c:v>7.1481821254052003E-2</c:v>
                </c:pt>
                <c:pt idx="1">
                  <c:v>7.2830369502478995E-2</c:v>
                </c:pt>
                <c:pt idx="2">
                  <c:v>7.2956635517451005E-2</c:v>
                </c:pt>
                <c:pt idx="3">
                  <c:v>7.3021614242451002E-2</c:v>
                </c:pt>
                <c:pt idx="4">
                  <c:v>7.3267602888991007E-2</c:v>
                </c:pt>
                <c:pt idx="5">
                  <c:v>7.3376199430610994E-2</c:v>
                </c:pt>
                <c:pt idx="6">
                  <c:v>7.3510480269672995E-2</c:v>
                </c:pt>
                <c:pt idx="7">
                  <c:v>7.4482446897340002E-2</c:v>
                </c:pt>
                <c:pt idx="8">
                  <c:v>7.4486205088117E-2</c:v>
                </c:pt>
                <c:pt idx="9">
                  <c:v>7.4498628991925997E-2</c:v>
                </c:pt>
                <c:pt idx="10">
                  <c:v>7.4867626429295994E-2</c:v>
                </c:pt>
                <c:pt idx="11">
                  <c:v>7.5428268934050996E-2</c:v>
                </c:pt>
                <c:pt idx="12">
                  <c:v>7.6295377174666001E-2</c:v>
                </c:pt>
                <c:pt idx="13">
                  <c:v>7.6788262464904E-2</c:v>
                </c:pt>
                <c:pt idx="14">
                  <c:v>7.8787096598403994E-2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B-474A-8FF8-21281503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δ'!$J$155:$J$169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δ'!$H$155:$H$169</c:f>
              <c:numCache>
                <c:formatCode>General</c:formatCode>
                <c:ptCount val="15"/>
                <c:pt idx="0">
                  <c:v>8.1588602180083999E-2</c:v>
                </c:pt>
                <c:pt idx="1">
                  <c:v>8.1835999206081006E-2</c:v>
                </c:pt>
                <c:pt idx="2">
                  <c:v>8.2414751013237003E-2</c:v>
                </c:pt>
                <c:pt idx="3">
                  <c:v>8.2418753517661994E-2</c:v>
                </c:pt>
                <c:pt idx="4">
                  <c:v>8.2612416761508004E-2</c:v>
                </c:pt>
                <c:pt idx="5">
                  <c:v>8.2654291368498001E-2</c:v>
                </c:pt>
                <c:pt idx="6">
                  <c:v>8.3969777485875002E-2</c:v>
                </c:pt>
                <c:pt idx="7">
                  <c:v>8.4053583217056999E-2</c:v>
                </c:pt>
                <c:pt idx="8">
                  <c:v>8.4502929583863004E-2</c:v>
                </c:pt>
                <c:pt idx="9">
                  <c:v>8.4647831407329996E-2</c:v>
                </c:pt>
                <c:pt idx="10">
                  <c:v>8.5809252450719006E-2</c:v>
                </c:pt>
                <c:pt idx="11">
                  <c:v>8.638129252882E-2</c:v>
                </c:pt>
                <c:pt idx="12">
                  <c:v>8.6838478452936005E-2</c:v>
                </c:pt>
                <c:pt idx="13">
                  <c:v>8.8666352701766996E-2</c:v>
                </c:pt>
                <c:pt idx="14">
                  <c:v>8.9501817288066998E-2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9-41A4-ADD3-BC9E0F43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δ'!$J$172:$J$186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δ'!$H$172:$H$186</c:f>
              <c:numCache>
                <c:formatCode>General</c:formatCode>
                <c:ptCount val="15"/>
                <c:pt idx="0">
                  <c:v>9.2903494936902004E-2</c:v>
                </c:pt>
                <c:pt idx="1">
                  <c:v>9.3580787796575998E-2</c:v>
                </c:pt>
                <c:pt idx="2">
                  <c:v>9.3753975401914005E-2</c:v>
                </c:pt>
                <c:pt idx="3">
                  <c:v>9.4323004763733995E-2</c:v>
                </c:pt>
                <c:pt idx="4">
                  <c:v>9.4590122734780999E-2</c:v>
                </c:pt>
                <c:pt idx="5">
                  <c:v>9.4662367240626002E-2</c:v>
                </c:pt>
                <c:pt idx="6">
                  <c:v>9.5917563663018998E-2</c:v>
                </c:pt>
                <c:pt idx="7">
                  <c:v>9.6050647101144998E-2</c:v>
                </c:pt>
                <c:pt idx="8">
                  <c:v>9.6712365043366E-2</c:v>
                </c:pt>
                <c:pt idx="9">
                  <c:v>9.6996143590798001E-2</c:v>
                </c:pt>
                <c:pt idx="10">
                  <c:v>9.8017609470854999E-2</c:v>
                </c:pt>
                <c:pt idx="11">
                  <c:v>9.9067244946857994E-2</c:v>
                </c:pt>
                <c:pt idx="12">
                  <c:v>9.9115472344309993E-2</c:v>
                </c:pt>
                <c:pt idx="13">
                  <c:v>0.10158658216149</c:v>
                </c:pt>
                <c:pt idx="14">
                  <c:v>0.10244147385995001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4-4F2F-9A62-DD9DE007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δ'!$J$189:$J$203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δ'!$H$189:$H$203</c:f>
              <c:numCache>
                <c:formatCode>General</c:formatCode>
                <c:ptCount val="15"/>
                <c:pt idx="0">
                  <c:v>0.10622496350091</c:v>
                </c:pt>
                <c:pt idx="1">
                  <c:v>0.10625577376599001</c:v>
                </c:pt>
                <c:pt idx="2">
                  <c:v>0.10631652148101001</c:v>
                </c:pt>
                <c:pt idx="3">
                  <c:v>0.10713187997416999</c:v>
                </c:pt>
                <c:pt idx="4">
                  <c:v>0.10810550098329</c:v>
                </c:pt>
                <c:pt idx="5">
                  <c:v>0.10819905852085</c:v>
                </c:pt>
                <c:pt idx="6">
                  <c:v>0.10874107116961999</c:v>
                </c:pt>
                <c:pt idx="7">
                  <c:v>0.10876099801382</c:v>
                </c:pt>
                <c:pt idx="8">
                  <c:v>0.11038899927345</c:v>
                </c:pt>
                <c:pt idx="9">
                  <c:v>0.11048389174261999</c:v>
                </c:pt>
                <c:pt idx="10">
                  <c:v>0.11148250263907999</c:v>
                </c:pt>
                <c:pt idx="11">
                  <c:v>0.11191154719089</c:v>
                </c:pt>
                <c:pt idx="12">
                  <c:v>0.11311884497495001</c:v>
                </c:pt>
                <c:pt idx="13">
                  <c:v>0.11425522237708</c:v>
                </c:pt>
                <c:pt idx="14">
                  <c:v>0.11707191222697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6-4385-96AF-CA981027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δ'!$J$206:$J$220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δ'!$H$206:$H$220</c:f>
              <c:numCache>
                <c:formatCode>General</c:formatCode>
                <c:ptCount val="15"/>
                <c:pt idx="0">
                  <c:v>0.12200093175399</c:v>
                </c:pt>
                <c:pt idx="1">
                  <c:v>0.12223976694048</c:v>
                </c:pt>
                <c:pt idx="2">
                  <c:v>0.12236644618714999</c:v>
                </c:pt>
                <c:pt idx="3">
                  <c:v>0.12258565534674</c:v>
                </c:pt>
                <c:pt idx="4">
                  <c:v>0.12411388078681999</c:v>
                </c:pt>
                <c:pt idx="5">
                  <c:v>0.12477398773815999</c:v>
                </c:pt>
                <c:pt idx="6">
                  <c:v>0.12482227730108</c:v>
                </c:pt>
                <c:pt idx="7">
                  <c:v>0.12522167175932</c:v>
                </c:pt>
                <c:pt idx="8">
                  <c:v>0.12541057832290001</c:v>
                </c:pt>
                <c:pt idx="9">
                  <c:v>0.12615334639553999</c:v>
                </c:pt>
                <c:pt idx="10">
                  <c:v>0.12703875627012001</c:v>
                </c:pt>
                <c:pt idx="11">
                  <c:v>0.12710322086226</c:v>
                </c:pt>
                <c:pt idx="12">
                  <c:v>0.13072727810342</c:v>
                </c:pt>
                <c:pt idx="13">
                  <c:v>0.13207422870961</c:v>
                </c:pt>
                <c:pt idx="14">
                  <c:v>0.13738585194608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5A3-B8C3-B7D5263A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δ'!$J$223:$J$237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δ'!$H$223:$H$237</c:f>
              <c:numCache>
                <c:formatCode>General</c:formatCode>
                <c:ptCount val="15"/>
                <c:pt idx="0">
                  <c:v>0.1374982041501</c:v>
                </c:pt>
                <c:pt idx="1">
                  <c:v>0.13885360822823001</c:v>
                </c:pt>
                <c:pt idx="2">
                  <c:v>0.13928228760776001</c:v>
                </c:pt>
                <c:pt idx="3">
                  <c:v>0.14009107818312</c:v>
                </c:pt>
                <c:pt idx="4">
                  <c:v>0.14170110288464999</c:v>
                </c:pt>
                <c:pt idx="5">
                  <c:v>0.14285322960138999</c:v>
                </c:pt>
                <c:pt idx="6">
                  <c:v>0.14334048177124001</c:v>
                </c:pt>
                <c:pt idx="7">
                  <c:v>0.14345324387308001</c:v>
                </c:pt>
                <c:pt idx="8">
                  <c:v>0.14349872523632001</c:v>
                </c:pt>
                <c:pt idx="9">
                  <c:v>0.14414652583782001</c:v>
                </c:pt>
                <c:pt idx="10">
                  <c:v>0.14448875032799999</c:v>
                </c:pt>
                <c:pt idx="11">
                  <c:v>0.14903269354481</c:v>
                </c:pt>
                <c:pt idx="12">
                  <c:v>0.15136393978529</c:v>
                </c:pt>
                <c:pt idx="13">
                  <c:v>0.15483864274263001</c:v>
                </c:pt>
                <c:pt idx="14">
                  <c:v>0.15738065961951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D-4641-8CC7-897562E1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8574965031658"/>
                  <c:y val="0.654226468409173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0,0137e</a:t>
                    </a:r>
                    <a:r>
                      <a:rPr lang="en-US" sz="1600" baseline="30000"/>
                      <a:t>558,88x</a:t>
                    </a:r>
                    <a:endParaRPr lang="en-US" sz="4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δ'!$B$294:$B$310</c:f>
              <c:numCache>
                <c:formatCode>General</c:formatCode>
                <c:ptCount val="17"/>
                <c:pt idx="0">
                  <c:v>1E-3</c:v>
                </c:pt>
                <c:pt idx="1">
                  <c:v>1.25E-3</c:v>
                </c:pt>
                <c:pt idx="2">
                  <c:v>1.5E-3</c:v>
                </c:pt>
                <c:pt idx="3">
                  <c:v>1.75E-3</c:v>
                </c:pt>
                <c:pt idx="4">
                  <c:v>2E-3</c:v>
                </c:pt>
                <c:pt idx="5">
                  <c:v>2.2500000000000003E-3</c:v>
                </c:pt>
                <c:pt idx="6">
                  <c:v>2.5000000000000001E-3</c:v>
                </c:pt>
                <c:pt idx="7">
                  <c:v>2.7499999999999998E-3</c:v>
                </c:pt>
                <c:pt idx="8">
                  <c:v>3.0000000000000001E-3</c:v>
                </c:pt>
                <c:pt idx="9">
                  <c:v>3.2500000000000003E-3</c:v>
                </c:pt>
                <c:pt idx="10">
                  <c:v>3.5000000000000001E-3</c:v>
                </c:pt>
                <c:pt idx="11">
                  <c:v>3.7499999999999999E-3</c:v>
                </c:pt>
                <c:pt idx="12">
                  <c:v>4.0000000000000001E-3</c:v>
                </c:pt>
                <c:pt idx="13">
                  <c:v>4.2500000000000003E-3</c:v>
                </c:pt>
                <c:pt idx="14">
                  <c:v>4.5000000000000005E-3</c:v>
                </c:pt>
                <c:pt idx="15">
                  <c:v>4.7499999999999999E-3</c:v>
                </c:pt>
                <c:pt idx="16">
                  <c:v>5.0000000000000001E-3</c:v>
                </c:pt>
              </c:numCache>
            </c:numRef>
          </c:xVal>
          <c:yVal>
            <c:numRef>
              <c:f>'Linear regression δ'!$C$294:$C$310</c:f>
              <c:numCache>
                <c:formatCode>General</c:formatCode>
                <c:ptCount val="17"/>
                <c:pt idx="0">
                  <c:v>2.2488479200599269E-2</c:v>
                </c:pt>
                <c:pt idx="1">
                  <c:v>2.703985030982E-2</c:v>
                </c:pt>
                <c:pt idx="2">
                  <c:v>3.19231898051546E-2</c:v>
                </c:pt>
                <c:pt idx="3">
                  <c:v>3.7309287424013335E-2</c:v>
                </c:pt>
                <c:pt idx="4">
                  <c:v>4.3329953980818667E-2</c:v>
                </c:pt>
                <c:pt idx="5">
                  <c:v>4.9786187808653737E-2</c:v>
                </c:pt>
                <c:pt idx="6">
                  <c:v>5.7010257620044795E-2</c:v>
                </c:pt>
                <c:pt idx="7">
                  <c:v>6.5205432449581394E-2</c:v>
                </c:pt>
                <c:pt idx="8">
                  <c:v>7.4405242378960804E-2</c:v>
                </c:pt>
                <c:pt idx="9">
                  <c:v>8.4526408610900272E-2</c:v>
                </c:pt>
                <c:pt idx="10">
                  <c:v>9.6647923670421604E-2</c:v>
                </c:pt>
                <c:pt idx="11">
                  <c:v>0.10989657918898001</c:v>
                </c:pt>
                <c:pt idx="12">
                  <c:v>0.12626785856157799</c:v>
                </c:pt>
                <c:pt idx="13">
                  <c:v>0.14478821155959667</c:v>
                </c:pt>
                <c:pt idx="14">
                  <c:v>0.16684909818648735</c:v>
                </c:pt>
                <c:pt idx="15">
                  <c:v>0.19449425719785868</c:v>
                </c:pt>
                <c:pt idx="16">
                  <c:v>0.22776318527484801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E-4075-8AAA-6814ADDC7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δ'!$J$240:$J$254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δ'!$H$240:$H$254</c:f>
              <c:numCache>
                <c:formatCode>General</c:formatCode>
                <c:ptCount val="15"/>
                <c:pt idx="0">
                  <c:v>0.15526010816349001</c:v>
                </c:pt>
                <c:pt idx="1">
                  <c:v>0.15775085589464999</c:v>
                </c:pt>
                <c:pt idx="2">
                  <c:v>0.15942328769056999</c:v>
                </c:pt>
                <c:pt idx="3">
                  <c:v>0.16285552676748</c:v>
                </c:pt>
                <c:pt idx="4">
                  <c:v>0.1632968446626</c:v>
                </c:pt>
                <c:pt idx="5">
                  <c:v>0.16359286208137</c:v>
                </c:pt>
                <c:pt idx="6">
                  <c:v>0.16420252216990999</c:v>
                </c:pt>
                <c:pt idx="7">
                  <c:v>0.16449579358246</c:v>
                </c:pt>
                <c:pt idx="8">
                  <c:v>0.16468257305428</c:v>
                </c:pt>
                <c:pt idx="9">
                  <c:v>0.16604407603556001</c:v>
                </c:pt>
                <c:pt idx="10">
                  <c:v>0.16708724630083999</c:v>
                </c:pt>
                <c:pt idx="11">
                  <c:v>0.17592890783925999</c:v>
                </c:pt>
                <c:pt idx="12">
                  <c:v>0.17709475864022001</c:v>
                </c:pt>
                <c:pt idx="13">
                  <c:v>0.17935170935033001</c:v>
                </c:pt>
                <c:pt idx="14">
                  <c:v>0.18166940056429001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6-409E-88E7-CC352DFB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δ'!$J$257:$J$271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δ'!$H$257:$H$271</c:f>
              <c:numCache>
                <c:formatCode>General</c:formatCode>
                <c:ptCount val="15"/>
                <c:pt idx="0">
                  <c:v>0.18240890617996</c:v>
                </c:pt>
                <c:pt idx="1">
                  <c:v>0.18266877798987</c:v>
                </c:pt>
                <c:pt idx="2">
                  <c:v>0.18384533629477001</c:v>
                </c:pt>
                <c:pt idx="3">
                  <c:v>0.18625685711253001</c:v>
                </c:pt>
                <c:pt idx="4">
                  <c:v>0.18820406539611001</c:v>
                </c:pt>
                <c:pt idx="5">
                  <c:v>0.18893519165566</c:v>
                </c:pt>
                <c:pt idx="6">
                  <c:v>0.18957729297521</c:v>
                </c:pt>
                <c:pt idx="7">
                  <c:v>0.19005410940654999</c:v>
                </c:pt>
                <c:pt idx="8">
                  <c:v>0.19048017187888</c:v>
                </c:pt>
                <c:pt idx="9">
                  <c:v>0.19094532813609999</c:v>
                </c:pt>
                <c:pt idx="10">
                  <c:v>0.19681376923808999</c:v>
                </c:pt>
                <c:pt idx="11">
                  <c:v>0.20504108184818001</c:v>
                </c:pt>
                <c:pt idx="12">
                  <c:v>0.20805996969384</c:v>
                </c:pt>
                <c:pt idx="13">
                  <c:v>0.21704815746139999</c:v>
                </c:pt>
                <c:pt idx="14">
                  <c:v>0.21707484270072999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5-4FEE-BA95-18534DB1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δ'!$J$274:$J$288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δ'!$H$274:$H$288</c:f>
              <c:numCache>
                <c:formatCode>General</c:formatCode>
                <c:ptCount val="15"/>
                <c:pt idx="0">
                  <c:v>0.21224278749018999</c:v>
                </c:pt>
                <c:pt idx="1">
                  <c:v>0.21239408776995999</c:v>
                </c:pt>
                <c:pt idx="2">
                  <c:v>0.21539306678862999</c:v>
                </c:pt>
                <c:pt idx="3">
                  <c:v>0.21763193794737001</c:v>
                </c:pt>
                <c:pt idx="4">
                  <c:v>0.22023095194122</c:v>
                </c:pt>
                <c:pt idx="5">
                  <c:v>0.22082212662105</c:v>
                </c:pt>
                <c:pt idx="6">
                  <c:v>0.22298736195596</c:v>
                </c:pt>
                <c:pt idx="7">
                  <c:v>0.22377592500029</c:v>
                </c:pt>
                <c:pt idx="8">
                  <c:v>0.22468492198299</c:v>
                </c:pt>
                <c:pt idx="9">
                  <c:v>0.22564109558337</c:v>
                </c:pt>
                <c:pt idx="10">
                  <c:v>0.22575236381066999</c:v>
                </c:pt>
                <c:pt idx="11">
                  <c:v>0.23846179037080001</c:v>
                </c:pt>
                <c:pt idx="12">
                  <c:v>0.24819989994441999</c:v>
                </c:pt>
                <c:pt idx="13">
                  <c:v>0.25132711465104002</c:v>
                </c:pt>
                <c:pt idx="14">
                  <c:v>0.25690234726476002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0-4E28-922E-8FE58383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Fitting of the transformation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079148274338881"/>
                  <c:y val="0.489926559089575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558,88x - 4,2881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δ'!$B$316:$B$332</c:f>
              <c:numCache>
                <c:formatCode>General</c:formatCode>
                <c:ptCount val="17"/>
                <c:pt idx="0">
                  <c:v>1E-3</c:v>
                </c:pt>
                <c:pt idx="1">
                  <c:v>1.25E-3</c:v>
                </c:pt>
                <c:pt idx="2">
                  <c:v>1.5E-3</c:v>
                </c:pt>
                <c:pt idx="3">
                  <c:v>1.75E-3</c:v>
                </c:pt>
                <c:pt idx="4">
                  <c:v>2E-3</c:v>
                </c:pt>
                <c:pt idx="5">
                  <c:v>2.2500000000000003E-3</c:v>
                </c:pt>
                <c:pt idx="6">
                  <c:v>2.5000000000000001E-3</c:v>
                </c:pt>
                <c:pt idx="7">
                  <c:v>2.7499999999999998E-3</c:v>
                </c:pt>
                <c:pt idx="8">
                  <c:v>3.0000000000000001E-3</c:v>
                </c:pt>
                <c:pt idx="9">
                  <c:v>3.2500000000000003E-3</c:v>
                </c:pt>
                <c:pt idx="10">
                  <c:v>3.5000000000000001E-3</c:v>
                </c:pt>
                <c:pt idx="11">
                  <c:v>3.7499999999999999E-3</c:v>
                </c:pt>
                <c:pt idx="12">
                  <c:v>4.0000000000000001E-3</c:v>
                </c:pt>
                <c:pt idx="13">
                  <c:v>4.2500000000000003E-3</c:v>
                </c:pt>
                <c:pt idx="14">
                  <c:v>4.5000000000000005E-3</c:v>
                </c:pt>
                <c:pt idx="15">
                  <c:v>4.7499999999999999E-3</c:v>
                </c:pt>
                <c:pt idx="16">
                  <c:v>5.0000000000000001E-3</c:v>
                </c:pt>
              </c:numCache>
            </c:numRef>
          </c:xVal>
          <c:yVal>
            <c:numRef>
              <c:f>'Linear regression δ'!$C$316:$C$332</c:f>
              <c:numCache>
                <c:formatCode>General</c:formatCode>
                <c:ptCount val="17"/>
                <c:pt idx="0">
                  <c:v>-3.7947521364356414</c:v>
                </c:pt>
                <c:pt idx="1">
                  <c:v>-3.6104435637021348</c:v>
                </c:pt>
                <c:pt idx="2">
                  <c:v>-3.4444225801541433</c:v>
                </c:pt>
                <c:pt idx="3">
                  <c:v>-3.2885129907249864</c:v>
                </c:pt>
                <c:pt idx="4">
                  <c:v>-3.1389111052936878</c:v>
                </c:pt>
                <c:pt idx="5">
                  <c:v>-3.0000176866609376</c:v>
                </c:pt>
                <c:pt idx="6">
                  <c:v>-2.86452406909173</c:v>
                </c:pt>
                <c:pt idx="7">
                  <c:v>-2.7302124937415742</c:v>
                </c:pt>
                <c:pt idx="8">
                  <c:v>-2.5982288775426201</c:v>
                </c:pt>
                <c:pt idx="9">
                  <c:v>-2.4706912655060442</c:v>
                </c:pt>
                <c:pt idx="10">
                  <c:v>-2.3366805565340214</c:v>
                </c:pt>
                <c:pt idx="11">
                  <c:v>-2.2082155446358933</c:v>
                </c:pt>
                <c:pt idx="12">
                  <c:v>-2.069349766877242</c:v>
                </c:pt>
                <c:pt idx="13">
                  <c:v>-1.9324832142258865</c:v>
                </c:pt>
                <c:pt idx="14">
                  <c:v>-1.7906654787350074</c:v>
                </c:pt>
                <c:pt idx="15">
                  <c:v>-1.6373526423345559</c:v>
                </c:pt>
                <c:pt idx="16">
                  <c:v>-1.4794488508851384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0-40AA-99FE-EFC95F40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δ'!$C$340:$C$356</c:f>
              <c:numCache>
                <c:formatCode>General</c:formatCode>
                <c:ptCount val="17"/>
                <c:pt idx="0">
                  <c:v>-1.892606769946193</c:v>
                </c:pt>
                <c:pt idx="1">
                  <c:v>-1.3517163260689069</c:v>
                </c:pt>
                <c:pt idx="2">
                  <c:v>-1.0475564165538114</c:v>
                </c:pt>
                <c:pt idx="3">
                  <c:v>-0.81867424703979319</c:v>
                </c:pt>
                <c:pt idx="4">
                  <c:v>-0.62679866180874044</c:v>
                </c:pt>
                <c:pt idx="5">
                  <c:v>-0.456072772415898</c:v>
                </c:pt>
                <c:pt idx="6">
                  <c:v>-0.29803703224243727</c:v>
                </c:pt>
                <c:pt idx="7">
                  <c:v>-0.14732901802071113</c:v>
                </c:pt>
                <c:pt idx="8">
                  <c:v>0</c:v>
                </c:pt>
                <c:pt idx="9">
                  <c:v>0.14732901802071113</c:v>
                </c:pt>
                <c:pt idx="10">
                  <c:v>0.29803703224243727</c:v>
                </c:pt>
                <c:pt idx="11">
                  <c:v>0.456072772415898</c:v>
                </c:pt>
                <c:pt idx="12">
                  <c:v>0.62679866180874044</c:v>
                </c:pt>
                <c:pt idx="13">
                  <c:v>0.81867424703979319</c:v>
                </c:pt>
                <c:pt idx="14">
                  <c:v>1.0475564165538114</c:v>
                </c:pt>
                <c:pt idx="15">
                  <c:v>1.3517163260689069</c:v>
                </c:pt>
                <c:pt idx="16">
                  <c:v>1.8926067699461953</c:v>
                </c:pt>
              </c:numCache>
            </c:numRef>
          </c:xVal>
          <c:yVal>
            <c:numRef>
              <c:f>'Linear regression δ'!$A$340:$A$356</c:f>
              <c:numCache>
                <c:formatCode>General</c:formatCode>
                <c:ptCount val="17"/>
                <c:pt idx="0">
                  <c:v>-6.55521364356417E-2</c:v>
                </c:pt>
                <c:pt idx="1">
                  <c:v>-2.0968563702134624E-2</c:v>
                </c:pt>
                <c:pt idx="2">
                  <c:v>-1.9708214225886422E-2</c:v>
                </c:pt>
                <c:pt idx="3">
                  <c:v>-1.7615478735006462E-2</c:v>
                </c:pt>
                <c:pt idx="4">
                  <c:v>-1.6849766877241379E-2</c:v>
                </c:pt>
                <c:pt idx="5">
                  <c:v>-1.5990544635893222E-2</c:v>
                </c:pt>
                <c:pt idx="6">
                  <c:v>-4.730556534020991E-3</c:v>
                </c:pt>
                <c:pt idx="7">
                  <c:v>-4.027642334555992E-3</c:v>
                </c:pt>
                <c:pt idx="8">
                  <c:v>9.8373449395605661E-4</c:v>
                </c:pt>
                <c:pt idx="9">
                  <c:v>5.327419845857051E-3</c:v>
                </c:pt>
                <c:pt idx="10">
                  <c:v>1.3171122457380058E-2</c:v>
                </c:pt>
                <c:pt idx="11">
                  <c:v>1.4151149114861816E-2</c:v>
                </c:pt>
                <c:pt idx="12">
                  <c:v>2.0912506258426333E-2</c:v>
                </c:pt>
                <c:pt idx="13">
                  <c:v>2.1512009275014066E-2</c:v>
                </c:pt>
                <c:pt idx="14">
                  <c:v>2.6325930908270401E-2</c:v>
                </c:pt>
                <c:pt idx="15">
                  <c:v>3.0557313339063086E-2</c:v>
                </c:pt>
                <c:pt idx="16">
                  <c:v>3.1388894706312342E-2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B0-4095-8831-91E5B4BB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δ'!$B$360:$B$376</c:f>
              <c:numCache>
                <c:formatCode>General</c:formatCode>
                <c:ptCount val="17"/>
                <c:pt idx="0">
                  <c:v>-3.7292199999999998</c:v>
                </c:pt>
                <c:pt idx="1">
                  <c:v>-3.5895000000000001</c:v>
                </c:pt>
                <c:pt idx="2">
                  <c:v>-3.4497800000000001</c:v>
                </c:pt>
                <c:pt idx="3">
                  <c:v>-3.31006</c:v>
                </c:pt>
                <c:pt idx="4">
                  <c:v>-3.1703399999999999</c:v>
                </c:pt>
                <c:pt idx="5">
                  <c:v>-3.0306199999999999</c:v>
                </c:pt>
                <c:pt idx="6">
                  <c:v>-2.8909000000000002</c:v>
                </c:pt>
                <c:pt idx="7">
                  <c:v>-2.7511800000000002</c:v>
                </c:pt>
                <c:pt idx="8">
                  <c:v>-2.6114600000000001</c:v>
                </c:pt>
                <c:pt idx="9">
                  <c:v>-2.4717399999999996</c:v>
                </c:pt>
                <c:pt idx="10">
                  <c:v>-2.33202</c:v>
                </c:pt>
                <c:pt idx="11">
                  <c:v>-2.1922999999999999</c:v>
                </c:pt>
                <c:pt idx="12">
                  <c:v>-2.0525799999999998</c:v>
                </c:pt>
                <c:pt idx="13">
                  <c:v>-1.9128599999999998</c:v>
                </c:pt>
                <c:pt idx="14">
                  <c:v>-1.7731399999999997</c:v>
                </c:pt>
                <c:pt idx="15">
                  <c:v>-1.6334200000000001</c:v>
                </c:pt>
                <c:pt idx="16">
                  <c:v>-1.4937</c:v>
                </c:pt>
              </c:numCache>
            </c:numRef>
          </c:xVal>
          <c:yVal>
            <c:numRef>
              <c:f>'Linear regression δ'!$A$360:$A$376</c:f>
              <c:numCache>
                <c:formatCode>General</c:formatCode>
                <c:ptCount val="17"/>
                <c:pt idx="0">
                  <c:v>-6.5552136435641728E-2</c:v>
                </c:pt>
                <c:pt idx="1">
                  <c:v>-2.0968563702134624E-2</c:v>
                </c:pt>
                <c:pt idx="2">
                  <c:v>5.327419845857051E-3</c:v>
                </c:pt>
                <c:pt idx="3">
                  <c:v>2.1512009275014066E-2</c:v>
                </c:pt>
                <c:pt idx="4">
                  <c:v>3.1388894706312342E-2</c:v>
                </c:pt>
                <c:pt idx="5">
                  <c:v>3.0557313339063086E-2</c:v>
                </c:pt>
                <c:pt idx="6">
                  <c:v>2.6325930908270401E-2</c:v>
                </c:pt>
                <c:pt idx="7">
                  <c:v>2.0912506258426333E-2</c:v>
                </c:pt>
                <c:pt idx="8">
                  <c:v>1.3171122457380058E-2</c:v>
                </c:pt>
                <c:pt idx="9">
                  <c:v>9.8373449395605661E-4</c:v>
                </c:pt>
                <c:pt idx="10">
                  <c:v>-4.730556534020991E-3</c:v>
                </c:pt>
                <c:pt idx="11">
                  <c:v>-1.5990544635893222E-2</c:v>
                </c:pt>
                <c:pt idx="12">
                  <c:v>-1.6849766877241379E-2</c:v>
                </c:pt>
                <c:pt idx="13">
                  <c:v>-1.9708214225886422E-2</c:v>
                </c:pt>
                <c:pt idx="14">
                  <c:v>-1.7615478735006462E-2</c:v>
                </c:pt>
                <c:pt idx="15">
                  <c:v>-4.027642334555992E-3</c:v>
                </c:pt>
                <c:pt idx="16">
                  <c:v>1.4151149114861816E-2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D-4232-98ED-41B570B0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δ'!$B$381:$B$397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'Linear regression δ'!$A$381:$A$397</c:f>
              <c:numCache>
                <c:formatCode>General</c:formatCode>
                <c:ptCount val="17"/>
                <c:pt idx="0">
                  <c:v>-6.5552136435641728E-2</c:v>
                </c:pt>
                <c:pt idx="1">
                  <c:v>-2.0968563702134624E-2</c:v>
                </c:pt>
                <c:pt idx="2">
                  <c:v>5.327419845857051E-3</c:v>
                </c:pt>
                <c:pt idx="3">
                  <c:v>2.1512009275014066E-2</c:v>
                </c:pt>
                <c:pt idx="4">
                  <c:v>3.1388894706312342E-2</c:v>
                </c:pt>
                <c:pt idx="5">
                  <c:v>3.0557313339063086E-2</c:v>
                </c:pt>
                <c:pt idx="6">
                  <c:v>2.6325930908270401E-2</c:v>
                </c:pt>
                <c:pt idx="7">
                  <c:v>2.0912506258426333E-2</c:v>
                </c:pt>
                <c:pt idx="8">
                  <c:v>1.3171122457380058E-2</c:v>
                </c:pt>
                <c:pt idx="9">
                  <c:v>9.8373449395605661E-4</c:v>
                </c:pt>
                <c:pt idx="10">
                  <c:v>-4.730556534020991E-3</c:v>
                </c:pt>
                <c:pt idx="11">
                  <c:v>-1.5990544635893222E-2</c:v>
                </c:pt>
                <c:pt idx="12">
                  <c:v>-1.6849766877241379E-2</c:v>
                </c:pt>
                <c:pt idx="13">
                  <c:v>-1.9708214225886422E-2</c:v>
                </c:pt>
                <c:pt idx="14">
                  <c:v>-1.7615478735006462E-2</c:v>
                </c:pt>
                <c:pt idx="15">
                  <c:v>-4.027642334555992E-3</c:v>
                </c:pt>
                <c:pt idx="16">
                  <c:v>1.4151149114861816E-2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5-4BE3-8C7C-2521DA95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δ'!$H$19:$H$33</c:f>
              <c:numCache>
                <c:formatCode>General</c:formatCode>
                <c:ptCount val="15"/>
                <c:pt idx="0">
                  <c:v>2.633125774203E-2</c:v>
                </c:pt>
                <c:pt idx="1">
                  <c:v>2.6607814920846001E-2</c:v>
                </c:pt>
                <c:pt idx="2">
                  <c:v>2.6668717346720001E-2</c:v>
                </c:pt>
                <c:pt idx="3">
                  <c:v>2.6679511861578999E-2</c:v>
                </c:pt>
                <c:pt idx="4">
                  <c:v>2.6765664842932E-2</c:v>
                </c:pt>
                <c:pt idx="5">
                  <c:v>2.6823211398123999E-2</c:v>
                </c:pt>
                <c:pt idx="6">
                  <c:v>2.6960824383053E-2</c:v>
                </c:pt>
                <c:pt idx="7">
                  <c:v>2.6992020242593E-2</c:v>
                </c:pt>
                <c:pt idx="8">
                  <c:v>2.6994096933043998E-2</c:v>
                </c:pt>
                <c:pt idx="9">
                  <c:v>2.7189491924039001E-2</c:v>
                </c:pt>
                <c:pt idx="10">
                  <c:v>2.7227435907291E-2</c:v>
                </c:pt>
                <c:pt idx="11">
                  <c:v>2.7364470919872999E-2</c:v>
                </c:pt>
                <c:pt idx="12">
                  <c:v>2.7398284816574001E-2</c:v>
                </c:pt>
                <c:pt idx="13">
                  <c:v>2.7748512200966999E-2</c:v>
                </c:pt>
                <c:pt idx="14">
                  <c:v>2.7846439207635E-2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F-4BAF-AAB6-B0C1144F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δ'!$H$36:$H$50</c:f>
              <c:numCache>
                <c:formatCode>General</c:formatCode>
                <c:ptCount val="15"/>
                <c:pt idx="0">
                  <c:v>3.1211502890854E-2</c:v>
                </c:pt>
                <c:pt idx="1">
                  <c:v>3.1343762961308003E-2</c:v>
                </c:pt>
                <c:pt idx="2">
                  <c:v>3.1368280128894997E-2</c:v>
                </c:pt>
                <c:pt idx="3">
                  <c:v>3.1511996417359002E-2</c:v>
                </c:pt>
                <c:pt idx="4">
                  <c:v>3.1539236291165999E-2</c:v>
                </c:pt>
                <c:pt idx="5">
                  <c:v>3.1660558102697002E-2</c:v>
                </c:pt>
                <c:pt idx="6">
                  <c:v>3.1741581755761E-2</c:v>
                </c:pt>
                <c:pt idx="7">
                  <c:v>3.1816487020947998E-2</c:v>
                </c:pt>
                <c:pt idx="8">
                  <c:v>3.1868526135087998E-2</c:v>
                </c:pt>
                <c:pt idx="9">
                  <c:v>3.2208316234520001E-2</c:v>
                </c:pt>
                <c:pt idx="10">
                  <c:v>3.2226735103365003E-2</c:v>
                </c:pt>
                <c:pt idx="11">
                  <c:v>3.2267923583796002E-2</c:v>
                </c:pt>
                <c:pt idx="12">
                  <c:v>3.2457125008831002E-2</c:v>
                </c:pt>
                <c:pt idx="13">
                  <c:v>3.2666428368169999E-2</c:v>
                </c:pt>
                <c:pt idx="14">
                  <c:v>3.2959387074561003E-2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3-427B-8E7B-03089285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δ'!$H$53:$H$67</c:f>
              <c:numCache>
                <c:formatCode>General</c:formatCode>
                <c:ptCount val="15"/>
                <c:pt idx="0">
                  <c:v>3.6544643386066999E-2</c:v>
                </c:pt>
                <c:pt idx="1">
                  <c:v>3.6570360284851E-2</c:v>
                </c:pt>
                <c:pt idx="2">
                  <c:v>3.659303639546E-2</c:v>
                </c:pt>
                <c:pt idx="3">
                  <c:v>3.6604041176218002E-2</c:v>
                </c:pt>
                <c:pt idx="4">
                  <c:v>3.6925095323604003E-2</c:v>
                </c:pt>
                <c:pt idx="5">
                  <c:v>3.7017363366533003E-2</c:v>
                </c:pt>
                <c:pt idx="6">
                  <c:v>3.7147872704022998E-2</c:v>
                </c:pt>
                <c:pt idx="7">
                  <c:v>3.7216356683497001E-2</c:v>
                </c:pt>
                <c:pt idx="8">
                  <c:v>3.7401977094258E-2</c:v>
                </c:pt>
                <c:pt idx="9">
                  <c:v>3.7518381082353003E-2</c:v>
                </c:pt>
                <c:pt idx="10">
                  <c:v>3.7661919996029997E-2</c:v>
                </c:pt>
                <c:pt idx="11">
                  <c:v>3.7773399792436997E-2</c:v>
                </c:pt>
                <c:pt idx="12">
                  <c:v>3.7970479052849997E-2</c:v>
                </c:pt>
                <c:pt idx="13">
                  <c:v>3.8319544182023997E-2</c:v>
                </c:pt>
                <c:pt idx="14">
                  <c:v>3.8374840839994998E-2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5-485D-9C70-A4357FBF6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767DFB-8097-4682-AD22-62EFF6B3F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348615</xdr:colOff>
      <xdr:row>291</xdr:row>
      <xdr:rowOff>0</xdr:rowOff>
    </xdr:from>
    <xdr:to>
      <xdr:col>7</xdr:col>
      <xdr:colOff>337185</xdr:colOff>
      <xdr:row>310</xdr:row>
      <xdr:rowOff>7620</xdr:rowOff>
    </xdr:to>
    <xdr:graphicFrame macro="">
      <xdr:nvGraphicFramePr>
        <xdr:cNvPr id="11" name="Grafico 6">
          <a:extLst>
            <a:ext uri="{FF2B5EF4-FFF2-40B4-BE49-F238E27FC236}">
              <a16:creationId xmlns:a16="http://schemas.microsoft.com/office/drawing/2014/main" id="{143531F0-4A8A-4F83-B023-1D4FAE506A40}"/>
            </a:ext>
            <a:ext uri="{147F2762-F138-4A5C-976F-8EAC2B608ADB}">
              <a16:predDERef xmlns:a16="http://schemas.microsoft.com/office/drawing/2014/main" pred="{20297567-446A-4BCE-B072-09469BB9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459105</xdr:colOff>
      <xdr:row>312</xdr:row>
      <xdr:rowOff>186690</xdr:rowOff>
    </xdr:from>
    <xdr:to>
      <xdr:col>8</xdr:col>
      <xdr:colOff>609601</xdr:colOff>
      <xdr:row>335</xdr:row>
      <xdr:rowOff>188595</xdr:rowOff>
    </xdr:to>
    <xdr:graphicFrame macro="">
      <xdr:nvGraphicFramePr>
        <xdr:cNvPr id="12" name="Grafico 6">
          <a:extLst>
            <a:ext uri="{FF2B5EF4-FFF2-40B4-BE49-F238E27FC236}">
              <a16:creationId xmlns:a16="http://schemas.microsoft.com/office/drawing/2014/main" id="{BE59E592-62BD-4B2E-8EFC-661F72F88F7D}"/>
            </a:ext>
            <a:ext uri="{147F2762-F138-4A5C-976F-8EAC2B608ADB}">
              <a16:predDERef xmlns:a16="http://schemas.microsoft.com/office/drawing/2014/main" pred="{707E0D88-0F77-43A8-94B8-7C57DFC8E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563879</xdr:colOff>
      <xdr:row>337</xdr:row>
      <xdr:rowOff>1908</xdr:rowOff>
    </xdr:from>
    <xdr:to>
      <xdr:col>7</xdr:col>
      <xdr:colOff>243839</xdr:colOff>
      <xdr:row>356</xdr:row>
      <xdr:rowOff>9526</xdr:rowOff>
    </xdr:to>
    <xdr:graphicFrame macro="">
      <xdr:nvGraphicFramePr>
        <xdr:cNvPr id="13" name="Grafico 101">
          <a:extLst>
            <a:ext uri="{FF2B5EF4-FFF2-40B4-BE49-F238E27FC236}">
              <a16:creationId xmlns:a16="http://schemas.microsoft.com/office/drawing/2014/main" id="{BB445766-D482-42C1-A4FF-40ADAEEF4F6A}"/>
            </a:ext>
            <a:ext uri="{147F2762-F138-4A5C-976F-8EAC2B608ADB}">
              <a16:predDERef xmlns:a16="http://schemas.microsoft.com/office/drawing/2014/main" pred="{B8BEF722-6FC1-403A-B006-BAA91B811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1156334</xdr:colOff>
      <xdr:row>356</xdr:row>
      <xdr:rowOff>175260</xdr:rowOff>
    </xdr:from>
    <xdr:to>
      <xdr:col>7</xdr:col>
      <xdr:colOff>1036319</xdr:colOff>
      <xdr:row>376</xdr:row>
      <xdr:rowOff>7620</xdr:rowOff>
    </xdr:to>
    <xdr:graphicFrame macro="">
      <xdr:nvGraphicFramePr>
        <xdr:cNvPr id="14" name="Grafico 131">
          <a:extLst>
            <a:ext uri="{FF2B5EF4-FFF2-40B4-BE49-F238E27FC236}">
              <a16:creationId xmlns:a16="http://schemas.microsoft.com/office/drawing/2014/main" id="{EE55F930-4B9B-4114-A6D8-E41CA8389B7C}"/>
            </a:ext>
            <a:ext uri="{147F2762-F138-4A5C-976F-8EAC2B608ADB}">
              <a16:predDERef xmlns:a16="http://schemas.microsoft.com/office/drawing/2014/main" pred="{2F407528-C2DA-4029-B016-411EC3BA3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1143000</xdr:colOff>
      <xdr:row>377</xdr:row>
      <xdr:rowOff>180975</xdr:rowOff>
    </xdr:from>
    <xdr:to>
      <xdr:col>6</xdr:col>
      <xdr:colOff>304800</xdr:colOff>
      <xdr:row>396</xdr:row>
      <xdr:rowOff>179070</xdr:rowOff>
    </xdr:to>
    <xdr:graphicFrame macro="">
      <xdr:nvGraphicFramePr>
        <xdr:cNvPr id="15" name="Grafico 132">
          <a:extLst>
            <a:ext uri="{FF2B5EF4-FFF2-40B4-BE49-F238E27FC236}">
              <a16:creationId xmlns:a16="http://schemas.microsoft.com/office/drawing/2014/main" id="{83592641-9AB6-4122-8D61-096F7EAD009C}"/>
            </a:ext>
            <a:ext uri="{147F2762-F138-4A5C-976F-8EAC2B608ADB}">
              <a16:predDERef xmlns:a16="http://schemas.microsoft.com/office/drawing/2014/main" pred="{D061D072-BD69-4DC1-857F-E1A0DAED2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190500</xdr:colOff>
      <xdr:row>17</xdr:row>
      <xdr:rowOff>45720</xdr:rowOff>
    </xdr:from>
    <xdr:to>
      <xdr:col>17</xdr:col>
      <xdr:colOff>495300</xdr:colOff>
      <xdr:row>32</xdr:row>
      <xdr:rowOff>43815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D1CA604-5100-446D-89D0-F95D8249C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213360</xdr:colOff>
      <xdr:row>34</xdr:row>
      <xdr:rowOff>45720</xdr:rowOff>
    </xdr:from>
    <xdr:to>
      <xdr:col>17</xdr:col>
      <xdr:colOff>518160</xdr:colOff>
      <xdr:row>49</xdr:row>
      <xdr:rowOff>150495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48DAB40-2F2D-431E-B94F-A8401EF79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213360</xdr:colOff>
      <xdr:row>51</xdr:row>
      <xdr:rowOff>38100</xdr:rowOff>
    </xdr:from>
    <xdr:to>
      <xdr:col>17</xdr:col>
      <xdr:colOff>518160</xdr:colOff>
      <xdr:row>66</xdr:row>
      <xdr:rowOff>142875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C30713E-7DC4-4BB7-90FF-BC9B742BD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220980</xdr:colOff>
      <xdr:row>68</xdr:row>
      <xdr:rowOff>38100</xdr:rowOff>
    </xdr:from>
    <xdr:to>
      <xdr:col>17</xdr:col>
      <xdr:colOff>525780</xdr:colOff>
      <xdr:row>83</xdr:row>
      <xdr:rowOff>142875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B6A53521-C25A-42C0-8DF7-5FE6DC813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220980</xdr:colOff>
      <xdr:row>85</xdr:row>
      <xdr:rowOff>38100</xdr:rowOff>
    </xdr:from>
    <xdr:to>
      <xdr:col>17</xdr:col>
      <xdr:colOff>525780</xdr:colOff>
      <xdr:row>100</xdr:row>
      <xdr:rowOff>142875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4CF6A0DD-D025-4665-8B22-10E6C4CF8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213360</xdr:colOff>
      <xdr:row>102</xdr:row>
      <xdr:rowOff>38100</xdr:rowOff>
    </xdr:from>
    <xdr:to>
      <xdr:col>17</xdr:col>
      <xdr:colOff>518160</xdr:colOff>
      <xdr:row>117</xdr:row>
      <xdr:rowOff>142875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0E595CA0-B4C0-412A-B8BB-BBFCBA1B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228600</xdr:colOff>
      <xdr:row>119</xdr:row>
      <xdr:rowOff>38100</xdr:rowOff>
    </xdr:from>
    <xdr:to>
      <xdr:col>17</xdr:col>
      <xdr:colOff>533400</xdr:colOff>
      <xdr:row>134</xdr:row>
      <xdr:rowOff>142875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F51B49E-8D7F-4839-B377-143240CF3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251460</xdr:colOff>
      <xdr:row>136</xdr:row>
      <xdr:rowOff>45720</xdr:rowOff>
    </xdr:from>
    <xdr:to>
      <xdr:col>17</xdr:col>
      <xdr:colOff>556260</xdr:colOff>
      <xdr:row>151</xdr:row>
      <xdr:rowOff>150495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3A3EEC94-0410-43AF-AB24-C89B89AA7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259080</xdr:colOff>
      <xdr:row>153</xdr:row>
      <xdr:rowOff>38100</xdr:rowOff>
    </xdr:from>
    <xdr:to>
      <xdr:col>17</xdr:col>
      <xdr:colOff>563880</xdr:colOff>
      <xdr:row>168</xdr:row>
      <xdr:rowOff>142875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31C8D9C-90D5-4962-AEAE-E9B4FB667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266700</xdr:colOff>
      <xdr:row>170</xdr:row>
      <xdr:rowOff>45720</xdr:rowOff>
    </xdr:from>
    <xdr:to>
      <xdr:col>17</xdr:col>
      <xdr:colOff>571500</xdr:colOff>
      <xdr:row>185</xdr:row>
      <xdr:rowOff>150495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EAB638C1-3EF0-40AE-95E7-4BCC3C669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266700</xdr:colOff>
      <xdr:row>187</xdr:row>
      <xdr:rowOff>38100</xdr:rowOff>
    </xdr:from>
    <xdr:to>
      <xdr:col>17</xdr:col>
      <xdr:colOff>571500</xdr:colOff>
      <xdr:row>202</xdr:row>
      <xdr:rowOff>142875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B432EDF-C252-44EE-9864-27B8C7C3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266700</xdr:colOff>
      <xdr:row>204</xdr:row>
      <xdr:rowOff>38100</xdr:rowOff>
    </xdr:from>
    <xdr:to>
      <xdr:col>17</xdr:col>
      <xdr:colOff>571500</xdr:colOff>
      <xdr:row>219</xdr:row>
      <xdr:rowOff>142875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D2DE6BE9-6416-4F62-8C3B-DB0569CD7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266700</xdr:colOff>
      <xdr:row>221</xdr:row>
      <xdr:rowOff>30480</xdr:rowOff>
    </xdr:from>
    <xdr:to>
      <xdr:col>17</xdr:col>
      <xdr:colOff>571500</xdr:colOff>
      <xdr:row>236</xdr:row>
      <xdr:rowOff>135255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C9211CAA-CB9D-4029-B173-26CCCD74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274320</xdr:colOff>
      <xdr:row>238</xdr:row>
      <xdr:rowOff>38100</xdr:rowOff>
    </xdr:from>
    <xdr:to>
      <xdr:col>17</xdr:col>
      <xdr:colOff>579120</xdr:colOff>
      <xdr:row>253</xdr:row>
      <xdr:rowOff>142875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3A246A97-7860-4C9F-877F-B47B25D3B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274320</xdr:colOff>
      <xdr:row>255</xdr:row>
      <xdr:rowOff>38100</xdr:rowOff>
    </xdr:from>
    <xdr:to>
      <xdr:col>17</xdr:col>
      <xdr:colOff>579120</xdr:colOff>
      <xdr:row>270</xdr:row>
      <xdr:rowOff>142875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5A467331-3B05-4326-9B3D-9D958FC06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281940</xdr:colOff>
      <xdr:row>272</xdr:row>
      <xdr:rowOff>38100</xdr:rowOff>
    </xdr:from>
    <xdr:to>
      <xdr:col>17</xdr:col>
      <xdr:colOff>586740</xdr:colOff>
      <xdr:row>287</xdr:row>
      <xdr:rowOff>142875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F8B9F8B1-434F-44CB-B67C-738830659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3"/>
  <sheetViews>
    <sheetView tabSelected="1" topLeftCell="A283" workbookViewId="0">
      <selection activeCell="J332" sqref="J332"/>
    </sheetView>
  </sheetViews>
  <sheetFormatPr defaultColWidth="9.109375" defaultRowHeight="14.4" x14ac:dyDescent="0.3"/>
  <cols>
    <col min="1" max="1" width="32" style="2" customWidth="1"/>
    <col min="2" max="2" width="17.33203125" style="2" customWidth="1"/>
    <col min="3" max="3" width="17" style="5" customWidth="1"/>
    <col min="4" max="4" width="28" style="2" customWidth="1"/>
    <col min="5" max="5" width="16.88671875" style="2" customWidth="1"/>
    <col min="6" max="6" width="26.33203125" style="2" customWidth="1"/>
    <col min="7" max="7" width="9.109375" style="2"/>
    <col min="8" max="8" width="21" style="2" customWidth="1"/>
    <col min="9" max="9" width="15.6640625" style="2" customWidth="1"/>
    <col min="10" max="10" width="15.88671875" style="2" customWidth="1"/>
    <col min="11" max="11" width="14.5546875" style="2" customWidth="1"/>
    <col min="12" max="12" width="12.6640625" style="2" customWidth="1"/>
    <col min="13" max="16384" width="9.109375" style="2"/>
  </cols>
  <sheetData>
    <row r="1" spans="1:11" x14ac:dyDescent="0.3">
      <c r="A1" s="1" t="s">
        <v>0</v>
      </c>
      <c r="C1" s="3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1" t="s">
        <v>6</v>
      </c>
      <c r="K1" s="1"/>
    </row>
    <row r="2" spans="1:11" x14ac:dyDescent="0.3">
      <c r="A2" s="4">
        <v>2.2192207491760998E-2</v>
      </c>
      <c r="C2" s="5">
        <f>AVERAGE(A2:A16)</f>
        <v>2.2488479200599269E-2</v>
      </c>
      <c r="D2" s="2">
        <f>_xlfn.VAR.S(A2:A16)</f>
        <v>1.1885539609075906E-7</v>
      </c>
      <c r="E2" s="2">
        <f>SQRT(D2)/C2</f>
        <v>1.5330254506386825E-2</v>
      </c>
      <c r="H2" s="4">
        <v>2.2013541708938999E-2</v>
      </c>
      <c r="I2" s="2">
        <f>1/15 - 0.5/15</f>
        <v>3.3333333333333333E-2</v>
      </c>
      <c r="J2" s="2">
        <f t="shared" ref="J2:J16" si="0">4.91*(I2^0.14-(1-I2)^0.14)</f>
        <v>-1.836858897688687</v>
      </c>
    </row>
    <row r="3" spans="1:11" x14ac:dyDescent="0.3">
      <c r="A3" s="4">
        <v>2.2694615442142001E-2</v>
      </c>
      <c r="H3" s="4">
        <v>2.2076432806614001E-2</v>
      </c>
      <c r="I3" s="2">
        <f>I2+1/15</f>
        <v>0.1</v>
      </c>
      <c r="J3" s="2">
        <f t="shared" si="0"/>
        <v>-1.2811261510381207</v>
      </c>
    </row>
    <row r="4" spans="1:11" x14ac:dyDescent="0.3">
      <c r="A4" s="4">
        <v>2.2205258853654999E-2</v>
      </c>
      <c r="C4" s="3" t="s">
        <v>7</v>
      </c>
      <c r="E4" s="1" t="s">
        <v>8</v>
      </c>
      <c r="H4" s="4">
        <v>2.2173827836027001E-2</v>
      </c>
      <c r="I4" s="2">
        <f t="shared" ref="I4:I16" si="1">I3+1/15</f>
        <v>0.16666666666666669</v>
      </c>
      <c r="J4" s="2">
        <f t="shared" si="0"/>
        <v>-0.96558119772402384</v>
      </c>
    </row>
    <row r="5" spans="1:11" x14ac:dyDescent="0.3">
      <c r="A5" s="4">
        <v>2.2076432806614001E-2</v>
      </c>
      <c r="C5" s="5">
        <f>MEDIAN(A2:A16)</f>
        <v>2.2431880657848999E-2</v>
      </c>
      <c r="E5" s="2">
        <v>2.145</v>
      </c>
      <c r="H5" s="4">
        <v>2.2192207491760998E-2</v>
      </c>
      <c r="I5" s="2">
        <f t="shared" si="1"/>
        <v>0.23333333333333334</v>
      </c>
      <c r="J5" s="2">
        <f t="shared" si="0"/>
        <v>-0.72575040815577163</v>
      </c>
    </row>
    <row r="6" spans="1:11" x14ac:dyDescent="0.3">
      <c r="A6" s="4">
        <v>2.2805803172218999E-2</v>
      </c>
      <c r="H6" s="4">
        <v>2.2205258853654999E-2</v>
      </c>
      <c r="I6" s="2">
        <f t="shared" si="1"/>
        <v>0.3</v>
      </c>
      <c r="J6" s="2">
        <f t="shared" si="0"/>
        <v>-0.52246305252576009</v>
      </c>
    </row>
    <row r="7" spans="1:11" x14ac:dyDescent="0.3">
      <c r="A7" s="4">
        <v>2.3164591322292E-2</v>
      </c>
      <c r="C7" s="3"/>
      <c r="D7" s="1" t="s">
        <v>9</v>
      </c>
      <c r="H7" s="4">
        <v>2.2364238564460001E-2</v>
      </c>
      <c r="I7" s="2">
        <f t="shared" si="1"/>
        <v>0.36666666666666664</v>
      </c>
      <c r="J7" s="2">
        <f t="shared" si="0"/>
        <v>-0.33927638280750583</v>
      </c>
    </row>
    <row r="8" spans="1:11" x14ac:dyDescent="0.3">
      <c r="A8" s="4">
        <v>2.2173827836027001E-2</v>
      </c>
      <c r="C8" s="3" t="s">
        <v>10</v>
      </c>
      <c r="D8" s="2">
        <f>C2+E5*SQRT(D2)/(SQRT(15))</f>
        <v>2.2679416650880503E-2</v>
      </c>
      <c r="H8" s="4">
        <v>2.2426269470806E-2</v>
      </c>
      <c r="I8" s="2">
        <f t="shared" si="1"/>
        <v>0.43333333333333329</v>
      </c>
      <c r="J8" s="2">
        <f t="shared" si="0"/>
        <v>-0.16715058832373922</v>
      </c>
    </row>
    <row r="9" spans="1:11" x14ac:dyDescent="0.3">
      <c r="A9" s="4">
        <v>2.2364238564460001E-2</v>
      </c>
      <c r="C9" s="3" t="s">
        <v>11</v>
      </c>
      <c r="D9" s="2">
        <f>C2-E5*SQRT(D2)/(SQRT(15))</f>
        <v>2.2297541750318034E-2</v>
      </c>
      <c r="H9" s="4">
        <v>2.2431880657848999E-2</v>
      </c>
      <c r="I9" s="2">
        <f t="shared" si="1"/>
        <v>0.49999999999999994</v>
      </c>
      <c r="J9" s="2">
        <f t="shared" si="0"/>
        <v>0</v>
      </c>
    </row>
    <row r="10" spans="1:11" x14ac:dyDescent="0.3">
      <c r="A10" s="4">
        <v>2.2652500121522999E-2</v>
      </c>
      <c r="H10" s="4">
        <v>2.2446091200323998E-2</v>
      </c>
      <c r="I10" s="2">
        <f t="shared" si="1"/>
        <v>0.56666666666666665</v>
      </c>
      <c r="J10" s="2">
        <f t="shared" si="0"/>
        <v>0.16715058832373922</v>
      </c>
    </row>
    <row r="11" spans="1:11" x14ac:dyDescent="0.3">
      <c r="A11" s="4">
        <v>2.2426269470806E-2</v>
      </c>
      <c r="H11" s="4">
        <v>2.2613001691184E-2</v>
      </c>
      <c r="I11" s="2">
        <f t="shared" si="1"/>
        <v>0.6333333333333333</v>
      </c>
      <c r="J11" s="2">
        <f t="shared" si="0"/>
        <v>0.33927638280750583</v>
      </c>
    </row>
    <row r="12" spans="1:11" x14ac:dyDescent="0.3">
      <c r="A12" s="4">
        <v>2.2446091200323998E-2</v>
      </c>
      <c r="H12" s="4">
        <v>2.2652500121522999E-2</v>
      </c>
      <c r="I12" s="2">
        <f t="shared" si="1"/>
        <v>0.7</v>
      </c>
      <c r="J12" s="2">
        <f t="shared" si="0"/>
        <v>0.52246305252576009</v>
      </c>
    </row>
    <row r="13" spans="1:11" x14ac:dyDescent="0.3">
      <c r="A13" s="4">
        <v>2.2013541708938999E-2</v>
      </c>
      <c r="H13" s="4">
        <v>2.2694615442142001E-2</v>
      </c>
      <c r="I13" s="2">
        <f t="shared" si="1"/>
        <v>0.76666666666666661</v>
      </c>
      <c r="J13" s="2">
        <f t="shared" si="0"/>
        <v>0.72575040815577163</v>
      </c>
    </row>
    <row r="14" spans="1:11" x14ac:dyDescent="0.3">
      <c r="A14" s="4">
        <v>2.2613001691184E-2</v>
      </c>
      <c r="H14" s="4">
        <v>2.2805803172218999E-2</v>
      </c>
      <c r="I14" s="2">
        <f t="shared" si="1"/>
        <v>0.83333333333333326</v>
      </c>
      <c r="J14" s="2">
        <f t="shared" si="0"/>
        <v>0.96558119772402329</v>
      </c>
    </row>
    <row r="15" spans="1:11" x14ac:dyDescent="0.3">
      <c r="A15" s="4">
        <v>2.2431880657848999E-2</v>
      </c>
      <c r="H15" s="4">
        <v>2.3066927669194E-2</v>
      </c>
      <c r="I15" s="2">
        <f t="shared" si="1"/>
        <v>0.89999999999999991</v>
      </c>
      <c r="J15" s="2">
        <f t="shared" si="0"/>
        <v>1.2811261510381207</v>
      </c>
    </row>
    <row r="16" spans="1:11" x14ac:dyDescent="0.3">
      <c r="A16" s="4">
        <v>2.3066927669194E-2</v>
      </c>
      <c r="H16" s="4">
        <v>2.3164591322292E-2</v>
      </c>
      <c r="I16" s="2">
        <f t="shared" si="1"/>
        <v>0.96666666666666656</v>
      </c>
      <c r="J16" s="2">
        <f t="shared" si="0"/>
        <v>1.8368588976886859</v>
      </c>
    </row>
    <row r="17" spans="1:10" s="6" customFormat="1" ht="3.75" customHeight="1" x14ac:dyDescent="0.3">
      <c r="C17" s="7"/>
    </row>
    <row r="18" spans="1:10" x14ac:dyDescent="0.3">
      <c r="A18" s="1" t="s">
        <v>12</v>
      </c>
      <c r="C18" s="3" t="s">
        <v>1</v>
      </c>
      <c r="D18" s="1" t="s">
        <v>2</v>
      </c>
      <c r="E18" s="1" t="s">
        <v>3</v>
      </c>
      <c r="F18" s="1"/>
      <c r="G18" s="1"/>
      <c r="H18" s="1" t="s">
        <v>4</v>
      </c>
      <c r="I18" s="1" t="s">
        <v>5</v>
      </c>
      <c r="J18" s="1" t="s">
        <v>6</v>
      </c>
    </row>
    <row r="19" spans="1:10" x14ac:dyDescent="0.3">
      <c r="A19" s="8">
        <v>2.633125774203E-2</v>
      </c>
      <c r="C19" s="5">
        <f>AVERAGE(A19:A33)</f>
        <v>2.703985030982E-2</v>
      </c>
      <c r="D19" s="2">
        <f>_xlfn.VAR.S(A19:A33)</f>
        <v>1.8094999153540358E-7</v>
      </c>
      <c r="E19" s="2">
        <f>SQRT(D19)/C19</f>
        <v>1.573167625854708E-2</v>
      </c>
      <c r="H19" s="8">
        <v>2.633125774203E-2</v>
      </c>
      <c r="I19" s="2">
        <f>1/15 - 0.5/15</f>
        <v>3.3333333333333333E-2</v>
      </c>
      <c r="J19" s="2">
        <f t="shared" ref="J19:J33" si="2">4.91*(I19^0.14-(1-I19)^0.14)</f>
        <v>-1.836858897688687</v>
      </c>
    </row>
    <row r="20" spans="1:10" x14ac:dyDescent="0.3">
      <c r="A20" s="8">
        <v>2.7227435907291E-2</v>
      </c>
      <c r="H20" s="8">
        <v>2.6607814920846001E-2</v>
      </c>
      <c r="I20" s="2">
        <f>I19+1/15</f>
        <v>0.1</v>
      </c>
      <c r="J20" s="2">
        <f t="shared" si="2"/>
        <v>-1.2811261510381207</v>
      </c>
    </row>
    <row r="21" spans="1:10" x14ac:dyDescent="0.3">
      <c r="A21" s="8">
        <v>2.6679511861578999E-2</v>
      </c>
      <c r="C21" s="3" t="s">
        <v>7</v>
      </c>
      <c r="E21" s="1" t="s">
        <v>8</v>
      </c>
      <c r="H21" s="8">
        <v>2.6668717346720001E-2</v>
      </c>
      <c r="I21" s="2">
        <f t="shared" ref="I21:I33" si="3">I20+1/15</f>
        <v>0.16666666666666669</v>
      </c>
      <c r="J21" s="2">
        <f t="shared" si="2"/>
        <v>-0.96558119772402384</v>
      </c>
    </row>
    <row r="22" spans="1:10" x14ac:dyDescent="0.3">
      <c r="A22" s="8">
        <v>2.6765664842932E-2</v>
      </c>
      <c r="C22" s="5">
        <f>MEDIAN(A19:A33)</f>
        <v>2.6992020242593E-2</v>
      </c>
      <c r="E22" s="2">
        <v>2.145</v>
      </c>
      <c r="H22" s="8">
        <v>2.6679511861578999E-2</v>
      </c>
      <c r="I22" s="2">
        <f t="shared" si="3"/>
        <v>0.23333333333333334</v>
      </c>
      <c r="J22" s="2">
        <f t="shared" si="2"/>
        <v>-0.72575040815577163</v>
      </c>
    </row>
    <row r="23" spans="1:10" ht="14.25" customHeight="1" x14ac:dyDescent="0.3">
      <c r="A23" s="8">
        <v>2.7398284816574001E-2</v>
      </c>
      <c r="H23" s="8">
        <v>2.6765664842932E-2</v>
      </c>
      <c r="I23" s="2">
        <f t="shared" si="3"/>
        <v>0.3</v>
      </c>
      <c r="J23" s="2">
        <f t="shared" si="2"/>
        <v>-0.52246305252576009</v>
      </c>
    </row>
    <row r="24" spans="1:10" x14ac:dyDescent="0.3">
      <c r="A24" s="8">
        <v>2.7846439207635E-2</v>
      </c>
      <c r="C24" s="3"/>
      <c r="D24" s="1" t="s">
        <v>9</v>
      </c>
      <c r="H24" s="8">
        <v>2.6823211398123999E-2</v>
      </c>
      <c r="I24" s="2">
        <f t="shared" si="3"/>
        <v>0.36666666666666664</v>
      </c>
      <c r="J24" s="2">
        <f t="shared" si="2"/>
        <v>-0.33927638280750583</v>
      </c>
    </row>
    <row r="25" spans="1:10" x14ac:dyDescent="0.3">
      <c r="A25" s="8">
        <v>2.6668717346720001E-2</v>
      </c>
      <c r="C25" s="3" t="s">
        <v>10</v>
      </c>
      <c r="D25" s="2">
        <f>C19+E22*SQRT(D19)/(SQRT(15))</f>
        <v>2.7275442533065193E-2</v>
      </c>
      <c r="H25" s="8">
        <v>2.6960824383053E-2</v>
      </c>
      <c r="I25" s="2">
        <f t="shared" si="3"/>
        <v>0.43333333333333329</v>
      </c>
      <c r="J25" s="2">
        <f t="shared" si="2"/>
        <v>-0.16715058832373922</v>
      </c>
    </row>
    <row r="26" spans="1:10" x14ac:dyDescent="0.3">
      <c r="A26" s="8">
        <v>2.6960824383053E-2</v>
      </c>
      <c r="C26" s="3" t="s">
        <v>11</v>
      </c>
      <c r="D26" s="2">
        <f>C19-E22*SQRT(D19)/(SQRT(15))</f>
        <v>2.6804258086574807E-2</v>
      </c>
      <c r="H26" s="8">
        <v>2.6992020242593E-2</v>
      </c>
      <c r="I26" s="2">
        <f t="shared" si="3"/>
        <v>0.49999999999999994</v>
      </c>
      <c r="J26" s="2">
        <f t="shared" si="2"/>
        <v>0</v>
      </c>
    </row>
    <row r="27" spans="1:10" x14ac:dyDescent="0.3">
      <c r="A27" s="8">
        <v>2.7364470919872999E-2</v>
      </c>
      <c r="H27" s="8">
        <v>2.6994096933043998E-2</v>
      </c>
      <c r="I27" s="2">
        <f t="shared" si="3"/>
        <v>0.56666666666666665</v>
      </c>
      <c r="J27" s="2">
        <f t="shared" si="2"/>
        <v>0.16715058832373922</v>
      </c>
    </row>
    <row r="28" spans="1:10" ht="16.5" customHeight="1" x14ac:dyDescent="0.3">
      <c r="A28" s="8">
        <v>2.6992020242593E-2</v>
      </c>
      <c r="H28" s="8">
        <v>2.7189491924039001E-2</v>
      </c>
      <c r="I28" s="2">
        <f t="shared" si="3"/>
        <v>0.6333333333333333</v>
      </c>
      <c r="J28" s="2">
        <f t="shared" si="2"/>
        <v>0.33927638280750583</v>
      </c>
    </row>
    <row r="29" spans="1:10" ht="16.5" customHeight="1" x14ac:dyDescent="0.3">
      <c r="A29" s="8">
        <v>2.6994096933043998E-2</v>
      </c>
      <c r="H29" s="8">
        <v>2.7227435907291E-2</v>
      </c>
      <c r="I29" s="2">
        <f t="shared" si="3"/>
        <v>0.7</v>
      </c>
      <c r="J29" s="2">
        <f t="shared" si="2"/>
        <v>0.52246305252576009</v>
      </c>
    </row>
    <row r="30" spans="1:10" ht="16.5" customHeight="1" x14ac:dyDescent="0.3">
      <c r="A30" s="8">
        <v>2.6607814920846001E-2</v>
      </c>
      <c r="H30" s="8">
        <v>2.7364470919872999E-2</v>
      </c>
      <c r="I30" s="2">
        <f t="shared" si="3"/>
        <v>0.76666666666666661</v>
      </c>
      <c r="J30" s="2">
        <f t="shared" si="2"/>
        <v>0.72575040815577163</v>
      </c>
    </row>
    <row r="31" spans="1:10" ht="16.5" customHeight="1" x14ac:dyDescent="0.3">
      <c r="A31" s="8">
        <v>2.7189491924039001E-2</v>
      </c>
      <c r="H31" s="8">
        <v>2.7398284816574001E-2</v>
      </c>
      <c r="I31" s="2">
        <f t="shared" si="3"/>
        <v>0.83333333333333326</v>
      </c>
      <c r="J31" s="2">
        <f t="shared" si="2"/>
        <v>0.96558119772402329</v>
      </c>
    </row>
    <row r="32" spans="1:10" ht="16.5" customHeight="1" x14ac:dyDescent="0.3">
      <c r="A32" s="8">
        <v>2.6823211398123999E-2</v>
      </c>
      <c r="H32" s="8">
        <v>2.7748512200966999E-2</v>
      </c>
      <c r="I32" s="2">
        <f t="shared" si="3"/>
        <v>0.89999999999999991</v>
      </c>
      <c r="J32" s="2">
        <f t="shared" si="2"/>
        <v>1.2811261510381207</v>
      </c>
    </row>
    <row r="33" spans="1:10" ht="16.5" customHeight="1" x14ac:dyDescent="0.3">
      <c r="A33" s="8">
        <v>2.7748512200966999E-2</v>
      </c>
      <c r="H33" s="8">
        <v>2.7846439207635E-2</v>
      </c>
      <c r="I33" s="2">
        <f t="shared" si="3"/>
        <v>0.96666666666666656</v>
      </c>
      <c r="J33" s="2">
        <f t="shared" si="2"/>
        <v>1.8368588976886859</v>
      </c>
    </row>
    <row r="34" spans="1:10" s="6" customFormat="1" ht="3.75" customHeight="1" x14ac:dyDescent="0.3">
      <c r="C34" s="7"/>
    </row>
    <row r="35" spans="1:10" x14ac:dyDescent="0.3">
      <c r="A35" s="1" t="s">
        <v>13</v>
      </c>
      <c r="C35" s="3" t="s">
        <v>1</v>
      </c>
      <c r="D35" s="1" t="s">
        <v>2</v>
      </c>
      <c r="E35" s="1" t="s">
        <v>3</v>
      </c>
      <c r="F35" s="1"/>
      <c r="H35" s="1" t="s">
        <v>4</v>
      </c>
      <c r="I35" s="1" t="s">
        <v>5</v>
      </c>
      <c r="J35" s="1" t="s">
        <v>6</v>
      </c>
    </row>
    <row r="36" spans="1:10" x14ac:dyDescent="0.3">
      <c r="A36" s="9">
        <v>3.1343762961308003E-2</v>
      </c>
      <c r="C36" s="5">
        <f>AVERAGE(A36:A50)</f>
        <v>3.19231898051546E-2</v>
      </c>
      <c r="D36" s="2">
        <f>_xlfn.VAR.S(A36:A50)</f>
        <v>2.7046161644895238E-7</v>
      </c>
      <c r="E36" s="2">
        <f>SQRT(D36)/C36</f>
        <v>1.6290954832050977E-2</v>
      </c>
      <c r="H36" s="9">
        <v>3.1211502890854E-2</v>
      </c>
      <c r="I36" s="2">
        <f>1/15 - 0.5/15</f>
        <v>3.3333333333333333E-2</v>
      </c>
      <c r="J36" s="2">
        <f t="shared" ref="J36:J50" si="4">4.91*(I36^0.14-(1-I36)^0.14)</f>
        <v>-1.836858897688687</v>
      </c>
    </row>
    <row r="37" spans="1:10" x14ac:dyDescent="0.3">
      <c r="A37" s="9">
        <v>3.2267923583796002E-2</v>
      </c>
      <c r="H37" s="9">
        <v>3.1343762961308003E-2</v>
      </c>
      <c r="I37" s="2">
        <f>I36+1/15</f>
        <v>0.1</v>
      </c>
      <c r="J37" s="2">
        <f t="shared" si="4"/>
        <v>-1.2811261510381207</v>
      </c>
    </row>
    <row r="38" spans="1:10" x14ac:dyDescent="0.3">
      <c r="A38" s="9">
        <v>3.1368280128894997E-2</v>
      </c>
      <c r="C38" s="3" t="s">
        <v>7</v>
      </c>
      <c r="E38" s="1" t="s">
        <v>8</v>
      </c>
      <c r="H38" s="9">
        <v>3.1368280128894997E-2</v>
      </c>
      <c r="I38" s="2">
        <f t="shared" ref="I38:I50" si="5">I37+1/15</f>
        <v>0.16666666666666669</v>
      </c>
      <c r="J38" s="2">
        <f t="shared" si="4"/>
        <v>-0.96558119772402384</v>
      </c>
    </row>
    <row r="39" spans="1:10" x14ac:dyDescent="0.3">
      <c r="A39" s="9">
        <v>3.1511996417359002E-2</v>
      </c>
      <c r="C39" s="5">
        <f>MEDIAN(A36:A50)</f>
        <v>3.1816487020947998E-2</v>
      </c>
      <c r="E39" s="2">
        <v>2.145</v>
      </c>
      <c r="H39" s="9">
        <v>3.1511996417359002E-2</v>
      </c>
      <c r="I39" s="2">
        <f t="shared" si="5"/>
        <v>0.23333333333333334</v>
      </c>
      <c r="J39" s="2">
        <f t="shared" si="4"/>
        <v>-0.72575040815577163</v>
      </c>
    </row>
    <row r="40" spans="1:10" x14ac:dyDescent="0.3">
      <c r="A40" s="9">
        <v>3.2457125008831002E-2</v>
      </c>
      <c r="H40" s="9">
        <v>3.1539236291165999E-2</v>
      </c>
      <c r="I40" s="2">
        <f t="shared" si="5"/>
        <v>0.3</v>
      </c>
      <c r="J40" s="2">
        <f t="shared" si="4"/>
        <v>-0.52246305252576009</v>
      </c>
    </row>
    <row r="41" spans="1:10" x14ac:dyDescent="0.3">
      <c r="A41" s="9">
        <v>3.2959387074561003E-2</v>
      </c>
      <c r="C41" s="3"/>
      <c r="D41" s="1" t="s">
        <v>9</v>
      </c>
      <c r="H41" s="9">
        <v>3.1660558102697002E-2</v>
      </c>
      <c r="I41" s="2">
        <f t="shared" si="5"/>
        <v>0.36666666666666664</v>
      </c>
      <c r="J41" s="2">
        <f t="shared" si="4"/>
        <v>-0.33927638280750583</v>
      </c>
    </row>
    <row r="42" spans="1:10" x14ac:dyDescent="0.3">
      <c r="A42" s="9">
        <v>3.1539236291165999E-2</v>
      </c>
      <c r="C42" s="3" t="s">
        <v>10</v>
      </c>
      <c r="D42" s="2">
        <f>C36+E39*SQRT(D36)/(SQRT(15))</f>
        <v>3.2211217657838104E-2</v>
      </c>
      <c r="H42" s="9">
        <v>3.1741581755761E-2</v>
      </c>
      <c r="I42" s="2">
        <f t="shared" si="5"/>
        <v>0.43333333333333329</v>
      </c>
      <c r="J42" s="2">
        <f t="shared" si="4"/>
        <v>-0.16715058832373922</v>
      </c>
    </row>
    <row r="43" spans="1:10" x14ac:dyDescent="0.3">
      <c r="A43" s="9">
        <v>3.1868526135087998E-2</v>
      </c>
      <c r="C43" s="3" t="s">
        <v>11</v>
      </c>
      <c r="D43" s="2">
        <f>C36-E39*SQRT(D36)/(SQRT(15))</f>
        <v>3.1635161952471097E-2</v>
      </c>
      <c r="H43" s="9">
        <v>3.1816487020947998E-2</v>
      </c>
      <c r="I43" s="2">
        <f t="shared" si="5"/>
        <v>0.49999999999999994</v>
      </c>
      <c r="J43" s="2">
        <f t="shared" si="4"/>
        <v>0</v>
      </c>
    </row>
    <row r="44" spans="1:10" x14ac:dyDescent="0.3">
      <c r="A44" s="9">
        <v>3.2226735103365003E-2</v>
      </c>
      <c r="H44" s="9">
        <v>3.1868526135087998E-2</v>
      </c>
      <c r="I44" s="2">
        <f t="shared" si="5"/>
        <v>0.56666666666666665</v>
      </c>
      <c r="J44" s="2">
        <f t="shared" si="4"/>
        <v>0.16715058832373922</v>
      </c>
    </row>
    <row r="45" spans="1:10" x14ac:dyDescent="0.3">
      <c r="A45" s="9">
        <v>3.1816487020947998E-2</v>
      </c>
      <c r="H45" s="9">
        <v>3.2208316234520001E-2</v>
      </c>
      <c r="I45" s="2">
        <f t="shared" si="5"/>
        <v>0.6333333333333333</v>
      </c>
      <c r="J45" s="2">
        <f t="shared" si="4"/>
        <v>0.33927638280750583</v>
      </c>
    </row>
    <row r="46" spans="1:10" x14ac:dyDescent="0.3">
      <c r="A46" s="9">
        <v>3.1741581755761E-2</v>
      </c>
      <c r="H46" s="9">
        <v>3.2226735103365003E-2</v>
      </c>
      <c r="I46" s="2">
        <f t="shared" si="5"/>
        <v>0.7</v>
      </c>
      <c r="J46" s="2">
        <f t="shared" si="4"/>
        <v>0.52246305252576009</v>
      </c>
    </row>
    <row r="47" spans="1:10" x14ac:dyDescent="0.3">
      <c r="A47" s="9">
        <v>3.1211502890854E-2</v>
      </c>
      <c r="H47" s="9">
        <v>3.2267923583796002E-2</v>
      </c>
      <c r="I47" s="2">
        <f t="shared" si="5"/>
        <v>0.76666666666666661</v>
      </c>
      <c r="J47" s="2">
        <f t="shared" si="4"/>
        <v>0.72575040815577163</v>
      </c>
    </row>
    <row r="48" spans="1:10" x14ac:dyDescent="0.3">
      <c r="A48" s="9">
        <v>3.2208316234520001E-2</v>
      </c>
      <c r="H48" s="9">
        <v>3.2457125008831002E-2</v>
      </c>
      <c r="I48" s="2">
        <f t="shared" si="5"/>
        <v>0.83333333333333326</v>
      </c>
      <c r="J48" s="2">
        <f t="shared" si="4"/>
        <v>0.96558119772402329</v>
      </c>
    </row>
    <row r="49" spans="1:10" x14ac:dyDescent="0.3">
      <c r="A49" s="9">
        <v>3.1660558102697002E-2</v>
      </c>
      <c r="H49" s="9">
        <v>3.2666428368169999E-2</v>
      </c>
      <c r="I49" s="2">
        <f t="shared" si="5"/>
        <v>0.89999999999999991</v>
      </c>
      <c r="J49" s="2">
        <f t="shared" si="4"/>
        <v>1.2811261510381207</v>
      </c>
    </row>
    <row r="50" spans="1:10" x14ac:dyDescent="0.3">
      <c r="A50" s="9">
        <v>3.2666428368169999E-2</v>
      </c>
      <c r="H50" s="9">
        <v>3.2959387074561003E-2</v>
      </c>
      <c r="I50" s="2">
        <f t="shared" si="5"/>
        <v>0.96666666666666656</v>
      </c>
      <c r="J50" s="2">
        <f t="shared" si="4"/>
        <v>1.8368588976886859</v>
      </c>
    </row>
    <row r="51" spans="1:10" s="6" customFormat="1" ht="4.5" customHeight="1" x14ac:dyDescent="0.3">
      <c r="C51" s="7"/>
    </row>
    <row r="52" spans="1:10" x14ac:dyDescent="0.3">
      <c r="A52" s="1" t="s">
        <v>14</v>
      </c>
      <c r="C52" s="3" t="s">
        <v>1</v>
      </c>
      <c r="D52" s="1" t="s">
        <v>2</v>
      </c>
      <c r="E52" s="1" t="s">
        <v>3</v>
      </c>
      <c r="F52" s="1"/>
      <c r="H52" s="1" t="s">
        <v>4</v>
      </c>
      <c r="I52" s="1" t="s">
        <v>5</v>
      </c>
      <c r="J52" s="1" t="s">
        <v>6</v>
      </c>
    </row>
    <row r="53" spans="1:10" x14ac:dyDescent="0.3">
      <c r="A53" s="9">
        <v>3.6570360284851E-2</v>
      </c>
      <c r="C53" s="5">
        <f>AVERAGE(A53:A67)</f>
        <v>3.7309287424013335E-2</v>
      </c>
      <c r="D53" s="2">
        <f>_xlfn.VAR.S(A53:A67)</f>
        <v>3.8527531508319448E-7</v>
      </c>
      <c r="E53" s="2">
        <f>SQRT(D53)/C53</f>
        <v>1.6636755637101774E-2</v>
      </c>
      <c r="H53" s="9">
        <v>3.6544643386066999E-2</v>
      </c>
      <c r="I53" s="2">
        <f>1/15 - 0.5/15</f>
        <v>3.3333333333333333E-2</v>
      </c>
      <c r="J53" s="2">
        <f t="shared" ref="J53:J67" si="6">4.91*(I53^0.14-(1-I53)^0.14)</f>
        <v>-1.836858897688687</v>
      </c>
    </row>
    <row r="54" spans="1:10" x14ac:dyDescent="0.3">
      <c r="A54" s="9">
        <v>3.7518381082353003E-2</v>
      </c>
      <c r="H54" s="9">
        <v>3.6570360284851E-2</v>
      </c>
      <c r="I54" s="2">
        <f t="shared" ref="I54:I67" si="7">I53+1/15</f>
        <v>0.1</v>
      </c>
      <c r="J54" s="2">
        <f t="shared" si="6"/>
        <v>-1.2811261510381207</v>
      </c>
    </row>
    <row r="55" spans="1:10" x14ac:dyDescent="0.3">
      <c r="A55" s="9">
        <v>3.6604041176218002E-2</v>
      </c>
      <c r="C55" s="3" t="s">
        <v>7</v>
      </c>
      <c r="E55" s="1" t="s">
        <v>8</v>
      </c>
      <c r="H55" s="9">
        <v>3.659303639546E-2</v>
      </c>
      <c r="I55" s="2">
        <f t="shared" si="7"/>
        <v>0.16666666666666669</v>
      </c>
      <c r="J55" s="2">
        <f t="shared" si="6"/>
        <v>-0.96558119772402384</v>
      </c>
    </row>
    <row r="56" spans="1:10" x14ac:dyDescent="0.3">
      <c r="A56" s="9">
        <v>3.6544643386066999E-2</v>
      </c>
      <c r="C56" s="5">
        <f>MEDIAN(A53:A67)</f>
        <v>3.7216356683497001E-2</v>
      </c>
      <c r="E56" s="2">
        <v>2.145</v>
      </c>
      <c r="H56" s="9">
        <v>3.6604041176218002E-2</v>
      </c>
      <c r="I56" s="2">
        <f t="shared" si="7"/>
        <v>0.23333333333333334</v>
      </c>
      <c r="J56" s="2">
        <f t="shared" si="6"/>
        <v>-0.72575040815577163</v>
      </c>
    </row>
    <row r="57" spans="1:10" x14ac:dyDescent="0.3">
      <c r="A57" s="9">
        <v>3.7773399792436997E-2</v>
      </c>
      <c r="H57" s="9">
        <v>3.6925095323604003E-2</v>
      </c>
      <c r="I57" s="2">
        <f t="shared" si="7"/>
        <v>0.3</v>
      </c>
      <c r="J57" s="2">
        <f t="shared" si="6"/>
        <v>-0.52246305252576009</v>
      </c>
    </row>
    <row r="58" spans="1:10" x14ac:dyDescent="0.3">
      <c r="A58" s="9">
        <v>3.8374840839994998E-2</v>
      </c>
      <c r="C58" s="3"/>
      <c r="D58" s="1" t="s">
        <v>9</v>
      </c>
      <c r="H58" s="9">
        <v>3.7017363366533003E-2</v>
      </c>
      <c r="I58" s="2">
        <f t="shared" si="7"/>
        <v>0.36666666666666664</v>
      </c>
      <c r="J58" s="2">
        <f t="shared" si="6"/>
        <v>-0.33927638280750583</v>
      </c>
    </row>
    <row r="59" spans="1:10" x14ac:dyDescent="0.3">
      <c r="A59" s="9">
        <v>3.6925095323604003E-2</v>
      </c>
      <c r="C59" s="3" t="s">
        <v>10</v>
      </c>
      <c r="D59" s="2">
        <f>C53+E56*SQRT(D53)/(SQRT(15))</f>
        <v>3.7653056858041496E-2</v>
      </c>
      <c r="H59" s="9">
        <v>3.7147872704022998E-2</v>
      </c>
      <c r="I59" s="2">
        <f t="shared" si="7"/>
        <v>0.43333333333333329</v>
      </c>
      <c r="J59" s="2">
        <f t="shared" si="6"/>
        <v>-0.16715058832373922</v>
      </c>
    </row>
    <row r="60" spans="1:10" x14ac:dyDescent="0.3">
      <c r="A60" s="9">
        <v>3.7661919996029997E-2</v>
      </c>
      <c r="C60" s="3" t="s">
        <v>11</v>
      </c>
      <c r="D60" s="2">
        <f>C53-E56*SQRT(D53)/(SQRT(15))</f>
        <v>3.6965517989985174E-2</v>
      </c>
      <c r="H60" s="9">
        <v>3.7216356683497001E-2</v>
      </c>
      <c r="I60" s="2">
        <f t="shared" si="7"/>
        <v>0.49999999999999994</v>
      </c>
      <c r="J60" s="2">
        <f t="shared" si="6"/>
        <v>0</v>
      </c>
    </row>
    <row r="61" spans="1:10" x14ac:dyDescent="0.3">
      <c r="A61" s="9">
        <v>3.7970479052849997E-2</v>
      </c>
      <c r="H61" s="9">
        <v>3.7401977094258E-2</v>
      </c>
      <c r="I61" s="2">
        <f t="shared" si="7"/>
        <v>0.56666666666666665</v>
      </c>
      <c r="J61" s="2">
        <f t="shared" si="6"/>
        <v>0.16715058832373922</v>
      </c>
    </row>
    <row r="62" spans="1:10" x14ac:dyDescent="0.3">
      <c r="A62" s="9">
        <v>3.7147872704022998E-2</v>
      </c>
      <c r="H62" s="9">
        <v>3.7518381082353003E-2</v>
      </c>
      <c r="I62" s="2">
        <f t="shared" si="7"/>
        <v>0.6333333333333333</v>
      </c>
      <c r="J62" s="2">
        <f t="shared" si="6"/>
        <v>0.33927638280750583</v>
      </c>
    </row>
    <row r="63" spans="1:10" x14ac:dyDescent="0.3">
      <c r="A63" s="9">
        <v>3.7216356683497001E-2</v>
      </c>
      <c r="H63" s="9">
        <v>3.7661919996029997E-2</v>
      </c>
      <c r="I63" s="2">
        <f t="shared" si="7"/>
        <v>0.7</v>
      </c>
      <c r="J63" s="2">
        <f t="shared" si="6"/>
        <v>0.52246305252576009</v>
      </c>
    </row>
    <row r="64" spans="1:10" x14ac:dyDescent="0.3">
      <c r="A64" s="9">
        <v>3.659303639546E-2</v>
      </c>
      <c r="H64" s="9">
        <v>3.7773399792436997E-2</v>
      </c>
      <c r="I64" s="2">
        <f t="shared" si="7"/>
        <v>0.76666666666666661</v>
      </c>
      <c r="J64" s="2">
        <f t="shared" si="6"/>
        <v>0.72575040815577163</v>
      </c>
    </row>
    <row r="65" spans="1:10" x14ac:dyDescent="0.3">
      <c r="A65" s="9">
        <v>3.7401977094258E-2</v>
      </c>
      <c r="H65" s="9">
        <v>3.7970479052849997E-2</v>
      </c>
      <c r="I65" s="2">
        <f t="shared" si="7"/>
        <v>0.83333333333333326</v>
      </c>
      <c r="J65" s="2">
        <f t="shared" si="6"/>
        <v>0.96558119772402329</v>
      </c>
    </row>
    <row r="66" spans="1:10" x14ac:dyDescent="0.3">
      <c r="A66" s="9">
        <v>3.7017363366533003E-2</v>
      </c>
      <c r="H66" s="9">
        <v>3.8319544182023997E-2</v>
      </c>
      <c r="I66" s="2">
        <f t="shared" si="7"/>
        <v>0.89999999999999991</v>
      </c>
      <c r="J66" s="2">
        <f t="shared" si="6"/>
        <v>1.2811261510381207</v>
      </c>
    </row>
    <row r="67" spans="1:10" x14ac:dyDescent="0.3">
      <c r="A67" s="9">
        <v>3.8319544182023997E-2</v>
      </c>
      <c r="H67" s="9">
        <v>3.8374840839994998E-2</v>
      </c>
      <c r="I67" s="2">
        <f t="shared" si="7"/>
        <v>0.96666666666666656</v>
      </c>
      <c r="J67" s="2">
        <f t="shared" si="6"/>
        <v>1.8368588976886859</v>
      </c>
    </row>
    <row r="68" spans="1:10" s="6" customFormat="1" ht="4.5" customHeight="1" x14ac:dyDescent="0.3">
      <c r="C68" s="7"/>
    </row>
    <row r="69" spans="1:10" x14ac:dyDescent="0.3">
      <c r="A69" s="1" t="s">
        <v>15</v>
      </c>
      <c r="C69" s="3" t="s">
        <v>1</v>
      </c>
      <c r="D69" s="1" t="s">
        <v>2</v>
      </c>
      <c r="E69" s="1" t="s">
        <v>3</v>
      </c>
      <c r="F69" s="1"/>
      <c r="H69" s="1" t="s">
        <v>4</v>
      </c>
      <c r="I69" s="1" t="s">
        <v>5</v>
      </c>
      <c r="J69" s="1" t="s">
        <v>6</v>
      </c>
    </row>
    <row r="70" spans="1:10" x14ac:dyDescent="0.3">
      <c r="A70" s="4">
        <v>4.2290580179628001E-2</v>
      </c>
      <c r="C70" s="5">
        <f>AVERAGE(A70:A84)</f>
        <v>4.3329953980818667E-2</v>
      </c>
      <c r="D70" s="2">
        <f>_xlfn.VAR.S(A70:A84)</f>
        <v>4.8687876867106842E-7</v>
      </c>
      <c r="E70" s="2">
        <f>SQRT(D70)/C70</f>
        <v>1.610357093119413E-2</v>
      </c>
      <c r="H70" s="4">
        <v>4.2290580179628001E-2</v>
      </c>
      <c r="I70" s="2">
        <f>1/15 - 0.5/15</f>
        <v>3.3333333333333333E-2</v>
      </c>
      <c r="J70" s="2">
        <f t="shared" ref="J70:J84" si="8">4.91*(I70^0.14-(1-I70)^0.14)</f>
        <v>-1.836858897688687</v>
      </c>
    </row>
    <row r="71" spans="1:10" x14ac:dyDescent="0.3">
      <c r="A71" s="4">
        <v>4.3741829120632E-2</v>
      </c>
      <c r="H71" s="4">
        <v>4.2408515727125E-2</v>
      </c>
      <c r="I71" s="2">
        <f t="shared" ref="I71:I84" si="9">I70+1/15</f>
        <v>0.1</v>
      </c>
      <c r="J71" s="2">
        <f t="shared" si="8"/>
        <v>-1.2811261510381207</v>
      </c>
    </row>
    <row r="72" spans="1:10" x14ac:dyDescent="0.3">
      <c r="A72" s="4">
        <v>4.2634492260343E-2</v>
      </c>
      <c r="C72" s="3" t="s">
        <v>7</v>
      </c>
      <c r="E72" s="1" t="s">
        <v>8</v>
      </c>
      <c r="H72" s="4">
        <v>4.2634492260343E-2</v>
      </c>
      <c r="I72" s="2">
        <f t="shared" si="9"/>
        <v>0.16666666666666669</v>
      </c>
      <c r="J72" s="2">
        <f t="shared" si="8"/>
        <v>-0.96558119772402384</v>
      </c>
    </row>
    <row r="73" spans="1:10" x14ac:dyDescent="0.3">
      <c r="A73" s="4">
        <v>4.2664176793552E-2</v>
      </c>
      <c r="C73" s="5">
        <f>MEDIAN(A70:A84)</f>
        <v>4.3284549947391997E-2</v>
      </c>
      <c r="E73" s="2">
        <v>2.145</v>
      </c>
      <c r="H73" s="4">
        <v>4.2664176793552E-2</v>
      </c>
      <c r="I73" s="2">
        <f t="shared" si="9"/>
        <v>0.23333333333333334</v>
      </c>
      <c r="J73" s="2">
        <f t="shared" si="8"/>
        <v>-0.72575040815577163</v>
      </c>
    </row>
    <row r="74" spans="1:10" x14ac:dyDescent="0.3">
      <c r="A74" s="4">
        <v>4.4090835494419001E-2</v>
      </c>
      <c r="H74" s="4">
        <v>4.2903195701750003E-2</v>
      </c>
      <c r="I74" s="2">
        <f t="shared" si="9"/>
        <v>0.3</v>
      </c>
      <c r="J74" s="2">
        <f t="shared" si="8"/>
        <v>-0.52246305252576009</v>
      </c>
    </row>
    <row r="75" spans="1:10" x14ac:dyDescent="0.3">
      <c r="A75" s="4">
        <v>4.4483280661943E-2</v>
      </c>
      <c r="C75" s="3"/>
      <c r="D75" s="1" t="s">
        <v>9</v>
      </c>
      <c r="H75" s="4">
        <v>4.2958739710112999E-2</v>
      </c>
      <c r="I75" s="2">
        <f t="shared" si="9"/>
        <v>0.36666666666666664</v>
      </c>
      <c r="J75" s="2">
        <f t="shared" si="8"/>
        <v>-0.33927638280750583</v>
      </c>
    </row>
    <row r="76" spans="1:10" x14ac:dyDescent="0.3">
      <c r="A76" s="4">
        <v>4.3284549947391997E-2</v>
      </c>
      <c r="C76" s="3" t="s">
        <v>10</v>
      </c>
      <c r="D76" s="2">
        <f>C70+E73*SQRT(D70)/(SQRT(15))</f>
        <v>4.3716402889612989E-2</v>
      </c>
      <c r="H76" s="4">
        <v>4.3236024839981999E-2</v>
      </c>
      <c r="I76" s="2">
        <f t="shared" si="9"/>
        <v>0.43333333333333329</v>
      </c>
      <c r="J76" s="2">
        <f t="shared" si="8"/>
        <v>-0.16715058832373922</v>
      </c>
    </row>
    <row r="77" spans="1:10" x14ac:dyDescent="0.3">
      <c r="A77" s="4">
        <v>4.3450682933815002E-2</v>
      </c>
      <c r="C77" s="3" t="s">
        <v>11</v>
      </c>
      <c r="D77" s="2">
        <f>C70-E73*SQRT(D70)/(SQRT(15))</f>
        <v>4.2943505072024345E-2</v>
      </c>
      <c r="H77" s="4">
        <v>4.3284549947391997E-2</v>
      </c>
      <c r="I77" s="2">
        <f t="shared" si="9"/>
        <v>0.49999999999999994</v>
      </c>
      <c r="J77" s="2">
        <f t="shared" si="8"/>
        <v>0</v>
      </c>
    </row>
    <row r="78" spans="1:10" x14ac:dyDescent="0.3">
      <c r="A78" s="4">
        <v>4.3684882518703998E-2</v>
      </c>
      <c r="H78" s="4">
        <v>4.3450682933815002E-2</v>
      </c>
      <c r="I78" s="2">
        <f t="shared" si="9"/>
        <v>0.56666666666666665</v>
      </c>
      <c r="J78" s="2">
        <f t="shared" si="8"/>
        <v>0.16715058832373922</v>
      </c>
    </row>
    <row r="79" spans="1:10" x14ac:dyDescent="0.3">
      <c r="A79" s="4">
        <v>4.3236024839981999E-2</v>
      </c>
      <c r="H79" s="4">
        <v>4.3641864275377001E-2</v>
      </c>
      <c r="I79" s="2">
        <f t="shared" si="9"/>
        <v>0.6333333333333333</v>
      </c>
      <c r="J79" s="2">
        <f t="shared" si="8"/>
        <v>0.33927638280750583</v>
      </c>
    </row>
    <row r="80" spans="1:10" x14ac:dyDescent="0.3">
      <c r="A80" s="4">
        <v>4.2958739710112999E-2</v>
      </c>
      <c r="H80" s="4">
        <v>4.3684882518703998E-2</v>
      </c>
      <c r="I80" s="2">
        <f t="shared" si="9"/>
        <v>0.7</v>
      </c>
      <c r="J80" s="2">
        <f t="shared" si="8"/>
        <v>0.52246305252576009</v>
      </c>
    </row>
    <row r="81" spans="1:10" x14ac:dyDescent="0.3">
      <c r="A81" s="4">
        <v>4.2408515727125E-2</v>
      </c>
      <c r="H81" s="4">
        <v>4.3741829120632E-2</v>
      </c>
      <c r="I81" s="2">
        <f t="shared" si="9"/>
        <v>0.76666666666666661</v>
      </c>
      <c r="J81" s="2">
        <f t="shared" si="8"/>
        <v>0.72575040815577163</v>
      </c>
    </row>
    <row r="82" spans="1:10" x14ac:dyDescent="0.3">
      <c r="A82" s="4">
        <v>4.3641864275377001E-2</v>
      </c>
      <c r="H82" s="4">
        <v>4.4090835494419001E-2</v>
      </c>
      <c r="I82" s="2">
        <f t="shared" si="9"/>
        <v>0.83333333333333326</v>
      </c>
      <c r="J82" s="2">
        <f t="shared" si="8"/>
        <v>0.96558119772402329</v>
      </c>
    </row>
    <row r="83" spans="1:10" x14ac:dyDescent="0.3">
      <c r="A83" s="4">
        <v>4.2903195701750003E-2</v>
      </c>
      <c r="H83" s="4">
        <v>4.4475659547505E-2</v>
      </c>
      <c r="I83" s="2">
        <f t="shared" si="9"/>
        <v>0.89999999999999991</v>
      </c>
      <c r="J83" s="2">
        <f t="shared" si="8"/>
        <v>1.2811261510381207</v>
      </c>
    </row>
    <row r="84" spans="1:10" x14ac:dyDescent="0.3">
      <c r="A84" s="4">
        <v>4.4475659547505E-2</v>
      </c>
      <c r="H84" s="4">
        <v>4.4483280661943E-2</v>
      </c>
      <c r="I84" s="2">
        <f t="shared" si="9"/>
        <v>0.96666666666666656</v>
      </c>
      <c r="J84" s="2">
        <f t="shared" si="8"/>
        <v>1.8368588976886859</v>
      </c>
    </row>
    <row r="85" spans="1:10" s="6" customFormat="1" ht="4.5" customHeight="1" x14ac:dyDescent="0.3">
      <c r="C85" s="7"/>
    </row>
    <row r="86" spans="1:10" x14ac:dyDescent="0.3">
      <c r="A86" s="1" t="s">
        <v>16</v>
      </c>
      <c r="C86" s="3" t="s">
        <v>1</v>
      </c>
      <c r="D86" s="1" t="s">
        <v>2</v>
      </c>
      <c r="E86" s="1" t="s">
        <v>3</v>
      </c>
      <c r="F86" s="1"/>
      <c r="H86" s="1" t="s">
        <v>4</v>
      </c>
      <c r="I86" s="1" t="s">
        <v>5</v>
      </c>
      <c r="J86" s="1" t="s">
        <v>6</v>
      </c>
    </row>
    <row r="87" spans="1:10" x14ac:dyDescent="0.3">
      <c r="A87" s="9">
        <v>4.8803670035976E-2</v>
      </c>
      <c r="C87" s="5">
        <f>AVERAGE(A87:A101)</f>
        <v>4.9786187808653737E-2</v>
      </c>
      <c r="D87" s="2">
        <f>_xlfn.VAR.S(A87:A101)</f>
        <v>8.1915512833705261E-7</v>
      </c>
      <c r="E87" s="2">
        <f>SQRT(D87)/C87</f>
        <v>1.8179176415996E-2</v>
      </c>
      <c r="H87" s="9">
        <v>4.8527030580472003E-2</v>
      </c>
      <c r="I87" s="2">
        <f>1/15 - 0.5/15</f>
        <v>3.3333333333333333E-2</v>
      </c>
      <c r="J87" s="2">
        <f t="shared" ref="J87:J101" si="10">4.91*(I87^0.14-(1-I87)^0.14)</f>
        <v>-1.836858897688687</v>
      </c>
    </row>
    <row r="88" spans="1:10" x14ac:dyDescent="0.3">
      <c r="A88" s="9">
        <v>4.9876324631463999E-2</v>
      </c>
      <c r="H88" s="9">
        <v>4.8738383373391002E-2</v>
      </c>
      <c r="I88" s="2">
        <f t="shared" ref="I88:I101" si="11">I87+1/15</f>
        <v>0.1</v>
      </c>
      <c r="J88" s="2">
        <f t="shared" si="10"/>
        <v>-1.2811261510381207</v>
      </c>
    </row>
    <row r="89" spans="1:10" x14ac:dyDescent="0.3">
      <c r="A89" s="9">
        <v>4.8916838068469998E-2</v>
      </c>
      <c r="C89" s="3" t="s">
        <v>7</v>
      </c>
      <c r="E89" s="1" t="s">
        <v>8</v>
      </c>
      <c r="H89" s="9">
        <v>4.8803670035976E-2</v>
      </c>
      <c r="I89" s="2">
        <f t="shared" si="11"/>
        <v>0.16666666666666669</v>
      </c>
      <c r="J89" s="2">
        <f t="shared" si="10"/>
        <v>-0.96558119772402384</v>
      </c>
    </row>
    <row r="90" spans="1:10" x14ac:dyDescent="0.3">
      <c r="A90" s="9">
        <v>4.8738383373391002E-2</v>
      </c>
      <c r="C90" s="5">
        <f>MEDIAN(A87:A101)</f>
        <v>4.9693291360324E-2</v>
      </c>
      <c r="E90" s="2">
        <v>2.145</v>
      </c>
      <c r="H90" s="9">
        <v>4.8916838068469998E-2</v>
      </c>
      <c r="I90" s="2">
        <f t="shared" si="11"/>
        <v>0.23333333333333334</v>
      </c>
      <c r="J90" s="2">
        <f t="shared" si="10"/>
        <v>-0.72575040815577163</v>
      </c>
    </row>
    <row r="91" spans="1:10" x14ac:dyDescent="0.3">
      <c r="A91" s="9">
        <v>5.0658959854203003E-2</v>
      </c>
      <c r="H91" s="9">
        <v>4.9126010279038998E-2</v>
      </c>
      <c r="I91" s="2">
        <f t="shared" si="11"/>
        <v>0.3</v>
      </c>
      <c r="J91" s="2">
        <f t="shared" si="10"/>
        <v>-0.52246305252576009</v>
      </c>
    </row>
    <row r="92" spans="1:10" x14ac:dyDescent="0.3">
      <c r="A92" s="9">
        <v>5.161566331563E-2</v>
      </c>
      <c r="C92" s="3"/>
      <c r="D92" s="1" t="s">
        <v>9</v>
      </c>
      <c r="H92" s="9">
        <v>4.9608755332598002E-2</v>
      </c>
      <c r="I92" s="2">
        <f t="shared" si="11"/>
        <v>0.36666666666666664</v>
      </c>
      <c r="J92" s="2">
        <f t="shared" si="10"/>
        <v>-0.33927638280750583</v>
      </c>
    </row>
    <row r="93" spans="1:10" x14ac:dyDescent="0.3">
      <c r="A93" s="9">
        <v>4.9693291360324E-2</v>
      </c>
      <c r="C93" s="3" t="s">
        <v>10</v>
      </c>
      <c r="D93" s="2">
        <f>C87+E90*SQRT(D87)/(SQRT(15))</f>
        <v>5.0287449764411865E-2</v>
      </c>
      <c r="H93" s="9">
        <v>4.9660771746301999E-2</v>
      </c>
      <c r="I93" s="2">
        <f t="shared" si="11"/>
        <v>0.43333333333333329</v>
      </c>
      <c r="J93" s="2">
        <f t="shared" si="10"/>
        <v>-0.16715058832373922</v>
      </c>
    </row>
    <row r="94" spans="1:10" x14ac:dyDescent="0.3">
      <c r="A94" s="9">
        <v>4.9949315484817E-2</v>
      </c>
      <c r="C94" s="3" t="s">
        <v>11</v>
      </c>
      <c r="D94" s="2">
        <f>C87-E90*SQRT(D87)/(SQRT(15))</f>
        <v>4.9284925852895609E-2</v>
      </c>
      <c r="H94" s="9">
        <v>4.9693291360324E-2</v>
      </c>
      <c r="I94" s="2">
        <f t="shared" si="11"/>
        <v>0.49999999999999994</v>
      </c>
      <c r="J94" s="2">
        <f t="shared" si="10"/>
        <v>0</v>
      </c>
    </row>
    <row r="95" spans="1:10" x14ac:dyDescent="0.3">
      <c r="A95" s="9">
        <v>5.0311959682578997E-2</v>
      </c>
      <c r="H95" s="9">
        <v>4.9876324631463999E-2</v>
      </c>
      <c r="I95" s="2">
        <f t="shared" si="11"/>
        <v>0.56666666666666665</v>
      </c>
      <c r="J95" s="2">
        <f t="shared" si="10"/>
        <v>0.16715058832373922</v>
      </c>
    </row>
    <row r="96" spans="1:10" x14ac:dyDescent="0.3">
      <c r="A96" s="9">
        <v>4.9126010279038998E-2</v>
      </c>
      <c r="H96" s="9">
        <v>4.9949315484817E-2</v>
      </c>
      <c r="I96" s="2">
        <f t="shared" si="11"/>
        <v>0.6333333333333333</v>
      </c>
      <c r="J96" s="2">
        <f t="shared" si="10"/>
        <v>0.33927638280750583</v>
      </c>
    </row>
    <row r="97" spans="1:10" x14ac:dyDescent="0.3">
      <c r="A97" s="9">
        <v>4.9608755332598002E-2</v>
      </c>
      <c r="H97" s="9">
        <v>5.0082975762197002E-2</v>
      </c>
      <c r="I97" s="2">
        <f t="shared" si="11"/>
        <v>0.7</v>
      </c>
      <c r="J97" s="2">
        <f t="shared" si="10"/>
        <v>0.52246305252576009</v>
      </c>
    </row>
    <row r="98" spans="1:10" x14ac:dyDescent="0.3">
      <c r="A98" s="9">
        <v>4.8527030580472003E-2</v>
      </c>
      <c r="H98" s="9">
        <v>5.0311959682578997E-2</v>
      </c>
      <c r="I98" s="2">
        <f t="shared" si="11"/>
        <v>0.76666666666666661</v>
      </c>
      <c r="J98" s="2">
        <f t="shared" si="10"/>
        <v>0.72575040815577163</v>
      </c>
    </row>
    <row r="99" spans="1:10" x14ac:dyDescent="0.3">
      <c r="A99" s="9">
        <v>5.0082975762197002E-2</v>
      </c>
      <c r="H99" s="9">
        <v>5.0658959854203003E-2</v>
      </c>
      <c r="I99" s="2">
        <f t="shared" si="11"/>
        <v>0.83333333333333326</v>
      </c>
      <c r="J99" s="2">
        <f t="shared" si="10"/>
        <v>0.96558119772402329</v>
      </c>
    </row>
    <row r="100" spans="1:10" x14ac:dyDescent="0.3">
      <c r="A100" s="9">
        <v>4.9660771746301999E-2</v>
      </c>
      <c r="H100" s="9">
        <v>5.1222867622344001E-2</v>
      </c>
      <c r="I100" s="2">
        <f t="shared" si="11"/>
        <v>0.89999999999999991</v>
      </c>
      <c r="J100" s="2">
        <f t="shared" si="10"/>
        <v>1.2811261510381207</v>
      </c>
    </row>
    <row r="101" spans="1:10" x14ac:dyDescent="0.3">
      <c r="A101" s="9">
        <v>5.1222867622344001E-2</v>
      </c>
      <c r="H101" s="9">
        <v>5.161566331563E-2</v>
      </c>
      <c r="I101" s="2">
        <f t="shared" si="11"/>
        <v>0.96666666666666656</v>
      </c>
      <c r="J101" s="2">
        <f t="shared" si="10"/>
        <v>1.8368588976886859</v>
      </c>
    </row>
    <row r="102" spans="1:10" s="6" customFormat="1" ht="4.5" customHeight="1" x14ac:dyDescent="0.3">
      <c r="C102" s="7"/>
    </row>
    <row r="103" spans="1:10" x14ac:dyDescent="0.3">
      <c r="A103" s="1" t="s">
        <v>17</v>
      </c>
      <c r="C103" s="3" t="s">
        <v>1</v>
      </c>
      <c r="D103" s="1" t="s">
        <v>2</v>
      </c>
      <c r="E103" s="1" t="s">
        <v>3</v>
      </c>
      <c r="F103" s="1"/>
      <c r="H103" s="1" t="s">
        <v>4</v>
      </c>
      <c r="I103" s="1" t="s">
        <v>5</v>
      </c>
      <c r="J103" s="1" t="s">
        <v>6</v>
      </c>
    </row>
    <row r="104" spans="1:10" x14ac:dyDescent="0.3">
      <c r="A104" s="4">
        <v>5.5108862834506001E-2</v>
      </c>
      <c r="C104" s="5">
        <f>AVERAGE(A104:A118)</f>
        <v>5.7010257620044795E-2</v>
      </c>
      <c r="D104" s="2">
        <f>_xlfn.VAR.S(A104:A118)</f>
        <v>1.5561823864365181E-6</v>
      </c>
      <c r="E104" s="2">
        <f>SQRT(D104)/C104</f>
        <v>2.1881507768795678E-2</v>
      </c>
      <c r="H104" s="4">
        <v>5.5108862834506001E-2</v>
      </c>
      <c r="I104" s="2">
        <f>1/15 - 0.5/15</f>
        <v>3.3333333333333333E-2</v>
      </c>
      <c r="J104" s="2">
        <f t="shared" ref="J104:J118" si="12">4.91*(I104^0.14-(1-I104)^0.14)</f>
        <v>-1.836858897688687</v>
      </c>
    </row>
    <row r="105" spans="1:10" x14ac:dyDescent="0.3">
      <c r="A105" s="4">
        <v>5.7283840578483999E-2</v>
      </c>
      <c r="H105" s="4">
        <v>5.5522409195079003E-2</v>
      </c>
      <c r="I105" s="2">
        <f t="shared" ref="I105:I118" si="13">I104+1/15</f>
        <v>0.1</v>
      </c>
      <c r="J105" s="2">
        <f t="shared" si="12"/>
        <v>-1.2811261510381207</v>
      </c>
    </row>
    <row r="106" spans="1:10" x14ac:dyDescent="0.3">
      <c r="A106" s="4">
        <v>5.5932117979423997E-2</v>
      </c>
      <c r="C106" s="3" t="s">
        <v>7</v>
      </c>
      <c r="E106" s="1" t="s">
        <v>8</v>
      </c>
      <c r="H106" s="4">
        <v>5.5932117979423997E-2</v>
      </c>
      <c r="I106" s="2">
        <f t="shared" si="13"/>
        <v>0.16666666666666669</v>
      </c>
      <c r="J106" s="2">
        <f t="shared" si="12"/>
        <v>-0.96558119772402384</v>
      </c>
    </row>
    <row r="107" spans="1:10" x14ac:dyDescent="0.3">
      <c r="A107" s="4">
        <v>5.6191831657258003E-2</v>
      </c>
      <c r="C107" s="5">
        <f>MEDIAN(A104:A118)</f>
        <v>5.6989056531220002E-2</v>
      </c>
      <c r="E107" s="2">
        <v>2.145</v>
      </c>
      <c r="H107" s="4">
        <v>5.6084204779926997E-2</v>
      </c>
      <c r="I107" s="2">
        <f t="shared" si="13"/>
        <v>0.23333333333333334</v>
      </c>
      <c r="J107" s="2">
        <f t="shared" si="12"/>
        <v>-0.72575040815577163</v>
      </c>
    </row>
    <row r="108" spans="1:10" x14ac:dyDescent="0.3">
      <c r="A108" s="4">
        <v>5.8248326494383003E-2</v>
      </c>
      <c r="H108" s="4">
        <v>5.6191831657258003E-2</v>
      </c>
      <c r="I108" s="2">
        <f t="shared" si="13"/>
        <v>0.3</v>
      </c>
      <c r="J108" s="2">
        <f t="shared" si="12"/>
        <v>-0.52246305252576009</v>
      </c>
    </row>
    <row r="109" spans="1:10" x14ac:dyDescent="0.3">
      <c r="A109" s="4">
        <v>5.9503147404544002E-2</v>
      </c>
      <c r="C109" s="3"/>
      <c r="D109" s="1" t="s">
        <v>9</v>
      </c>
      <c r="H109" s="4">
        <v>5.6482425899802999E-2</v>
      </c>
      <c r="I109" s="2">
        <f t="shared" si="13"/>
        <v>0.36666666666666664</v>
      </c>
      <c r="J109" s="2">
        <f t="shared" si="12"/>
        <v>-0.33927638280750583</v>
      </c>
    </row>
    <row r="110" spans="1:10" x14ac:dyDescent="0.3">
      <c r="A110" s="4">
        <v>5.7009532270343999E-2</v>
      </c>
      <c r="C110" s="3" t="s">
        <v>10</v>
      </c>
      <c r="D110" s="2">
        <f>C104+E107*SQRT(D104)/(SQRT(15))</f>
        <v>5.7701152405307793E-2</v>
      </c>
      <c r="H110" s="4">
        <v>5.6490625601990002E-2</v>
      </c>
      <c r="I110" s="2">
        <f t="shared" si="13"/>
        <v>0.43333333333333329</v>
      </c>
      <c r="J110" s="2">
        <f t="shared" si="12"/>
        <v>-0.16715058832373922</v>
      </c>
    </row>
    <row r="111" spans="1:10" x14ac:dyDescent="0.3">
      <c r="A111" s="4">
        <v>5.7513098434307998E-2</v>
      </c>
      <c r="C111" s="3" t="s">
        <v>11</v>
      </c>
      <c r="D111" s="2">
        <f>C104-E107*SQRT(D104)/(SQRT(15))</f>
        <v>5.6319362834781797E-2</v>
      </c>
      <c r="H111" s="4">
        <v>5.6989056531220002E-2</v>
      </c>
      <c r="I111" s="2">
        <f t="shared" si="13"/>
        <v>0.49999999999999994</v>
      </c>
      <c r="J111" s="2">
        <f t="shared" si="12"/>
        <v>0</v>
      </c>
    </row>
    <row r="112" spans="1:10" x14ac:dyDescent="0.3">
      <c r="A112" s="4">
        <v>5.7766114546550999E-2</v>
      </c>
      <c r="H112" s="4">
        <v>5.7009532270343999E-2</v>
      </c>
      <c r="I112" s="2">
        <f t="shared" si="13"/>
        <v>0.56666666666666665</v>
      </c>
      <c r="J112" s="2">
        <f t="shared" si="12"/>
        <v>0.16715058832373922</v>
      </c>
    </row>
    <row r="113" spans="1:10" x14ac:dyDescent="0.3">
      <c r="A113" s="4">
        <v>5.6490625601990002E-2</v>
      </c>
      <c r="H113" s="4">
        <v>5.7283840578483999E-2</v>
      </c>
      <c r="I113" s="2">
        <f t="shared" si="13"/>
        <v>0.6333333333333333</v>
      </c>
      <c r="J113" s="2">
        <f t="shared" si="12"/>
        <v>0.33927638280750583</v>
      </c>
    </row>
    <row r="114" spans="1:10" x14ac:dyDescent="0.3">
      <c r="A114" s="4">
        <v>5.6482425899802999E-2</v>
      </c>
      <c r="H114" s="4">
        <v>5.7513098434307998E-2</v>
      </c>
      <c r="I114" s="2">
        <f t="shared" si="13"/>
        <v>0.7</v>
      </c>
      <c r="J114" s="2">
        <f t="shared" si="12"/>
        <v>0.52246305252576009</v>
      </c>
    </row>
    <row r="115" spans="1:10" x14ac:dyDescent="0.3">
      <c r="A115" s="4">
        <v>5.5522409195079003E-2</v>
      </c>
      <c r="H115" s="4">
        <v>5.7766114546550999E-2</v>
      </c>
      <c r="I115" s="2">
        <f t="shared" si="13"/>
        <v>0.76666666666666661</v>
      </c>
      <c r="J115" s="2">
        <f t="shared" si="12"/>
        <v>0.72575040815577163</v>
      </c>
    </row>
    <row r="116" spans="1:10" x14ac:dyDescent="0.3">
      <c r="A116" s="4">
        <v>5.6989056531220002E-2</v>
      </c>
      <c r="H116" s="4">
        <v>5.8248326494383003E-2</v>
      </c>
      <c r="I116" s="2">
        <f t="shared" si="13"/>
        <v>0.83333333333333326</v>
      </c>
      <c r="J116" s="2">
        <f t="shared" si="12"/>
        <v>0.96558119772402329</v>
      </c>
    </row>
    <row r="117" spans="1:10" x14ac:dyDescent="0.3">
      <c r="A117" s="4">
        <v>5.6084204779926997E-2</v>
      </c>
      <c r="H117" s="4">
        <v>5.9028270092850998E-2</v>
      </c>
      <c r="I117" s="2">
        <f t="shared" si="13"/>
        <v>0.89999999999999991</v>
      </c>
      <c r="J117" s="2">
        <f t="shared" si="12"/>
        <v>1.2811261510381207</v>
      </c>
    </row>
    <row r="118" spans="1:10" x14ac:dyDescent="0.3">
      <c r="A118" s="4">
        <v>5.9028270092850998E-2</v>
      </c>
      <c r="H118" s="4">
        <v>5.9503147404544002E-2</v>
      </c>
      <c r="I118" s="2">
        <f t="shared" si="13"/>
        <v>0.96666666666666656</v>
      </c>
      <c r="J118" s="2">
        <f t="shared" si="12"/>
        <v>1.8368588976886859</v>
      </c>
    </row>
    <row r="119" spans="1:10" s="6" customFormat="1" ht="3.75" customHeight="1" x14ac:dyDescent="0.3">
      <c r="C119" s="7"/>
    </row>
    <row r="120" spans="1:10" x14ac:dyDescent="0.3">
      <c r="A120" s="1" t="s">
        <v>18</v>
      </c>
      <c r="C120" s="3" t="s">
        <v>1</v>
      </c>
      <c r="D120" s="1" t="s">
        <v>2</v>
      </c>
      <c r="E120" s="1" t="s">
        <v>3</v>
      </c>
      <c r="F120" s="1"/>
      <c r="H120" s="1" t="s">
        <v>4</v>
      </c>
      <c r="I120" s="1" t="s">
        <v>5</v>
      </c>
      <c r="J120" s="1" t="s">
        <v>6</v>
      </c>
    </row>
    <row r="121" spans="1:10" x14ac:dyDescent="0.3">
      <c r="A121" s="4">
        <v>6.3546288286616001E-2</v>
      </c>
      <c r="C121" s="5">
        <f>AVERAGE(A121:A135)</f>
        <v>6.5205432449581394E-2</v>
      </c>
      <c r="D121" s="2">
        <f>_xlfn.VAR.S(A121:A135)</f>
        <v>2.0728322040316784E-6</v>
      </c>
      <c r="E121" s="2">
        <f>SQRT(D121)/C121</f>
        <v>2.207996060156639E-2</v>
      </c>
      <c r="H121" s="4">
        <v>6.3192315417425995E-2</v>
      </c>
      <c r="I121" s="2">
        <f>1/15 - 0.5/15</f>
        <v>3.3333333333333333E-2</v>
      </c>
      <c r="J121" s="2">
        <f t="shared" ref="J121:J135" si="14">4.91*(I121^0.14-(1-I121)^0.14)</f>
        <v>-1.836858897688687</v>
      </c>
    </row>
    <row r="122" spans="1:10" x14ac:dyDescent="0.3">
      <c r="A122" s="4">
        <v>6.5168964138144006E-2</v>
      </c>
      <c r="H122" s="4">
        <v>6.3546288286616001E-2</v>
      </c>
      <c r="I122" s="2">
        <f t="shared" ref="I122:I135" si="15">I121+1/15</f>
        <v>0.1</v>
      </c>
      <c r="J122" s="2">
        <f t="shared" si="14"/>
        <v>-1.2811261510381207</v>
      </c>
    </row>
    <row r="123" spans="1:10" x14ac:dyDescent="0.3">
      <c r="A123" s="4">
        <v>6.3192315417425995E-2</v>
      </c>
      <c r="C123" s="3" t="s">
        <v>7</v>
      </c>
      <c r="E123" s="1" t="s">
        <v>8</v>
      </c>
      <c r="H123" s="4">
        <v>6.3658449360848995E-2</v>
      </c>
      <c r="I123" s="2">
        <f t="shared" si="15"/>
        <v>0.16666666666666669</v>
      </c>
      <c r="J123" s="2">
        <f t="shared" si="14"/>
        <v>-0.96558119772402384</v>
      </c>
    </row>
    <row r="124" spans="1:10" x14ac:dyDescent="0.3">
      <c r="A124" s="4">
        <v>6.3658449360848995E-2</v>
      </c>
      <c r="C124" s="5">
        <f>MEDIAN(A121:A135)</f>
        <v>6.5168964138144006E-2</v>
      </c>
      <c r="E124" s="2">
        <v>2.145</v>
      </c>
      <c r="H124" s="4">
        <v>6.4155541240581995E-2</v>
      </c>
      <c r="I124" s="2">
        <f t="shared" si="15"/>
        <v>0.23333333333333334</v>
      </c>
      <c r="J124" s="2">
        <f t="shared" si="14"/>
        <v>-0.72575040815577163</v>
      </c>
    </row>
    <row r="125" spans="1:10" x14ac:dyDescent="0.3">
      <c r="A125" s="4">
        <v>6.5784729108733994E-2</v>
      </c>
      <c r="H125" s="4">
        <v>6.4219505773213004E-2</v>
      </c>
      <c r="I125" s="2">
        <f t="shared" si="15"/>
        <v>0.3</v>
      </c>
      <c r="J125" s="2">
        <f t="shared" si="14"/>
        <v>-0.52246305252576009</v>
      </c>
    </row>
    <row r="126" spans="1:10" x14ac:dyDescent="0.3">
      <c r="A126" s="4">
        <v>6.8130402415583005E-2</v>
      </c>
      <c r="C126" s="3"/>
      <c r="D126" s="1" t="s">
        <v>9</v>
      </c>
      <c r="H126" s="4">
        <v>6.4467014767740999E-2</v>
      </c>
      <c r="I126" s="2">
        <f t="shared" si="15"/>
        <v>0.36666666666666664</v>
      </c>
      <c r="J126" s="2">
        <f t="shared" si="14"/>
        <v>-0.33927638280750583</v>
      </c>
    </row>
    <row r="127" spans="1:10" x14ac:dyDescent="0.3">
      <c r="A127" s="4">
        <v>6.5683243570583E-2</v>
      </c>
      <c r="C127" s="3" t="s">
        <v>10</v>
      </c>
      <c r="D127" s="2">
        <f>C121+E124*SQRT(D121)/(SQRT(15))</f>
        <v>6.6002809516033434E-2</v>
      </c>
      <c r="H127" s="4">
        <v>6.4768264343205997E-2</v>
      </c>
      <c r="I127" s="2">
        <f t="shared" si="15"/>
        <v>0.43333333333333329</v>
      </c>
      <c r="J127" s="2">
        <f t="shared" si="14"/>
        <v>-0.16715058832373922</v>
      </c>
    </row>
    <row r="128" spans="1:10" x14ac:dyDescent="0.3">
      <c r="A128" s="4">
        <v>6.6194949785436996E-2</v>
      </c>
      <c r="C128" s="3" t="s">
        <v>11</v>
      </c>
      <c r="D128" s="2">
        <f>C121-E124*SQRT(D121)/(SQRT(15))</f>
        <v>6.4408055383129353E-2</v>
      </c>
      <c r="H128" s="4">
        <v>6.5168964138144006E-2</v>
      </c>
      <c r="I128" s="2">
        <f t="shared" si="15"/>
        <v>0.49999999999999994</v>
      </c>
      <c r="J128" s="2">
        <f t="shared" si="14"/>
        <v>0</v>
      </c>
    </row>
    <row r="129" spans="1:10" x14ac:dyDescent="0.3">
      <c r="A129" s="4">
        <v>6.5936092746607E-2</v>
      </c>
      <c r="H129" s="4">
        <v>6.5457710066588001E-2</v>
      </c>
      <c r="I129" s="2">
        <f t="shared" si="15"/>
        <v>0.56666666666666665</v>
      </c>
      <c r="J129" s="2">
        <f t="shared" si="14"/>
        <v>0.16715058832373922</v>
      </c>
    </row>
    <row r="130" spans="1:10" x14ac:dyDescent="0.3">
      <c r="A130" s="4">
        <v>6.4768264343205997E-2</v>
      </c>
      <c r="H130" s="4">
        <v>6.5683243570583E-2</v>
      </c>
      <c r="I130" s="2">
        <f t="shared" si="15"/>
        <v>0.6333333333333333</v>
      </c>
      <c r="J130" s="2">
        <f t="shared" si="14"/>
        <v>0.33927638280750583</v>
      </c>
    </row>
    <row r="131" spans="1:10" x14ac:dyDescent="0.3">
      <c r="A131" s="4">
        <v>6.4467014767740999E-2</v>
      </c>
      <c r="H131" s="4">
        <v>6.5784729108733994E-2</v>
      </c>
      <c r="I131" s="2">
        <f t="shared" si="15"/>
        <v>0.7</v>
      </c>
      <c r="J131" s="2">
        <f t="shared" si="14"/>
        <v>0.52246305252576009</v>
      </c>
    </row>
    <row r="132" spans="1:10" x14ac:dyDescent="0.3">
      <c r="A132" s="4">
        <v>6.4219505773213004E-2</v>
      </c>
      <c r="H132" s="4">
        <v>6.5936092746607E-2</v>
      </c>
      <c r="I132" s="2">
        <f t="shared" si="15"/>
        <v>0.76666666666666661</v>
      </c>
      <c r="J132" s="2">
        <f t="shared" si="14"/>
        <v>0.72575040815577163</v>
      </c>
    </row>
    <row r="133" spans="1:10" x14ac:dyDescent="0.3">
      <c r="A133" s="4">
        <v>6.5457710066588001E-2</v>
      </c>
      <c r="H133" s="4">
        <v>6.6194949785436996E-2</v>
      </c>
      <c r="I133" s="2">
        <f t="shared" si="15"/>
        <v>0.83333333333333326</v>
      </c>
      <c r="J133" s="2">
        <f t="shared" si="14"/>
        <v>0.96558119772402329</v>
      </c>
    </row>
    <row r="134" spans="1:10" x14ac:dyDescent="0.3">
      <c r="A134" s="4">
        <v>6.4155541240581995E-2</v>
      </c>
      <c r="H134" s="4">
        <v>6.7718015722411998E-2</v>
      </c>
      <c r="I134" s="2">
        <f t="shared" si="15"/>
        <v>0.89999999999999991</v>
      </c>
      <c r="J134" s="2">
        <f t="shared" si="14"/>
        <v>1.2811261510381207</v>
      </c>
    </row>
    <row r="135" spans="1:10" x14ac:dyDescent="0.3">
      <c r="A135" s="4">
        <v>6.7718015722411998E-2</v>
      </c>
      <c r="H135" s="4">
        <v>6.8130402415583005E-2</v>
      </c>
      <c r="I135" s="2">
        <f t="shared" si="15"/>
        <v>0.96666666666666656</v>
      </c>
      <c r="J135" s="2">
        <f t="shared" si="14"/>
        <v>1.8368588976886859</v>
      </c>
    </row>
    <row r="136" spans="1:10" s="6" customFormat="1" ht="4.5" customHeight="1" x14ac:dyDescent="0.3">
      <c r="C136" s="7"/>
    </row>
    <row r="137" spans="1:10" x14ac:dyDescent="0.3">
      <c r="A137" s="1" t="s">
        <v>19</v>
      </c>
      <c r="C137" s="3" t="s">
        <v>1</v>
      </c>
      <c r="D137" s="1" t="s">
        <v>2</v>
      </c>
      <c r="E137" s="1" t="s">
        <v>3</v>
      </c>
      <c r="F137" s="1"/>
      <c r="H137" s="1" t="s">
        <v>4</v>
      </c>
      <c r="I137" s="1" t="s">
        <v>5</v>
      </c>
      <c r="J137" s="1" t="s">
        <v>6</v>
      </c>
    </row>
    <row r="138" spans="1:10" x14ac:dyDescent="0.3">
      <c r="A138" s="4">
        <v>7.1481821254052003E-2</v>
      </c>
      <c r="C138" s="5">
        <f>AVERAGE(A138:A152)</f>
        <v>7.4405242378960804E-2</v>
      </c>
      <c r="D138" s="2">
        <f>_xlfn.VAR.S(A138:A152)</f>
        <v>3.4233511512238548E-6</v>
      </c>
      <c r="E138" s="2">
        <f>SQRT(D138)/C138</f>
        <v>2.4866930977082487E-2</v>
      </c>
      <c r="H138" s="4">
        <v>7.1481821254052003E-2</v>
      </c>
      <c r="I138" s="2">
        <f>1/15 - 0.5/15</f>
        <v>3.3333333333333333E-2</v>
      </c>
      <c r="J138" s="2">
        <f t="shared" ref="J138:J152" si="16">4.91*(I138^0.14-(1-I138)^0.14)</f>
        <v>-1.836858897688687</v>
      </c>
    </row>
    <row r="139" spans="1:10" x14ac:dyDescent="0.3">
      <c r="A139" s="4">
        <v>7.4482446897340002E-2</v>
      </c>
      <c r="H139" s="4">
        <v>7.2830369502478995E-2</v>
      </c>
      <c r="I139" s="2">
        <f t="shared" ref="I139:I152" si="17">I138+1/15</f>
        <v>0.1</v>
      </c>
      <c r="J139" s="2">
        <f t="shared" si="16"/>
        <v>-1.2811261510381207</v>
      </c>
    </row>
    <row r="140" spans="1:10" x14ac:dyDescent="0.3">
      <c r="A140" s="4">
        <v>7.2956635517451005E-2</v>
      </c>
      <c r="C140" s="3" t="s">
        <v>7</v>
      </c>
      <c r="E140" s="1" t="s">
        <v>8</v>
      </c>
      <c r="H140" s="4">
        <v>7.2956635517451005E-2</v>
      </c>
      <c r="I140" s="2">
        <f t="shared" si="17"/>
        <v>0.16666666666666669</v>
      </c>
      <c r="J140" s="2">
        <f t="shared" si="16"/>
        <v>-0.96558119772402384</v>
      </c>
    </row>
    <row r="141" spans="1:10" x14ac:dyDescent="0.3">
      <c r="A141" s="4">
        <v>7.2830369502478995E-2</v>
      </c>
      <c r="C141" s="5">
        <f>MEDIAN(A138:A152)</f>
        <v>7.4482446897340002E-2</v>
      </c>
      <c r="E141" s="2">
        <v>2.145</v>
      </c>
      <c r="H141" s="4">
        <v>7.3021614242451002E-2</v>
      </c>
      <c r="I141" s="2">
        <f t="shared" si="17"/>
        <v>0.23333333333333334</v>
      </c>
      <c r="J141" s="2">
        <f t="shared" si="16"/>
        <v>-0.72575040815577163</v>
      </c>
    </row>
    <row r="142" spans="1:10" x14ac:dyDescent="0.3">
      <c r="A142" s="4">
        <v>7.6295377174666001E-2</v>
      </c>
      <c r="H142" s="4">
        <v>7.3267602888991007E-2</v>
      </c>
      <c r="I142" s="2">
        <f t="shared" si="17"/>
        <v>0.3</v>
      </c>
      <c r="J142" s="2">
        <f t="shared" si="16"/>
        <v>-0.52246305252576009</v>
      </c>
    </row>
    <row r="143" spans="1:10" x14ac:dyDescent="0.3">
      <c r="A143" s="4">
        <v>7.8787096598403994E-2</v>
      </c>
      <c r="C143" s="3"/>
      <c r="D143" s="1" t="s">
        <v>9</v>
      </c>
      <c r="H143" s="4">
        <v>7.3376199430610994E-2</v>
      </c>
      <c r="I143" s="2">
        <f t="shared" si="17"/>
        <v>0.36666666666666664</v>
      </c>
      <c r="J143" s="2">
        <f t="shared" si="16"/>
        <v>-0.33927638280750583</v>
      </c>
    </row>
    <row r="144" spans="1:10" x14ac:dyDescent="0.3">
      <c r="A144" s="4">
        <v>7.4498628991925997E-2</v>
      </c>
      <c r="C144" s="3" t="s">
        <v>10</v>
      </c>
      <c r="D144" s="2">
        <f>C138+E141*SQRT(D138)/(SQRT(15))</f>
        <v>7.5429967520338065E-2</v>
      </c>
      <c r="H144" s="4">
        <v>7.3510480269672995E-2</v>
      </c>
      <c r="I144" s="2">
        <f t="shared" si="17"/>
        <v>0.43333333333333329</v>
      </c>
      <c r="J144" s="2">
        <f t="shared" si="16"/>
        <v>-0.16715058832373922</v>
      </c>
    </row>
    <row r="145" spans="1:10" x14ac:dyDescent="0.3">
      <c r="A145" s="4">
        <v>7.5428268934050996E-2</v>
      </c>
      <c r="C145" s="3" t="s">
        <v>11</v>
      </c>
      <c r="D145" s="2">
        <f>C138-E141*SQRT(D138)/(SQRT(15))</f>
        <v>7.3380517237583542E-2</v>
      </c>
      <c r="H145" s="4">
        <v>7.4482446897340002E-2</v>
      </c>
      <c r="I145" s="2">
        <f t="shared" si="17"/>
        <v>0.49999999999999994</v>
      </c>
      <c r="J145" s="2">
        <f t="shared" si="16"/>
        <v>0</v>
      </c>
    </row>
    <row r="146" spans="1:10" x14ac:dyDescent="0.3">
      <c r="A146" s="4">
        <v>7.4867626429295994E-2</v>
      </c>
      <c r="H146" s="4">
        <v>7.4486205088117E-2</v>
      </c>
      <c r="I146" s="2">
        <f t="shared" si="17"/>
        <v>0.56666666666666665</v>
      </c>
      <c r="J146" s="2">
        <f t="shared" si="16"/>
        <v>0.16715058832373922</v>
      </c>
    </row>
    <row r="147" spans="1:10" x14ac:dyDescent="0.3">
      <c r="A147" s="4">
        <v>7.4486205088117E-2</v>
      </c>
      <c r="H147" s="4">
        <v>7.4498628991925997E-2</v>
      </c>
      <c r="I147" s="2">
        <f t="shared" si="17"/>
        <v>0.6333333333333333</v>
      </c>
      <c r="J147" s="2">
        <f t="shared" si="16"/>
        <v>0.33927638280750583</v>
      </c>
    </row>
    <row r="148" spans="1:10" x14ac:dyDescent="0.3">
      <c r="A148" s="4">
        <v>7.3510480269672995E-2</v>
      </c>
      <c r="H148" s="4">
        <v>7.4867626429295994E-2</v>
      </c>
      <c r="I148" s="2">
        <f t="shared" si="17"/>
        <v>0.7</v>
      </c>
      <c r="J148" s="2">
        <f t="shared" si="16"/>
        <v>0.52246305252576009</v>
      </c>
    </row>
    <row r="149" spans="1:10" x14ac:dyDescent="0.3">
      <c r="A149" s="4">
        <v>7.3021614242451002E-2</v>
      </c>
      <c r="H149" s="4">
        <v>7.5428268934050996E-2</v>
      </c>
      <c r="I149" s="2">
        <f t="shared" si="17"/>
        <v>0.76666666666666661</v>
      </c>
      <c r="J149" s="2">
        <f t="shared" si="16"/>
        <v>0.72575040815577163</v>
      </c>
    </row>
    <row r="150" spans="1:10" x14ac:dyDescent="0.3">
      <c r="A150" s="4">
        <v>7.3376199430610994E-2</v>
      </c>
      <c r="H150" s="4">
        <v>7.6295377174666001E-2</v>
      </c>
      <c r="I150" s="2">
        <f t="shared" si="17"/>
        <v>0.83333333333333326</v>
      </c>
      <c r="J150" s="2">
        <f t="shared" si="16"/>
        <v>0.96558119772402329</v>
      </c>
    </row>
    <row r="151" spans="1:10" x14ac:dyDescent="0.3">
      <c r="A151" s="4">
        <v>7.3267602888991007E-2</v>
      </c>
      <c r="H151" s="4">
        <v>7.6788262464904E-2</v>
      </c>
      <c r="I151" s="2">
        <f t="shared" si="17"/>
        <v>0.89999999999999991</v>
      </c>
      <c r="J151" s="2">
        <f t="shared" si="16"/>
        <v>1.2811261510381207</v>
      </c>
    </row>
    <row r="152" spans="1:10" x14ac:dyDescent="0.3">
      <c r="A152" s="4">
        <v>7.6788262464904E-2</v>
      </c>
      <c r="H152" s="4">
        <v>7.8787096598403994E-2</v>
      </c>
      <c r="I152" s="2">
        <f t="shared" si="17"/>
        <v>0.96666666666666656</v>
      </c>
      <c r="J152" s="2">
        <f t="shared" si="16"/>
        <v>1.8368588976886859</v>
      </c>
    </row>
    <row r="153" spans="1:10" s="6" customFormat="1" ht="5.25" customHeight="1" x14ac:dyDescent="0.3">
      <c r="C153" s="7"/>
    </row>
    <row r="154" spans="1:10" x14ac:dyDescent="0.3">
      <c r="A154" s="1" t="s">
        <v>20</v>
      </c>
      <c r="C154" s="3" t="s">
        <v>1</v>
      </c>
      <c r="D154" s="1" t="s">
        <v>2</v>
      </c>
      <c r="E154" s="1" t="s">
        <v>3</v>
      </c>
      <c r="F154" s="1"/>
      <c r="H154" s="1" t="s">
        <v>4</v>
      </c>
      <c r="I154" s="1" t="s">
        <v>5</v>
      </c>
      <c r="J154" s="1" t="s">
        <v>6</v>
      </c>
    </row>
    <row r="155" spans="1:10" x14ac:dyDescent="0.3">
      <c r="A155" s="4">
        <v>8.1588602180083999E-2</v>
      </c>
      <c r="C155" s="5">
        <f>AVERAGE(A155:A169)</f>
        <v>8.4526408610900272E-2</v>
      </c>
      <c r="D155" s="2">
        <f>_xlfn.VAR.S(A155:A169)</f>
        <v>6.0580699989184618E-6</v>
      </c>
      <c r="E155" s="2">
        <f>SQRT(D155)/C155</f>
        <v>2.9118884021896559E-2</v>
      </c>
      <c r="H155" s="4">
        <v>8.1588602180083999E-2</v>
      </c>
      <c r="I155" s="2">
        <f>1/15 - 0.5/15</f>
        <v>3.3333333333333333E-2</v>
      </c>
      <c r="J155" s="2">
        <f t="shared" ref="J155:J169" si="18">4.91*(I155^0.14-(1-I155)^0.14)</f>
        <v>-1.836858897688687</v>
      </c>
    </row>
    <row r="156" spans="1:10" x14ac:dyDescent="0.3">
      <c r="A156" s="4">
        <v>8.3969777485875002E-2</v>
      </c>
      <c r="H156" s="4">
        <v>8.1835999206081006E-2</v>
      </c>
      <c r="I156" s="2">
        <f t="shared" ref="I156:I169" si="19">I155+1/15</f>
        <v>0.1</v>
      </c>
      <c r="J156" s="2">
        <f t="shared" si="18"/>
        <v>-1.2811261510381207</v>
      </c>
    </row>
    <row r="157" spans="1:10" x14ac:dyDescent="0.3">
      <c r="A157" s="4">
        <v>8.2612416761508004E-2</v>
      </c>
      <c r="C157" s="3" t="s">
        <v>7</v>
      </c>
      <c r="E157" s="1" t="s">
        <v>8</v>
      </c>
      <c r="H157" s="4">
        <v>8.2414751013237003E-2</v>
      </c>
      <c r="I157" s="2">
        <f t="shared" si="19"/>
        <v>0.16666666666666669</v>
      </c>
      <c r="J157" s="2">
        <f t="shared" si="18"/>
        <v>-0.96558119772402384</v>
      </c>
    </row>
    <row r="158" spans="1:10" x14ac:dyDescent="0.3">
      <c r="A158" s="4">
        <v>8.2418753517661994E-2</v>
      </c>
      <c r="C158" s="5">
        <f>MEDIAN(A155:A169)</f>
        <v>8.4053583217056999E-2</v>
      </c>
      <c r="E158" s="2">
        <v>2.145</v>
      </c>
      <c r="H158" s="4">
        <v>8.2418753517661994E-2</v>
      </c>
      <c r="I158" s="2">
        <f t="shared" si="19"/>
        <v>0.23333333333333334</v>
      </c>
      <c r="J158" s="2">
        <f t="shared" si="18"/>
        <v>-0.72575040815577163</v>
      </c>
    </row>
    <row r="159" spans="1:10" x14ac:dyDescent="0.3">
      <c r="A159" s="4">
        <v>8.5809252450719006E-2</v>
      </c>
      <c r="H159" s="4">
        <v>8.2612416761508004E-2</v>
      </c>
      <c r="I159" s="2">
        <f t="shared" si="19"/>
        <v>0.3</v>
      </c>
      <c r="J159" s="2">
        <f t="shared" si="18"/>
        <v>-0.52246305252576009</v>
      </c>
    </row>
    <row r="160" spans="1:10" x14ac:dyDescent="0.3">
      <c r="A160" s="4">
        <v>8.9501817288066998E-2</v>
      </c>
      <c r="C160" s="3"/>
      <c r="D160" s="1" t="s">
        <v>9</v>
      </c>
      <c r="H160" s="4">
        <v>8.2654291368498001E-2</v>
      </c>
      <c r="I160" s="2">
        <f t="shared" si="19"/>
        <v>0.36666666666666664</v>
      </c>
      <c r="J160" s="2">
        <f t="shared" si="18"/>
        <v>-0.33927638280750583</v>
      </c>
    </row>
    <row r="161" spans="1:10" x14ac:dyDescent="0.3">
      <c r="A161" s="4">
        <v>8.4053583217056999E-2</v>
      </c>
      <c r="C161" s="3" t="s">
        <v>10</v>
      </c>
      <c r="D161" s="2">
        <f>C155+E158*SQRT(D155)/(SQRT(15))</f>
        <v>8.5889574815410291E-2</v>
      </c>
      <c r="H161" s="4">
        <v>8.3969777485875002E-2</v>
      </c>
      <c r="I161" s="2">
        <f t="shared" si="19"/>
        <v>0.43333333333333329</v>
      </c>
      <c r="J161" s="2">
        <f t="shared" si="18"/>
        <v>-0.16715058832373922</v>
      </c>
    </row>
    <row r="162" spans="1:10" x14ac:dyDescent="0.3">
      <c r="A162" s="4">
        <v>8.6838478452936005E-2</v>
      </c>
      <c r="C162" s="3" t="s">
        <v>11</v>
      </c>
      <c r="D162" s="2">
        <f>C155-E158*SQRT(D155)/(SQRT(15))</f>
        <v>8.3163242406390253E-2</v>
      </c>
      <c r="H162" s="4">
        <v>8.4053583217056999E-2</v>
      </c>
      <c r="I162" s="2">
        <f t="shared" si="19"/>
        <v>0.49999999999999994</v>
      </c>
      <c r="J162" s="2">
        <f t="shared" si="18"/>
        <v>0</v>
      </c>
    </row>
    <row r="163" spans="1:10" x14ac:dyDescent="0.3">
      <c r="A163" s="4">
        <v>8.638129252882E-2</v>
      </c>
      <c r="H163" s="4">
        <v>8.4502929583863004E-2</v>
      </c>
      <c r="I163" s="2">
        <f t="shared" si="19"/>
        <v>0.56666666666666665</v>
      </c>
      <c r="J163" s="2">
        <f t="shared" si="18"/>
        <v>0.16715058832373922</v>
      </c>
    </row>
    <row r="164" spans="1:10" x14ac:dyDescent="0.3">
      <c r="A164" s="4">
        <v>8.4502929583863004E-2</v>
      </c>
      <c r="H164" s="4">
        <v>8.4647831407329996E-2</v>
      </c>
      <c r="I164" s="2">
        <f t="shared" si="19"/>
        <v>0.6333333333333333</v>
      </c>
      <c r="J164" s="2">
        <f t="shared" si="18"/>
        <v>0.33927638280750583</v>
      </c>
    </row>
    <row r="165" spans="1:10" x14ac:dyDescent="0.3">
      <c r="A165" s="4">
        <v>8.2654291368498001E-2</v>
      </c>
      <c r="H165" s="4">
        <v>8.5809252450719006E-2</v>
      </c>
      <c r="I165" s="2">
        <f t="shared" si="19"/>
        <v>0.7</v>
      </c>
      <c r="J165" s="2">
        <f t="shared" si="18"/>
        <v>0.52246305252576009</v>
      </c>
    </row>
    <row r="166" spans="1:10" x14ac:dyDescent="0.3">
      <c r="A166" s="4">
        <v>8.1835999206081006E-2</v>
      </c>
      <c r="H166" s="4">
        <v>8.638129252882E-2</v>
      </c>
      <c r="I166" s="2">
        <f t="shared" si="19"/>
        <v>0.76666666666666661</v>
      </c>
      <c r="J166" s="2">
        <f t="shared" si="18"/>
        <v>0.72575040815577163</v>
      </c>
    </row>
    <row r="167" spans="1:10" x14ac:dyDescent="0.3">
      <c r="A167" s="4">
        <v>8.4647831407329996E-2</v>
      </c>
      <c r="H167" s="4">
        <v>8.6838478452936005E-2</v>
      </c>
      <c r="I167" s="2">
        <f t="shared" si="19"/>
        <v>0.83333333333333326</v>
      </c>
      <c r="J167" s="2">
        <f t="shared" si="18"/>
        <v>0.96558119772402329</v>
      </c>
    </row>
    <row r="168" spans="1:10" x14ac:dyDescent="0.3">
      <c r="A168" s="4">
        <v>8.2414751013237003E-2</v>
      </c>
      <c r="H168" s="4">
        <v>8.8666352701766996E-2</v>
      </c>
      <c r="I168" s="2">
        <f t="shared" si="19"/>
        <v>0.89999999999999991</v>
      </c>
      <c r="J168" s="2">
        <f t="shared" si="18"/>
        <v>1.2811261510381207</v>
      </c>
    </row>
    <row r="169" spans="1:10" x14ac:dyDescent="0.3">
      <c r="A169" s="4">
        <v>8.8666352701766996E-2</v>
      </c>
      <c r="H169" s="4">
        <v>8.9501817288066998E-2</v>
      </c>
      <c r="I169" s="2">
        <f t="shared" si="19"/>
        <v>0.96666666666666656</v>
      </c>
      <c r="J169" s="2">
        <f t="shared" si="18"/>
        <v>1.8368588976886859</v>
      </c>
    </row>
    <row r="170" spans="1:10" s="6" customFormat="1" ht="5.25" customHeight="1" x14ac:dyDescent="0.3">
      <c r="C170" s="7"/>
    </row>
    <row r="171" spans="1:10" x14ac:dyDescent="0.3">
      <c r="A171" s="1" t="s">
        <v>21</v>
      </c>
      <c r="C171" s="3" t="s">
        <v>1</v>
      </c>
      <c r="D171" s="1" t="s">
        <v>2</v>
      </c>
      <c r="E171" s="1" t="s">
        <v>3</v>
      </c>
      <c r="F171" s="1"/>
      <c r="H171" s="1" t="s">
        <v>4</v>
      </c>
      <c r="I171" s="1" t="s">
        <v>5</v>
      </c>
      <c r="J171" s="1" t="s">
        <v>6</v>
      </c>
    </row>
    <row r="172" spans="1:10" x14ac:dyDescent="0.3">
      <c r="A172" s="4">
        <v>9.3580787796575998E-2</v>
      </c>
      <c r="C172" s="5">
        <f>AVERAGE(A172:A186)</f>
        <v>9.6647923670421604E-2</v>
      </c>
      <c r="D172" s="2">
        <f>_xlfn.VAR.S(A172:A186)</f>
        <v>8.4410235686979197E-6</v>
      </c>
      <c r="E172" s="2">
        <f>SQRT(D172)/C172</f>
        <v>3.0061111061955269E-2</v>
      </c>
      <c r="H172" s="4">
        <v>9.2903494936902004E-2</v>
      </c>
      <c r="I172" s="2">
        <f>1/15 - 0.5/15</f>
        <v>3.3333333333333333E-2</v>
      </c>
      <c r="J172" s="2">
        <f t="shared" ref="J172:J186" si="20">4.91*(I172^0.14-(1-I172)^0.14)</f>
        <v>-1.836858897688687</v>
      </c>
    </row>
    <row r="173" spans="1:10" x14ac:dyDescent="0.3">
      <c r="A173" s="4">
        <v>9.6996143590798001E-2</v>
      </c>
      <c r="H173" s="4">
        <v>9.3580787796575998E-2</v>
      </c>
      <c r="I173" s="2">
        <f t="shared" ref="I173:I186" si="21">I172+1/15</f>
        <v>0.1</v>
      </c>
      <c r="J173" s="2">
        <f t="shared" si="20"/>
        <v>-1.2811261510381207</v>
      </c>
    </row>
    <row r="174" spans="1:10" x14ac:dyDescent="0.3">
      <c r="A174" s="4">
        <v>9.4323004763733995E-2</v>
      </c>
      <c r="C174" s="3" t="s">
        <v>7</v>
      </c>
      <c r="E174" s="1" t="s">
        <v>8</v>
      </c>
      <c r="H174" s="4">
        <v>9.3753975401914005E-2</v>
      </c>
      <c r="I174" s="2">
        <f t="shared" si="21"/>
        <v>0.16666666666666669</v>
      </c>
      <c r="J174" s="2">
        <f t="shared" si="20"/>
        <v>-0.96558119772402384</v>
      </c>
    </row>
    <row r="175" spans="1:10" x14ac:dyDescent="0.3">
      <c r="A175" s="4">
        <v>9.3753975401914005E-2</v>
      </c>
      <c r="C175" s="5">
        <f>MEDIAN(A172:A186)</f>
        <v>9.6050647101144998E-2</v>
      </c>
      <c r="E175" s="2">
        <v>2.145</v>
      </c>
      <c r="H175" s="4">
        <v>9.4323004763733995E-2</v>
      </c>
      <c r="I175" s="2">
        <f t="shared" si="21"/>
        <v>0.23333333333333334</v>
      </c>
      <c r="J175" s="2">
        <f t="shared" si="20"/>
        <v>-0.72575040815577163</v>
      </c>
    </row>
    <row r="176" spans="1:10" x14ac:dyDescent="0.3">
      <c r="A176" s="4">
        <v>9.9115472344309993E-2</v>
      </c>
      <c r="H176" s="4">
        <v>9.4590122734780999E-2</v>
      </c>
      <c r="I176" s="2">
        <f t="shared" si="21"/>
        <v>0.3</v>
      </c>
      <c r="J176" s="2">
        <f t="shared" si="20"/>
        <v>-0.52246305252576009</v>
      </c>
    </row>
    <row r="177" spans="1:10" x14ac:dyDescent="0.3">
      <c r="A177" s="4">
        <v>0.10244147385995001</v>
      </c>
      <c r="C177" s="3"/>
      <c r="D177" s="1" t="s">
        <v>9</v>
      </c>
      <c r="H177" s="4">
        <v>9.4662367240626002E-2</v>
      </c>
      <c r="I177" s="2">
        <f t="shared" si="21"/>
        <v>0.36666666666666664</v>
      </c>
      <c r="J177" s="2">
        <f t="shared" si="20"/>
        <v>-0.33927638280750583</v>
      </c>
    </row>
    <row r="178" spans="1:10" x14ac:dyDescent="0.3">
      <c r="A178" s="4">
        <v>9.6050647101144998E-2</v>
      </c>
      <c r="C178" s="3" t="s">
        <v>10</v>
      </c>
      <c r="D178" s="2">
        <f>C172+E175*SQRT(D172)/(SQRT(15))</f>
        <v>9.8257009548908064E-2</v>
      </c>
      <c r="H178" s="4">
        <v>9.5917563663018998E-2</v>
      </c>
      <c r="I178" s="2">
        <f t="shared" si="21"/>
        <v>0.43333333333333329</v>
      </c>
      <c r="J178" s="2">
        <f t="shared" si="20"/>
        <v>-0.16715058832373922</v>
      </c>
    </row>
    <row r="179" spans="1:10" x14ac:dyDescent="0.3">
      <c r="A179" s="4">
        <v>9.8017609470854999E-2</v>
      </c>
      <c r="C179" s="3" t="s">
        <v>11</v>
      </c>
      <c r="D179" s="2">
        <f>C172-E175*SQRT(D172)/(SQRT(15))</f>
        <v>9.5038837791935143E-2</v>
      </c>
      <c r="H179" s="4">
        <v>9.6050647101144998E-2</v>
      </c>
      <c r="I179" s="2">
        <f t="shared" si="21"/>
        <v>0.49999999999999994</v>
      </c>
      <c r="J179" s="2">
        <f t="shared" si="20"/>
        <v>0</v>
      </c>
    </row>
    <row r="180" spans="1:10" x14ac:dyDescent="0.3">
      <c r="A180" s="4">
        <v>9.9067244946857994E-2</v>
      </c>
      <c r="H180" s="4">
        <v>9.6712365043366E-2</v>
      </c>
      <c r="I180" s="2">
        <f t="shared" si="21"/>
        <v>0.56666666666666665</v>
      </c>
      <c r="J180" s="2">
        <f t="shared" si="20"/>
        <v>0.16715058832373922</v>
      </c>
    </row>
    <row r="181" spans="1:10" x14ac:dyDescent="0.3">
      <c r="A181" s="4">
        <v>9.6712365043366E-2</v>
      </c>
      <c r="H181" s="4">
        <v>9.6996143590798001E-2</v>
      </c>
      <c r="I181" s="2">
        <f t="shared" si="21"/>
        <v>0.6333333333333333</v>
      </c>
      <c r="J181" s="2">
        <f t="shared" si="20"/>
        <v>0.33927638280750583</v>
      </c>
    </row>
    <row r="182" spans="1:10" x14ac:dyDescent="0.3">
      <c r="A182" s="4">
        <v>9.4590122734780999E-2</v>
      </c>
      <c r="H182" s="4">
        <v>9.8017609470854999E-2</v>
      </c>
      <c r="I182" s="2">
        <f t="shared" si="21"/>
        <v>0.7</v>
      </c>
      <c r="J182" s="2">
        <f t="shared" si="20"/>
        <v>0.52246305252576009</v>
      </c>
    </row>
    <row r="183" spans="1:10" x14ac:dyDescent="0.3">
      <c r="A183" s="4">
        <v>9.2903494936902004E-2</v>
      </c>
      <c r="H183" s="4">
        <v>9.9067244946857994E-2</v>
      </c>
      <c r="I183" s="2">
        <f t="shared" si="21"/>
        <v>0.76666666666666661</v>
      </c>
      <c r="J183" s="2">
        <f t="shared" si="20"/>
        <v>0.72575040815577163</v>
      </c>
    </row>
    <row r="184" spans="1:10" x14ac:dyDescent="0.3">
      <c r="A184" s="4">
        <v>9.5917563663018998E-2</v>
      </c>
      <c r="H184" s="4">
        <v>9.9115472344309993E-2</v>
      </c>
      <c r="I184" s="2">
        <f t="shared" si="21"/>
        <v>0.83333333333333326</v>
      </c>
      <c r="J184" s="2">
        <f t="shared" si="20"/>
        <v>0.96558119772402329</v>
      </c>
    </row>
    <row r="185" spans="1:10" x14ac:dyDescent="0.3">
      <c r="A185" s="4">
        <v>9.4662367240626002E-2</v>
      </c>
      <c r="H185" s="4">
        <v>0.10158658216149</v>
      </c>
      <c r="I185" s="2">
        <f t="shared" si="21"/>
        <v>0.89999999999999991</v>
      </c>
      <c r="J185" s="2">
        <f t="shared" si="20"/>
        <v>1.2811261510381207</v>
      </c>
    </row>
    <row r="186" spans="1:10" x14ac:dyDescent="0.3">
      <c r="A186" s="4">
        <v>0.10158658216149</v>
      </c>
      <c r="H186" s="4">
        <v>0.10244147385995001</v>
      </c>
      <c r="I186" s="2">
        <f t="shared" si="21"/>
        <v>0.96666666666666656</v>
      </c>
      <c r="J186" s="2">
        <f t="shared" si="20"/>
        <v>1.8368588976886859</v>
      </c>
    </row>
    <row r="187" spans="1:10" s="6" customFormat="1" ht="5.25" customHeight="1" x14ac:dyDescent="0.3">
      <c r="C187" s="7"/>
    </row>
    <row r="188" spans="1:10" x14ac:dyDescent="0.3">
      <c r="A188" s="1" t="s">
        <v>22</v>
      </c>
      <c r="C188" s="3" t="s">
        <v>1</v>
      </c>
      <c r="D188" s="1" t="s">
        <v>2</v>
      </c>
      <c r="E188" s="1" t="s">
        <v>3</v>
      </c>
      <c r="F188" s="1"/>
      <c r="H188" s="1" t="s">
        <v>4</v>
      </c>
      <c r="I188" s="1" t="s">
        <v>5</v>
      </c>
      <c r="J188" s="1" t="s">
        <v>6</v>
      </c>
    </row>
    <row r="189" spans="1:10" x14ac:dyDescent="0.3">
      <c r="A189" s="4">
        <v>0.10810550098329</v>
      </c>
      <c r="C189" s="5">
        <f>AVERAGE(A189:A203)</f>
        <v>0.10989657918898001</v>
      </c>
      <c r="D189" s="2">
        <f>_xlfn.VAR.S(A189:A203)</f>
        <v>1.0281408287982557E-5</v>
      </c>
      <c r="E189" s="2">
        <f>SQRT(D189)/C189</f>
        <v>2.9177100333745043E-2</v>
      </c>
      <c r="H189" s="4">
        <v>0.10622496350091</v>
      </c>
      <c r="I189" s="2">
        <f>1/15 - 0.5/15</f>
        <v>3.3333333333333333E-2</v>
      </c>
      <c r="J189" s="2">
        <f t="shared" ref="J189:J203" si="22">4.91*(I189^0.14-(1-I189)^0.14)</f>
        <v>-1.836858897688687</v>
      </c>
    </row>
    <row r="190" spans="1:10" x14ac:dyDescent="0.3">
      <c r="A190" s="4">
        <v>0.11048389174261999</v>
      </c>
      <c r="H190" s="4">
        <v>0.10625577376599001</v>
      </c>
      <c r="I190" s="2">
        <f t="shared" ref="I190:I203" si="23">I189+1/15</f>
        <v>0.1</v>
      </c>
      <c r="J190" s="2">
        <f t="shared" si="22"/>
        <v>-1.2811261510381207</v>
      </c>
    </row>
    <row r="191" spans="1:10" x14ac:dyDescent="0.3">
      <c r="A191" s="4">
        <v>0.10625577376599001</v>
      </c>
      <c r="C191" s="3" t="s">
        <v>7</v>
      </c>
      <c r="E191" s="1" t="s">
        <v>8</v>
      </c>
      <c r="H191" s="4">
        <v>0.10631652148101001</v>
      </c>
      <c r="I191" s="2">
        <f t="shared" si="23"/>
        <v>0.16666666666666669</v>
      </c>
      <c r="J191" s="2">
        <f t="shared" si="22"/>
        <v>-0.96558119772402384</v>
      </c>
    </row>
    <row r="192" spans="1:10" x14ac:dyDescent="0.3">
      <c r="A192" s="4">
        <v>0.10622496350091</v>
      </c>
      <c r="C192" s="5">
        <f>MEDIAN(A189:A203)</f>
        <v>0.10876099801382</v>
      </c>
      <c r="E192" s="2">
        <v>2.145</v>
      </c>
      <c r="H192" s="4">
        <v>0.10713187997416999</v>
      </c>
      <c r="I192" s="2">
        <f t="shared" si="23"/>
        <v>0.23333333333333334</v>
      </c>
      <c r="J192" s="2">
        <f t="shared" si="22"/>
        <v>-0.72575040815577163</v>
      </c>
    </row>
    <row r="193" spans="1:10" x14ac:dyDescent="0.3">
      <c r="A193" s="4">
        <v>0.11148250263907999</v>
      </c>
      <c r="H193" s="4">
        <v>0.10810550098329</v>
      </c>
      <c r="I193" s="2">
        <f t="shared" si="23"/>
        <v>0.3</v>
      </c>
      <c r="J193" s="2">
        <f t="shared" si="22"/>
        <v>-0.52246305252576009</v>
      </c>
    </row>
    <row r="194" spans="1:10" x14ac:dyDescent="0.3">
      <c r="A194" s="4">
        <v>0.11707191222697</v>
      </c>
      <c r="C194" s="3"/>
      <c r="D194" s="1" t="s">
        <v>9</v>
      </c>
      <c r="H194" s="4">
        <v>0.10819905852085</v>
      </c>
      <c r="I194" s="2">
        <f t="shared" si="23"/>
        <v>0.36666666666666664</v>
      </c>
      <c r="J194" s="2">
        <f t="shared" si="22"/>
        <v>-0.33927638280750583</v>
      </c>
    </row>
    <row r="195" spans="1:10" x14ac:dyDescent="0.3">
      <c r="A195" s="4">
        <v>0.10876099801382</v>
      </c>
      <c r="C195" s="3" t="s">
        <v>10</v>
      </c>
      <c r="D195" s="2">
        <f>C189+E192*SQRT(D189)/(SQRT(15))</f>
        <v>0.11167243610078746</v>
      </c>
      <c r="H195" s="4">
        <v>0.10874107116961999</v>
      </c>
      <c r="I195" s="2">
        <f t="shared" si="23"/>
        <v>0.43333333333333329</v>
      </c>
      <c r="J195" s="2">
        <f t="shared" si="22"/>
        <v>-0.16715058832373922</v>
      </c>
    </row>
    <row r="196" spans="1:10" x14ac:dyDescent="0.3">
      <c r="A196" s="4">
        <v>0.11191154719089</v>
      </c>
      <c r="C196" s="3" t="s">
        <v>11</v>
      </c>
      <c r="D196" s="2">
        <f>C189-E192*SQRT(D189)/(SQRT(15))</f>
        <v>0.10812072227717255</v>
      </c>
      <c r="H196" s="4">
        <v>0.10876099801382</v>
      </c>
      <c r="I196" s="2">
        <f t="shared" si="23"/>
        <v>0.49999999999999994</v>
      </c>
      <c r="J196" s="2">
        <f t="shared" si="22"/>
        <v>0</v>
      </c>
    </row>
    <row r="197" spans="1:10" x14ac:dyDescent="0.3">
      <c r="A197" s="4">
        <v>0.11311884497495001</v>
      </c>
      <c r="H197" s="4">
        <v>0.11038899927345</v>
      </c>
      <c r="I197" s="2">
        <f t="shared" si="23"/>
        <v>0.56666666666666665</v>
      </c>
      <c r="J197" s="2">
        <f t="shared" si="22"/>
        <v>0.16715058832373922</v>
      </c>
    </row>
    <row r="198" spans="1:10" x14ac:dyDescent="0.3">
      <c r="A198" s="4">
        <v>0.11038899927345</v>
      </c>
      <c r="H198" s="4">
        <v>0.11048389174261999</v>
      </c>
      <c r="I198" s="2">
        <f t="shared" si="23"/>
        <v>0.6333333333333333</v>
      </c>
      <c r="J198" s="2">
        <f t="shared" si="22"/>
        <v>0.33927638280750583</v>
      </c>
    </row>
    <row r="199" spans="1:10" x14ac:dyDescent="0.3">
      <c r="A199" s="4">
        <v>0.10819905852085</v>
      </c>
      <c r="H199" s="4">
        <v>0.11148250263907999</v>
      </c>
      <c r="I199" s="2">
        <f t="shared" si="23"/>
        <v>0.7</v>
      </c>
      <c r="J199" s="2">
        <f t="shared" si="22"/>
        <v>0.52246305252576009</v>
      </c>
    </row>
    <row r="200" spans="1:10" x14ac:dyDescent="0.3">
      <c r="A200" s="4">
        <v>0.10631652148101001</v>
      </c>
      <c r="H200" s="4">
        <v>0.11191154719089</v>
      </c>
      <c r="I200" s="2">
        <f t="shared" si="23"/>
        <v>0.76666666666666661</v>
      </c>
      <c r="J200" s="2">
        <f t="shared" si="22"/>
        <v>0.72575040815577163</v>
      </c>
    </row>
    <row r="201" spans="1:10" x14ac:dyDescent="0.3">
      <c r="A201" s="4">
        <v>0.10874107116961999</v>
      </c>
      <c r="H201" s="4">
        <v>0.11311884497495001</v>
      </c>
      <c r="I201" s="2">
        <f t="shared" si="23"/>
        <v>0.83333333333333326</v>
      </c>
      <c r="J201" s="2">
        <f t="shared" si="22"/>
        <v>0.96558119772402329</v>
      </c>
    </row>
    <row r="202" spans="1:10" x14ac:dyDescent="0.3">
      <c r="A202" s="4">
        <v>0.10713187997416999</v>
      </c>
      <c r="H202" s="4">
        <v>0.11425522237708</v>
      </c>
      <c r="I202" s="2">
        <f t="shared" si="23"/>
        <v>0.89999999999999991</v>
      </c>
      <c r="J202" s="2">
        <f t="shared" si="22"/>
        <v>1.2811261510381207</v>
      </c>
    </row>
    <row r="203" spans="1:10" x14ac:dyDescent="0.3">
      <c r="A203" s="4">
        <v>0.11425522237708</v>
      </c>
      <c r="H203" s="4">
        <v>0.11707191222697</v>
      </c>
      <c r="I203" s="2">
        <f t="shared" si="23"/>
        <v>0.96666666666666656</v>
      </c>
      <c r="J203" s="2">
        <f t="shared" si="22"/>
        <v>1.8368588976886859</v>
      </c>
    </row>
    <row r="204" spans="1:10" s="6" customFormat="1" ht="5.25" customHeight="1" x14ac:dyDescent="0.3">
      <c r="C204" s="7"/>
    </row>
    <row r="205" spans="1:10" x14ac:dyDescent="0.3">
      <c r="A205" s="1" t="s">
        <v>23</v>
      </c>
      <c r="C205" s="3" t="s">
        <v>1</v>
      </c>
      <c r="D205" s="1" t="s">
        <v>2</v>
      </c>
      <c r="E205" s="1" t="s">
        <v>3</v>
      </c>
      <c r="F205" s="1"/>
      <c r="H205" s="1" t="s">
        <v>4</v>
      </c>
      <c r="I205" s="1" t="s">
        <v>5</v>
      </c>
      <c r="J205" s="1" t="s">
        <v>6</v>
      </c>
    </row>
    <row r="206" spans="1:10" x14ac:dyDescent="0.3">
      <c r="A206" s="4">
        <v>0.12236644618714999</v>
      </c>
      <c r="C206" s="5">
        <f>AVERAGE(A206:A220)</f>
        <v>0.12626785856157799</v>
      </c>
      <c r="D206" s="2">
        <f>_xlfn.VAR.S(A206:A220)</f>
        <v>1.8036971253949521E-5</v>
      </c>
      <c r="E206" s="2">
        <f>SQRT(D206)/C206</f>
        <v>3.3634810984601089E-2</v>
      </c>
      <c r="H206" s="4">
        <v>0.12200093175399</v>
      </c>
      <c r="I206" s="2">
        <f>1/15 - 0.5/15</f>
        <v>3.3333333333333333E-2</v>
      </c>
      <c r="J206" s="2">
        <f t="shared" ref="J206:J220" si="24">4.91*(I206^0.14-(1-I206)^0.14)</f>
        <v>-1.836858897688687</v>
      </c>
    </row>
    <row r="207" spans="1:10" x14ac:dyDescent="0.3">
      <c r="A207" s="4">
        <v>0.12541057832290001</v>
      </c>
      <c r="H207" s="4">
        <v>0.12223976694048</v>
      </c>
      <c r="I207" s="2">
        <f t="shared" ref="I207:I220" si="25">I206+1/15</f>
        <v>0.1</v>
      </c>
      <c r="J207" s="2">
        <f t="shared" si="24"/>
        <v>-1.2811261510381207</v>
      </c>
    </row>
    <row r="208" spans="1:10" x14ac:dyDescent="0.3">
      <c r="A208" s="4">
        <v>0.12200093175399</v>
      </c>
      <c r="C208" s="3" t="s">
        <v>7</v>
      </c>
      <c r="E208" s="1" t="s">
        <v>8</v>
      </c>
      <c r="H208" s="4">
        <v>0.12236644618714999</v>
      </c>
      <c r="I208" s="2">
        <f t="shared" si="25"/>
        <v>0.16666666666666669</v>
      </c>
      <c r="J208" s="2">
        <f t="shared" si="24"/>
        <v>-0.96558119772402384</v>
      </c>
    </row>
    <row r="209" spans="1:10" x14ac:dyDescent="0.3">
      <c r="A209" s="4">
        <v>0.12482227730108</v>
      </c>
      <c r="C209" s="5">
        <f>MEDIAN(A206:A220)</f>
        <v>0.12522167175932</v>
      </c>
      <c r="E209" s="2">
        <v>2.145</v>
      </c>
      <c r="H209" s="4">
        <v>0.12258565534674</v>
      </c>
      <c r="I209" s="2">
        <f t="shared" si="25"/>
        <v>0.23333333333333334</v>
      </c>
      <c r="J209" s="2">
        <f t="shared" si="24"/>
        <v>-0.72575040815577163</v>
      </c>
    </row>
    <row r="210" spans="1:10" x14ac:dyDescent="0.3">
      <c r="A210" s="4">
        <v>0.12703875627012001</v>
      </c>
      <c r="H210" s="4">
        <v>0.12411388078681999</v>
      </c>
      <c r="I210" s="2">
        <f t="shared" si="25"/>
        <v>0.3</v>
      </c>
      <c r="J210" s="2">
        <f t="shared" si="24"/>
        <v>-0.52246305252576009</v>
      </c>
    </row>
    <row r="211" spans="1:10" x14ac:dyDescent="0.3">
      <c r="A211" s="4">
        <v>0.13738585194608</v>
      </c>
      <c r="C211" s="3"/>
      <c r="D211" s="1" t="s">
        <v>9</v>
      </c>
      <c r="H211" s="4">
        <v>0.12477398773815999</v>
      </c>
      <c r="I211" s="2">
        <f t="shared" si="25"/>
        <v>0.36666666666666664</v>
      </c>
      <c r="J211" s="2">
        <f t="shared" si="24"/>
        <v>-0.33927638280750583</v>
      </c>
    </row>
    <row r="212" spans="1:10" x14ac:dyDescent="0.3">
      <c r="A212" s="4">
        <v>0.12477398773815999</v>
      </c>
      <c r="C212" s="3" t="s">
        <v>10</v>
      </c>
      <c r="D212" s="2">
        <f>C206+E209*SQRT(D206)/(SQRT(15))</f>
        <v>0.12862000021921263</v>
      </c>
      <c r="H212" s="4">
        <v>0.12482227730108</v>
      </c>
      <c r="I212" s="2">
        <f t="shared" si="25"/>
        <v>0.43333333333333329</v>
      </c>
      <c r="J212" s="2">
        <f t="shared" si="24"/>
        <v>-0.16715058832373922</v>
      </c>
    </row>
    <row r="213" spans="1:10" x14ac:dyDescent="0.3">
      <c r="A213" s="4">
        <v>0.12710322086226</v>
      </c>
      <c r="C213" s="3" t="s">
        <v>11</v>
      </c>
      <c r="D213" s="2">
        <f>C206-E209*SQRT(D206)/(SQRT(15))</f>
        <v>0.12391571690394336</v>
      </c>
      <c r="H213" s="4">
        <v>0.12522167175932</v>
      </c>
      <c r="I213" s="2">
        <f t="shared" si="25"/>
        <v>0.49999999999999994</v>
      </c>
      <c r="J213" s="2">
        <f t="shared" si="24"/>
        <v>0</v>
      </c>
    </row>
    <row r="214" spans="1:10" x14ac:dyDescent="0.3">
      <c r="A214" s="4">
        <v>0.13072727810342</v>
      </c>
      <c r="H214" s="4">
        <v>0.12541057832290001</v>
      </c>
      <c r="I214" s="2">
        <f t="shared" si="25"/>
        <v>0.56666666666666665</v>
      </c>
      <c r="J214" s="2">
        <f t="shared" si="24"/>
        <v>0.16715058832373922</v>
      </c>
    </row>
    <row r="215" spans="1:10" x14ac:dyDescent="0.3">
      <c r="A215" s="4">
        <v>0.12615334639553999</v>
      </c>
      <c r="H215" s="4">
        <v>0.12615334639553999</v>
      </c>
      <c r="I215" s="2">
        <f t="shared" si="25"/>
        <v>0.6333333333333333</v>
      </c>
      <c r="J215" s="2">
        <f t="shared" si="24"/>
        <v>0.33927638280750583</v>
      </c>
    </row>
    <row r="216" spans="1:10" x14ac:dyDescent="0.3">
      <c r="A216" s="4">
        <v>0.12411388078681999</v>
      </c>
      <c r="H216" s="4">
        <v>0.12703875627012001</v>
      </c>
      <c r="I216" s="2">
        <f t="shared" si="25"/>
        <v>0.7</v>
      </c>
      <c r="J216" s="2">
        <f t="shared" si="24"/>
        <v>0.52246305252576009</v>
      </c>
    </row>
    <row r="217" spans="1:10" x14ac:dyDescent="0.3">
      <c r="A217" s="4">
        <v>0.12223976694048</v>
      </c>
      <c r="H217" s="4">
        <v>0.12710322086226</v>
      </c>
      <c r="I217" s="2">
        <f t="shared" si="25"/>
        <v>0.76666666666666661</v>
      </c>
      <c r="J217" s="2">
        <f t="shared" si="24"/>
        <v>0.72575040815577163</v>
      </c>
    </row>
    <row r="218" spans="1:10" x14ac:dyDescent="0.3">
      <c r="A218" s="4">
        <v>0.12522167175932</v>
      </c>
      <c r="H218" s="4">
        <v>0.13072727810342</v>
      </c>
      <c r="I218" s="2">
        <f t="shared" si="25"/>
        <v>0.83333333333333326</v>
      </c>
      <c r="J218" s="2">
        <f t="shared" si="24"/>
        <v>0.96558119772402329</v>
      </c>
    </row>
    <row r="219" spans="1:10" x14ac:dyDescent="0.3">
      <c r="A219" s="4">
        <v>0.12258565534674</v>
      </c>
      <c r="H219" s="4">
        <v>0.13207422870961</v>
      </c>
      <c r="I219" s="2">
        <f t="shared" si="25"/>
        <v>0.89999999999999991</v>
      </c>
      <c r="J219" s="2">
        <f t="shared" si="24"/>
        <v>1.2811261510381207</v>
      </c>
    </row>
    <row r="220" spans="1:10" x14ac:dyDescent="0.3">
      <c r="A220" s="4">
        <v>0.13207422870961</v>
      </c>
      <c r="H220" s="4">
        <v>0.13738585194608</v>
      </c>
      <c r="I220" s="2">
        <f t="shared" si="25"/>
        <v>0.96666666666666656</v>
      </c>
      <c r="J220" s="2">
        <f t="shared" si="24"/>
        <v>1.8368588976886859</v>
      </c>
    </row>
    <row r="221" spans="1:10" s="6" customFormat="1" ht="5.25" customHeight="1" x14ac:dyDescent="0.3">
      <c r="C221" s="7"/>
    </row>
    <row r="222" spans="1:10" x14ac:dyDescent="0.3">
      <c r="A222" s="1" t="s">
        <v>24</v>
      </c>
      <c r="C222" s="3" t="s">
        <v>1</v>
      </c>
      <c r="D222" s="1" t="s">
        <v>2</v>
      </c>
      <c r="E222" s="1" t="s">
        <v>3</v>
      </c>
      <c r="F222" s="1"/>
      <c r="H222" s="1" t="s">
        <v>4</v>
      </c>
      <c r="I222" s="1" t="s">
        <v>5</v>
      </c>
      <c r="J222" s="1" t="s">
        <v>6</v>
      </c>
    </row>
    <row r="223" spans="1:10" x14ac:dyDescent="0.3">
      <c r="A223" s="4">
        <v>0.1374982041501</v>
      </c>
      <c r="C223" s="5">
        <f>AVERAGE(A223:A237)</f>
        <v>0.14478821155959667</v>
      </c>
      <c r="D223" s="2">
        <f>_xlfn.VAR.S(A223:A237)</f>
        <v>3.4349671240344516E-5</v>
      </c>
      <c r="E223" s="2">
        <f>SQRT(D223)/C223</f>
        <v>4.0478842819597724E-2</v>
      </c>
      <c r="H223" s="4">
        <v>0.1374982041501</v>
      </c>
      <c r="I223" s="2">
        <f>1/15 - 0.5/15</f>
        <v>3.3333333333333333E-2</v>
      </c>
      <c r="J223" s="2">
        <f t="shared" ref="J223:J237" si="26">4.91*(I223^0.14-(1-I223)^0.14)</f>
        <v>-1.836858897688687</v>
      </c>
    </row>
    <row r="224" spans="1:10" x14ac:dyDescent="0.3">
      <c r="A224" s="4">
        <v>0.14349872523632001</v>
      </c>
      <c r="H224" s="4">
        <v>0.13885360822823001</v>
      </c>
      <c r="I224" s="2">
        <f t="shared" ref="I224:I237" si="27">I223+1/15</f>
        <v>0.1</v>
      </c>
      <c r="J224" s="2">
        <f t="shared" si="26"/>
        <v>-1.2811261510381207</v>
      </c>
    </row>
    <row r="225" spans="1:10" x14ac:dyDescent="0.3">
      <c r="A225" s="4">
        <v>0.13928228760776001</v>
      </c>
      <c r="C225" s="3" t="s">
        <v>7</v>
      </c>
      <c r="E225" s="1" t="s">
        <v>8</v>
      </c>
      <c r="H225" s="4">
        <v>0.13928228760776001</v>
      </c>
      <c r="I225" s="2">
        <f t="shared" si="27"/>
        <v>0.16666666666666669</v>
      </c>
      <c r="J225" s="2">
        <f t="shared" si="26"/>
        <v>-0.96558119772402384</v>
      </c>
    </row>
    <row r="226" spans="1:10" x14ac:dyDescent="0.3">
      <c r="A226" s="4">
        <v>0.13885360822823001</v>
      </c>
      <c r="C226" s="5">
        <f>MEDIAN(A223:A237)</f>
        <v>0.14345324387308001</v>
      </c>
      <c r="E226" s="2">
        <v>2.145</v>
      </c>
      <c r="H226" s="4">
        <v>0.14009107818312</v>
      </c>
      <c r="I226" s="2">
        <f t="shared" si="27"/>
        <v>0.23333333333333334</v>
      </c>
      <c r="J226" s="2">
        <f t="shared" si="26"/>
        <v>-0.72575040815577163</v>
      </c>
    </row>
    <row r="227" spans="1:10" x14ac:dyDescent="0.3">
      <c r="A227" s="4">
        <v>0.15136393978529</v>
      </c>
      <c r="H227" s="4">
        <v>0.14170110288464999</v>
      </c>
      <c r="I227" s="2">
        <f t="shared" si="27"/>
        <v>0.3</v>
      </c>
      <c r="J227" s="2">
        <f t="shared" si="26"/>
        <v>-0.52246305252576009</v>
      </c>
    </row>
    <row r="228" spans="1:10" x14ac:dyDescent="0.3">
      <c r="A228" s="4">
        <v>0.15738065961951</v>
      </c>
      <c r="C228" s="3"/>
      <c r="D228" s="1" t="s">
        <v>9</v>
      </c>
      <c r="H228" s="4">
        <v>0.14285322960138999</v>
      </c>
      <c r="I228" s="2">
        <f t="shared" si="27"/>
        <v>0.36666666666666664</v>
      </c>
      <c r="J228" s="2">
        <f t="shared" si="26"/>
        <v>-0.33927638280750583</v>
      </c>
    </row>
    <row r="229" spans="1:10" x14ac:dyDescent="0.3">
      <c r="A229" s="4">
        <v>0.14334048177124001</v>
      </c>
      <c r="C229" s="3" t="s">
        <v>10</v>
      </c>
      <c r="D229" s="2">
        <f>C223+E226*SQRT(D223)/(SQRT(15))</f>
        <v>0.14803417003251451</v>
      </c>
      <c r="H229" s="4">
        <v>0.14334048177124001</v>
      </c>
      <c r="I229" s="2">
        <f t="shared" si="27"/>
        <v>0.43333333333333329</v>
      </c>
      <c r="J229" s="2">
        <f t="shared" si="26"/>
        <v>-0.16715058832373922</v>
      </c>
    </row>
    <row r="230" spans="1:10" x14ac:dyDescent="0.3">
      <c r="A230" s="4">
        <v>0.14345324387308001</v>
      </c>
      <c r="C230" s="3" t="s">
        <v>11</v>
      </c>
      <c r="D230" s="2">
        <f>C223-E226*SQRT(D223)/(SQRT(15))</f>
        <v>0.14154225308667884</v>
      </c>
      <c r="H230" s="4">
        <v>0.14345324387308001</v>
      </c>
      <c r="I230" s="2">
        <f t="shared" si="27"/>
        <v>0.49999999999999994</v>
      </c>
      <c r="J230" s="2">
        <f t="shared" si="26"/>
        <v>0</v>
      </c>
    </row>
    <row r="231" spans="1:10" x14ac:dyDescent="0.3">
      <c r="A231" s="4">
        <v>0.14903269354481</v>
      </c>
      <c r="H231" s="4">
        <v>0.14349872523632001</v>
      </c>
      <c r="I231" s="2">
        <f t="shared" si="27"/>
        <v>0.56666666666666665</v>
      </c>
      <c r="J231" s="2">
        <f t="shared" si="26"/>
        <v>0.16715058832373922</v>
      </c>
    </row>
    <row r="232" spans="1:10" x14ac:dyDescent="0.3">
      <c r="A232" s="4">
        <v>0.14448875032799999</v>
      </c>
      <c r="H232" s="4">
        <v>0.14414652583782001</v>
      </c>
      <c r="I232" s="2">
        <f t="shared" si="27"/>
        <v>0.6333333333333333</v>
      </c>
      <c r="J232" s="2">
        <f t="shared" si="26"/>
        <v>0.33927638280750583</v>
      </c>
    </row>
    <row r="233" spans="1:10" x14ac:dyDescent="0.3">
      <c r="A233" s="4">
        <v>0.14285322960138999</v>
      </c>
      <c r="H233" s="4">
        <v>0.14448875032799999</v>
      </c>
      <c r="I233" s="2">
        <f t="shared" si="27"/>
        <v>0.7</v>
      </c>
      <c r="J233" s="2">
        <f t="shared" si="26"/>
        <v>0.52246305252576009</v>
      </c>
    </row>
    <row r="234" spans="1:10" x14ac:dyDescent="0.3">
      <c r="A234" s="4">
        <v>0.14009107818312</v>
      </c>
      <c r="H234" s="4">
        <v>0.14903269354481</v>
      </c>
      <c r="I234" s="2">
        <f t="shared" si="27"/>
        <v>0.76666666666666661</v>
      </c>
      <c r="J234" s="2">
        <f t="shared" si="26"/>
        <v>0.72575040815577163</v>
      </c>
    </row>
    <row r="235" spans="1:10" x14ac:dyDescent="0.3">
      <c r="A235" s="4">
        <v>0.14414652583782001</v>
      </c>
      <c r="H235" s="4">
        <v>0.15136393978529</v>
      </c>
      <c r="I235" s="2">
        <f t="shared" si="27"/>
        <v>0.83333333333333326</v>
      </c>
      <c r="J235" s="2">
        <f t="shared" si="26"/>
        <v>0.96558119772402329</v>
      </c>
    </row>
    <row r="236" spans="1:10" x14ac:dyDescent="0.3">
      <c r="A236" s="4">
        <v>0.14170110288464999</v>
      </c>
      <c r="H236" s="4">
        <v>0.15483864274263001</v>
      </c>
      <c r="I236" s="2">
        <f t="shared" si="27"/>
        <v>0.89999999999999991</v>
      </c>
      <c r="J236" s="2">
        <f t="shared" si="26"/>
        <v>1.2811261510381207</v>
      </c>
    </row>
    <row r="237" spans="1:10" x14ac:dyDescent="0.3">
      <c r="A237" s="4">
        <v>0.15483864274263001</v>
      </c>
      <c r="H237" s="4">
        <v>0.15738065961951</v>
      </c>
      <c r="I237" s="2">
        <f t="shared" si="27"/>
        <v>0.96666666666666656</v>
      </c>
      <c r="J237" s="2">
        <f t="shared" si="26"/>
        <v>1.8368588976886859</v>
      </c>
    </row>
    <row r="238" spans="1:10" s="6" customFormat="1" ht="5.25" customHeight="1" x14ac:dyDescent="0.3">
      <c r="C238" s="7"/>
    </row>
    <row r="239" spans="1:10" x14ac:dyDescent="0.3">
      <c r="A239" s="1" t="s">
        <v>25</v>
      </c>
      <c r="C239" s="3" t="s">
        <v>1</v>
      </c>
      <c r="D239" s="1" t="s">
        <v>2</v>
      </c>
      <c r="E239" s="1" t="s">
        <v>3</v>
      </c>
      <c r="F239" s="1"/>
      <c r="H239" s="1" t="s">
        <v>4</v>
      </c>
      <c r="I239" s="1" t="s">
        <v>5</v>
      </c>
      <c r="J239" s="1" t="s">
        <v>6</v>
      </c>
    </row>
    <row r="240" spans="1:10" x14ac:dyDescent="0.3">
      <c r="A240" s="4">
        <v>0.15942328769056999</v>
      </c>
      <c r="C240" s="5">
        <f>AVERAGE(A240:A254)</f>
        <v>0.16684909818648735</v>
      </c>
      <c r="D240" s="2">
        <f>_xlfn.VAR.S(A240:A254)</f>
        <v>6.3764979919932004E-5</v>
      </c>
      <c r="E240" s="2">
        <f>SQRT(D240)/C240</f>
        <v>4.7859400032739176E-2</v>
      </c>
      <c r="H240" s="4">
        <v>0.15526010816349001</v>
      </c>
      <c r="I240" s="2">
        <f>1/15 - 0.5/15</f>
        <v>3.3333333333333333E-2</v>
      </c>
      <c r="J240" s="2">
        <f t="shared" ref="J240:J254" si="28">4.91*(I240^0.14-(1-I240)^0.14)</f>
        <v>-1.836858897688687</v>
      </c>
    </row>
    <row r="241" spans="1:10" x14ac:dyDescent="0.3">
      <c r="A241" s="4">
        <v>0.1632968446626</v>
      </c>
      <c r="H241" s="4">
        <v>0.15775085589464999</v>
      </c>
      <c r="I241" s="2">
        <f t="shared" ref="I241:I254" si="29">I240+1/15</f>
        <v>0.1</v>
      </c>
      <c r="J241" s="2">
        <f t="shared" si="28"/>
        <v>-1.2811261510381207</v>
      </c>
    </row>
    <row r="242" spans="1:10" x14ac:dyDescent="0.3">
      <c r="A242" s="4">
        <v>0.15526010816349001</v>
      </c>
      <c r="C242" s="3" t="s">
        <v>7</v>
      </c>
      <c r="E242" s="1" t="s">
        <v>8</v>
      </c>
      <c r="H242" s="4">
        <v>0.15942328769056999</v>
      </c>
      <c r="I242" s="2">
        <f t="shared" si="29"/>
        <v>0.16666666666666669</v>
      </c>
      <c r="J242" s="2">
        <f t="shared" si="28"/>
        <v>-0.96558119772402384</v>
      </c>
    </row>
    <row r="243" spans="1:10" x14ac:dyDescent="0.3">
      <c r="A243" s="4">
        <v>0.16285552676748</v>
      </c>
      <c r="C243" s="5">
        <f>MEDIAN(A240:A254)</f>
        <v>0.16449579358246</v>
      </c>
      <c r="E243" s="2">
        <v>2.145</v>
      </c>
      <c r="H243" s="4">
        <v>0.16285552676748</v>
      </c>
      <c r="I243" s="2">
        <f t="shared" si="29"/>
        <v>0.23333333333333334</v>
      </c>
      <c r="J243" s="2">
        <f t="shared" si="28"/>
        <v>-0.72575040815577163</v>
      </c>
    </row>
    <row r="244" spans="1:10" x14ac:dyDescent="0.3">
      <c r="A244" s="4">
        <v>0.17935170935033001</v>
      </c>
      <c r="H244" s="4">
        <v>0.1632968446626</v>
      </c>
      <c r="I244" s="2">
        <f t="shared" si="29"/>
        <v>0.3</v>
      </c>
      <c r="J244" s="2">
        <f t="shared" si="28"/>
        <v>-0.52246305252576009</v>
      </c>
    </row>
    <row r="245" spans="1:10" x14ac:dyDescent="0.3">
      <c r="A245" s="4">
        <v>0.18166940056429001</v>
      </c>
      <c r="C245" s="3"/>
      <c r="D245" s="1" t="s">
        <v>9</v>
      </c>
      <c r="H245" s="4">
        <v>0.16359286208137</v>
      </c>
      <c r="I245" s="2">
        <f t="shared" si="29"/>
        <v>0.36666666666666664</v>
      </c>
      <c r="J245" s="2">
        <f t="shared" si="28"/>
        <v>-0.33927638280750583</v>
      </c>
    </row>
    <row r="246" spans="1:10" x14ac:dyDescent="0.3">
      <c r="A246" s="4">
        <v>0.16449579358246</v>
      </c>
      <c r="C246" s="3" t="s">
        <v>10</v>
      </c>
      <c r="D246" s="2">
        <f>C240+E243*SQRT(D240)/(SQRT(15))</f>
        <v>0.17127164848193233</v>
      </c>
      <c r="H246" s="4">
        <v>0.16420252216990999</v>
      </c>
      <c r="I246" s="2">
        <f t="shared" si="29"/>
        <v>0.43333333333333329</v>
      </c>
      <c r="J246" s="2">
        <f t="shared" si="28"/>
        <v>-0.16715058832373922</v>
      </c>
    </row>
    <row r="247" spans="1:10" x14ac:dyDescent="0.3">
      <c r="A247" s="4">
        <v>0.16468257305428</v>
      </c>
      <c r="C247" s="3" t="s">
        <v>11</v>
      </c>
      <c r="D247" s="2">
        <f>C240-E243*SQRT(D240)/(SQRT(15))</f>
        <v>0.16242654789104238</v>
      </c>
      <c r="H247" s="4">
        <v>0.16449579358246</v>
      </c>
      <c r="I247" s="2">
        <f t="shared" si="29"/>
        <v>0.49999999999999994</v>
      </c>
      <c r="J247" s="2">
        <f t="shared" si="28"/>
        <v>0</v>
      </c>
    </row>
    <row r="248" spans="1:10" x14ac:dyDescent="0.3">
      <c r="A248" s="4">
        <v>0.17592890783925999</v>
      </c>
      <c r="H248" s="4">
        <v>0.16468257305428</v>
      </c>
      <c r="I248" s="2">
        <f t="shared" si="29"/>
        <v>0.56666666666666665</v>
      </c>
      <c r="J248" s="2">
        <f t="shared" si="28"/>
        <v>0.16715058832373922</v>
      </c>
    </row>
    <row r="249" spans="1:10" x14ac:dyDescent="0.3">
      <c r="A249" s="4">
        <v>0.16420252216990999</v>
      </c>
      <c r="H249" s="4">
        <v>0.16604407603556001</v>
      </c>
      <c r="I249" s="2">
        <f t="shared" si="29"/>
        <v>0.6333333333333333</v>
      </c>
      <c r="J249" s="2">
        <f t="shared" si="28"/>
        <v>0.33927638280750583</v>
      </c>
    </row>
    <row r="250" spans="1:10" x14ac:dyDescent="0.3">
      <c r="A250" s="4">
        <v>0.16359286208137</v>
      </c>
      <c r="H250" s="4">
        <v>0.16708724630083999</v>
      </c>
      <c r="I250" s="2">
        <f t="shared" si="29"/>
        <v>0.7</v>
      </c>
      <c r="J250" s="2">
        <f t="shared" si="28"/>
        <v>0.52246305252576009</v>
      </c>
    </row>
    <row r="251" spans="1:10" x14ac:dyDescent="0.3">
      <c r="A251" s="4">
        <v>0.15775085589464999</v>
      </c>
      <c r="H251" s="4">
        <v>0.17592890783925999</v>
      </c>
      <c r="I251" s="2">
        <f t="shared" si="29"/>
        <v>0.76666666666666661</v>
      </c>
      <c r="J251" s="2">
        <f t="shared" si="28"/>
        <v>0.72575040815577163</v>
      </c>
    </row>
    <row r="252" spans="1:10" x14ac:dyDescent="0.3">
      <c r="A252" s="4">
        <v>0.16708724630083999</v>
      </c>
      <c r="H252" s="4">
        <v>0.17709475864022001</v>
      </c>
      <c r="I252" s="2">
        <f t="shared" si="29"/>
        <v>0.83333333333333326</v>
      </c>
      <c r="J252" s="2">
        <f t="shared" si="28"/>
        <v>0.96558119772402329</v>
      </c>
    </row>
    <row r="253" spans="1:10" x14ac:dyDescent="0.3">
      <c r="A253" s="4">
        <v>0.16604407603556001</v>
      </c>
      <c r="H253" s="4">
        <v>0.17935170935033001</v>
      </c>
      <c r="I253" s="2">
        <f t="shared" si="29"/>
        <v>0.89999999999999991</v>
      </c>
      <c r="J253" s="2">
        <f t="shared" si="28"/>
        <v>1.2811261510381207</v>
      </c>
    </row>
    <row r="254" spans="1:10" x14ac:dyDescent="0.3">
      <c r="A254" s="4">
        <v>0.17709475864022001</v>
      </c>
      <c r="H254" s="4">
        <v>0.18166940056429001</v>
      </c>
      <c r="I254" s="2">
        <f t="shared" si="29"/>
        <v>0.96666666666666656</v>
      </c>
      <c r="J254" s="2">
        <f t="shared" si="28"/>
        <v>1.8368588976886859</v>
      </c>
    </row>
    <row r="255" spans="1:10" s="6" customFormat="1" ht="5.25" customHeight="1" x14ac:dyDescent="0.3">
      <c r="C255" s="7"/>
    </row>
    <row r="256" spans="1:10" x14ac:dyDescent="0.3">
      <c r="A256" s="1" t="s">
        <v>26</v>
      </c>
      <c r="C256" s="3" t="s">
        <v>1</v>
      </c>
      <c r="D256" s="1" t="s">
        <v>2</v>
      </c>
      <c r="E256" s="1" t="s">
        <v>3</v>
      </c>
      <c r="F256" s="1"/>
      <c r="H256" s="1" t="s">
        <v>4</v>
      </c>
      <c r="I256" s="1" t="s">
        <v>5</v>
      </c>
      <c r="J256" s="1" t="s">
        <v>6</v>
      </c>
    </row>
    <row r="257" spans="1:10" x14ac:dyDescent="0.3">
      <c r="A257" s="4">
        <v>0.18240890617996</v>
      </c>
      <c r="C257" s="5">
        <f>AVERAGE(A257:A271)</f>
        <v>0.19449425719785868</v>
      </c>
      <c r="D257" s="2">
        <f>_xlfn.VAR.S(A257:A271)</f>
        <v>1.3781616824913145E-4</v>
      </c>
      <c r="E257" s="2">
        <f>SQRT(D257)/C257</f>
        <v>6.0359176086719271E-2</v>
      </c>
      <c r="H257" s="4">
        <v>0.18240890617996</v>
      </c>
      <c r="I257" s="2">
        <f>1/15 - 0.5/15</f>
        <v>3.3333333333333333E-2</v>
      </c>
      <c r="J257" s="2">
        <f t="shared" ref="J257:J271" si="30">4.91*(I257^0.14-(1-I257)^0.14)</f>
        <v>-1.836858897688687</v>
      </c>
    </row>
    <row r="258" spans="1:10" x14ac:dyDescent="0.3">
      <c r="A258" s="4">
        <v>0.18625685711253001</v>
      </c>
      <c r="H258" s="4">
        <v>0.18266877798987</v>
      </c>
      <c r="I258" s="2">
        <f t="shared" ref="I258:I271" si="31">I257+1/15</f>
        <v>0.1</v>
      </c>
      <c r="J258" s="2">
        <f t="shared" si="30"/>
        <v>-1.2811261510381207</v>
      </c>
    </row>
    <row r="259" spans="1:10" x14ac:dyDescent="0.3">
      <c r="A259" s="4">
        <v>0.18266877798987</v>
      </c>
      <c r="C259" s="3" t="s">
        <v>7</v>
      </c>
      <c r="E259" s="1" t="s">
        <v>8</v>
      </c>
      <c r="H259" s="4">
        <v>0.18384533629477001</v>
      </c>
      <c r="I259" s="2">
        <f t="shared" si="31"/>
        <v>0.16666666666666669</v>
      </c>
      <c r="J259" s="2">
        <f t="shared" si="30"/>
        <v>-0.96558119772402384</v>
      </c>
    </row>
    <row r="260" spans="1:10" x14ac:dyDescent="0.3">
      <c r="A260" s="4">
        <v>0.19048017187888</v>
      </c>
      <c r="C260" s="5">
        <f>MEDIAN(A257:A271)</f>
        <v>0.19005410940654999</v>
      </c>
      <c r="E260" s="2">
        <v>2.145</v>
      </c>
      <c r="H260" s="4">
        <v>0.18625685711253001</v>
      </c>
      <c r="I260" s="2">
        <f t="shared" si="31"/>
        <v>0.23333333333333334</v>
      </c>
      <c r="J260" s="2">
        <f t="shared" si="30"/>
        <v>-0.72575040815577163</v>
      </c>
    </row>
    <row r="261" spans="1:10" x14ac:dyDescent="0.3">
      <c r="A261" s="4">
        <v>0.21707484270072999</v>
      </c>
      <c r="H261" s="4">
        <v>0.18820406539611001</v>
      </c>
      <c r="I261" s="2">
        <f t="shared" si="31"/>
        <v>0.3</v>
      </c>
      <c r="J261" s="2">
        <f t="shared" si="30"/>
        <v>-0.52246305252576009</v>
      </c>
    </row>
    <row r="262" spans="1:10" x14ac:dyDescent="0.3">
      <c r="A262" s="4">
        <v>0.21704815746139999</v>
      </c>
      <c r="C262" s="3"/>
      <c r="D262" s="1" t="s">
        <v>9</v>
      </c>
      <c r="H262" s="4">
        <v>0.18893519165566</v>
      </c>
      <c r="I262" s="2">
        <f t="shared" si="31"/>
        <v>0.36666666666666664</v>
      </c>
      <c r="J262" s="2">
        <f t="shared" si="30"/>
        <v>-0.33927638280750583</v>
      </c>
    </row>
    <row r="263" spans="1:10" x14ac:dyDescent="0.3">
      <c r="A263" s="4">
        <v>0.19681376923808999</v>
      </c>
      <c r="C263" s="3" t="s">
        <v>10</v>
      </c>
      <c r="D263" s="2">
        <f>C257+E260*SQRT(D257)/(SQRT(15))</f>
        <v>0.20099602944609202</v>
      </c>
      <c r="H263" s="4">
        <v>0.18957729297521</v>
      </c>
      <c r="I263" s="2">
        <f t="shared" si="31"/>
        <v>0.43333333333333329</v>
      </c>
      <c r="J263" s="2">
        <f t="shared" si="30"/>
        <v>-0.16715058832373922</v>
      </c>
    </row>
    <row r="264" spans="1:10" x14ac:dyDescent="0.3">
      <c r="A264" s="4">
        <v>0.18820406539611001</v>
      </c>
      <c r="C264" s="3" t="s">
        <v>11</v>
      </c>
      <c r="D264" s="2">
        <f>C257-E260*SQRT(D257)/(SQRT(15))</f>
        <v>0.18799248494962534</v>
      </c>
      <c r="H264" s="4">
        <v>0.19005410940654999</v>
      </c>
      <c r="I264" s="2">
        <f t="shared" si="31"/>
        <v>0.49999999999999994</v>
      </c>
      <c r="J264" s="2">
        <f t="shared" si="30"/>
        <v>0</v>
      </c>
    </row>
    <row r="265" spans="1:10" x14ac:dyDescent="0.3">
      <c r="A265" s="4">
        <v>0.20504108184818001</v>
      </c>
      <c r="H265" s="4">
        <v>0.19048017187888</v>
      </c>
      <c r="I265" s="2">
        <f t="shared" si="31"/>
        <v>0.56666666666666665</v>
      </c>
      <c r="J265" s="2">
        <f t="shared" si="30"/>
        <v>0.16715058832373922</v>
      </c>
    </row>
    <row r="266" spans="1:10" x14ac:dyDescent="0.3">
      <c r="A266" s="4">
        <v>0.19005410940654999</v>
      </c>
      <c r="H266" s="4">
        <v>0.19094532813609999</v>
      </c>
      <c r="I266" s="2">
        <f t="shared" si="31"/>
        <v>0.6333333333333333</v>
      </c>
      <c r="J266" s="2">
        <f t="shared" si="30"/>
        <v>0.33927638280750583</v>
      </c>
    </row>
    <row r="267" spans="1:10" x14ac:dyDescent="0.3">
      <c r="A267" s="4">
        <v>0.18957729297521</v>
      </c>
      <c r="H267" s="4">
        <v>0.19681376923808999</v>
      </c>
      <c r="I267" s="2">
        <f t="shared" si="31"/>
        <v>0.7</v>
      </c>
      <c r="J267" s="2">
        <f t="shared" si="30"/>
        <v>0.52246305252576009</v>
      </c>
    </row>
    <row r="268" spans="1:10" x14ac:dyDescent="0.3">
      <c r="A268" s="4">
        <v>0.18384533629477001</v>
      </c>
      <c r="H268" s="4">
        <v>0.20504108184818001</v>
      </c>
      <c r="I268" s="2">
        <f t="shared" si="31"/>
        <v>0.76666666666666661</v>
      </c>
      <c r="J268" s="2">
        <f t="shared" si="30"/>
        <v>0.72575040815577163</v>
      </c>
    </row>
    <row r="269" spans="1:10" x14ac:dyDescent="0.3">
      <c r="A269" s="4">
        <v>0.19094532813609999</v>
      </c>
      <c r="H269" s="4">
        <v>0.20805996969384</v>
      </c>
      <c r="I269" s="2">
        <f t="shared" si="31"/>
        <v>0.83333333333333326</v>
      </c>
      <c r="J269" s="2">
        <f t="shared" si="30"/>
        <v>0.96558119772402329</v>
      </c>
    </row>
    <row r="270" spans="1:10" x14ac:dyDescent="0.3">
      <c r="A270" s="4">
        <v>0.18893519165566</v>
      </c>
      <c r="H270" s="4">
        <v>0.21704815746139999</v>
      </c>
      <c r="I270" s="2">
        <f t="shared" si="31"/>
        <v>0.89999999999999991</v>
      </c>
      <c r="J270" s="2">
        <f t="shared" si="30"/>
        <v>1.2811261510381207</v>
      </c>
    </row>
    <row r="271" spans="1:10" x14ac:dyDescent="0.3">
      <c r="A271" s="4">
        <v>0.20805996969384</v>
      </c>
      <c r="H271" s="4">
        <v>0.21707484270072999</v>
      </c>
      <c r="I271" s="2">
        <f t="shared" si="31"/>
        <v>0.96666666666666656</v>
      </c>
      <c r="J271" s="2">
        <f t="shared" si="30"/>
        <v>1.8368588976886859</v>
      </c>
    </row>
    <row r="272" spans="1:10" s="6" customFormat="1" ht="5.25" customHeight="1" x14ac:dyDescent="0.3">
      <c r="C272" s="7"/>
    </row>
    <row r="273" spans="1:10" x14ac:dyDescent="0.3">
      <c r="A273" s="1" t="s">
        <v>27</v>
      </c>
      <c r="C273" s="3" t="s">
        <v>1</v>
      </c>
      <c r="D273" s="1" t="s">
        <v>2</v>
      </c>
      <c r="E273" s="1" t="s">
        <v>3</v>
      </c>
      <c r="F273" s="1"/>
      <c r="H273" s="1" t="s">
        <v>4</v>
      </c>
      <c r="I273" s="1" t="s">
        <v>5</v>
      </c>
      <c r="J273" s="1" t="s">
        <v>6</v>
      </c>
    </row>
    <row r="274" spans="1:10" x14ac:dyDescent="0.3">
      <c r="A274" s="4">
        <v>0.21239408776995999</v>
      </c>
      <c r="C274" s="5">
        <f>AVERAGE(A274:A288)</f>
        <v>0.22776318527484801</v>
      </c>
      <c r="D274" s="2">
        <f>_xlfn.VAR.S(A274:A288)</f>
        <v>2.0220463110706875E-4</v>
      </c>
      <c r="E274" s="2">
        <f>SQRT(D274)/C274</f>
        <v>6.2432686219129285E-2</v>
      </c>
      <c r="H274" s="4">
        <v>0.21224278749018999</v>
      </c>
      <c r="I274" s="2">
        <f>1/15 - 0.5/15</f>
        <v>3.3333333333333333E-2</v>
      </c>
      <c r="J274" s="2">
        <f t="shared" ref="J274:J288" si="32">4.91*(I274^0.14-(1-I274)^0.14)</f>
        <v>-1.836858897688687</v>
      </c>
    </row>
    <row r="275" spans="1:10" x14ac:dyDescent="0.3">
      <c r="A275" s="4">
        <v>0.21763193794737001</v>
      </c>
      <c r="H275" s="4">
        <v>0.21239408776995999</v>
      </c>
      <c r="I275" s="2">
        <f t="shared" ref="I275:I288" si="33">I274+1/15</f>
        <v>0.1</v>
      </c>
      <c r="J275" s="2">
        <f t="shared" si="32"/>
        <v>-1.2811261510381207</v>
      </c>
    </row>
    <row r="276" spans="1:10" x14ac:dyDescent="0.3">
      <c r="A276" s="4">
        <v>0.21224278749018999</v>
      </c>
      <c r="C276" s="3" t="s">
        <v>7</v>
      </c>
      <c r="E276" s="1" t="s">
        <v>8</v>
      </c>
      <c r="H276" s="4">
        <v>0.21539306678862999</v>
      </c>
      <c r="I276" s="2">
        <f t="shared" si="33"/>
        <v>0.16666666666666669</v>
      </c>
      <c r="J276" s="2">
        <f t="shared" si="32"/>
        <v>-0.96558119772402384</v>
      </c>
    </row>
    <row r="277" spans="1:10" x14ac:dyDescent="0.3">
      <c r="A277" s="4">
        <v>0.22023095194122</v>
      </c>
      <c r="C277" s="5">
        <f>MEDIAN(A274:A288)</f>
        <v>0.22377592500029</v>
      </c>
      <c r="E277" s="2">
        <v>2.145</v>
      </c>
      <c r="H277" s="4">
        <v>0.21763193794737001</v>
      </c>
      <c r="I277" s="2">
        <f t="shared" si="33"/>
        <v>0.23333333333333334</v>
      </c>
      <c r="J277" s="2">
        <f t="shared" si="32"/>
        <v>-0.72575040815577163</v>
      </c>
    </row>
    <row r="278" spans="1:10" x14ac:dyDescent="0.3">
      <c r="A278" s="4">
        <v>0.24819989994441999</v>
      </c>
      <c r="H278" s="4">
        <v>0.22023095194122</v>
      </c>
      <c r="I278" s="2">
        <f t="shared" si="33"/>
        <v>0.3</v>
      </c>
      <c r="J278" s="2">
        <f t="shared" si="32"/>
        <v>-0.52246305252576009</v>
      </c>
    </row>
    <row r="279" spans="1:10" x14ac:dyDescent="0.3">
      <c r="A279" s="4">
        <v>0.25690234726476002</v>
      </c>
      <c r="C279" s="3"/>
      <c r="D279" s="1" t="s">
        <v>9</v>
      </c>
      <c r="H279" s="4">
        <v>0.22082212662105</v>
      </c>
      <c r="I279" s="2">
        <f t="shared" si="33"/>
        <v>0.36666666666666664</v>
      </c>
      <c r="J279" s="2">
        <f t="shared" si="32"/>
        <v>-0.33927638280750583</v>
      </c>
    </row>
    <row r="280" spans="1:10" x14ac:dyDescent="0.3">
      <c r="A280" s="4">
        <v>0.22468492198299</v>
      </c>
      <c r="C280" s="3" t="s">
        <v>10</v>
      </c>
      <c r="D280" s="2">
        <f>C274+E277*SQRT(D274)/(SQRT(15))</f>
        <v>0.23563866859478633</v>
      </c>
      <c r="H280" s="4">
        <v>0.22298736195596</v>
      </c>
      <c r="I280" s="2">
        <f t="shared" si="33"/>
        <v>0.43333333333333329</v>
      </c>
      <c r="J280" s="2">
        <f t="shared" si="32"/>
        <v>-0.16715058832373922</v>
      </c>
    </row>
    <row r="281" spans="1:10" x14ac:dyDescent="0.3">
      <c r="A281" s="4">
        <v>0.22082212662105</v>
      </c>
      <c r="C281" s="3" t="s">
        <v>11</v>
      </c>
      <c r="D281" s="2">
        <f>C274-E277*SQRT(D274)/(SQRT(15))</f>
        <v>0.2198877019549097</v>
      </c>
      <c r="H281" s="4">
        <v>0.22377592500029</v>
      </c>
      <c r="I281" s="2">
        <f t="shared" si="33"/>
        <v>0.49999999999999994</v>
      </c>
      <c r="J281" s="2">
        <f t="shared" si="32"/>
        <v>0</v>
      </c>
    </row>
    <row r="282" spans="1:10" x14ac:dyDescent="0.3">
      <c r="A282" s="4">
        <v>0.23846179037080001</v>
      </c>
      <c r="H282" s="4">
        <v>0.22468492198299</v>
      </c>
      <c r="I282" s="2">
        <f t="shared" si="33"/>
        <v>0.56666666666666665</v>
      </c>
      <c r="J282" s="2">
        <f t="shared" si="32"/>
        <v>0.16715058832373922</v>
      </c>
    </row>
    <row r="283" spans="1:10" x14ac:dyDescent="0.3">
      <c r="A283" s="4">
        <v>0.22377592500029</v>
      </c>
      <c r="H283" s="4">
        <v>0.22564109558337</v>
      </c>
      <c r="I283" s="2">
        <f t="shared" si="33"/>
        <v>0.6333333333333333</v>
      </c>
      <c r="J283" s="2">
        <f t="shared" si="32"/>
        <v>0.33927638280750583</v>
      </c>
    </row>
    <row r="284" spans="1:10" x14ac:dyDescent="0.3">
      <c r="A284" s="4">
        <v>0.22575236381066999</v>
      </c>
      <c r="H284" s="4">
        <v>0.22575236381066999</v>
      </c>
      <c r="I284" s="2">
        <f t="shared" si="33"/>
        <v>0.7</v>
      </c>
      <c r="J284" s="2">
        <f t="shared" si="32"/>
        <v>0.52246305252576009</v>
      </c>
    </row>
    <row r="285" spans="1:10" x14ac:dyDescent="0.3">
      <c r="A285" s="4">
        <v>0.21539306678862999</v>
      </c>
      <c r="H285" s="4">
        <v>0.23846179037080001</v>
      </c>
      <c r="I285" s="2">
        <f t="shared" si="33"/>
        <v>0.76666666666666661</v>
      </c>
      <c r="J285" s="2">
        <f t="shared" si="32"/>
        <v>0.72575040815577163</v>
      </c>
    </row>
    <row r="286" spans="1:10" x14ac:dyDescent="0.3">
      <c r="A286" s="4">
        <v>0.22298736195596</v>
      </c>
      <c r="H286" s="4">
        <v>0.24819989994441999</v>
      </c>
      <c r="I286" s="2">
        <f t="shared" si="33"/>
        <v>0.83333333333333326</v>
      </c>
      <c r="J286" s="2">
        <f t="shared" si="32"/>
        <v>0.96558119772402329</v>
      </c>
    </row>
    <row r="287" spans="1:10" x14ac:dyDescent="0.3">
      <c r="A287" s="4">
        <v>0.22564109558337</v>
      </c>
      <c r="H287" s="4">
        <v>0.25132711465104002</v>
      </c>
      <c r="I287" s="2">
        <f t="shared" si="33"/>
        <v>0.89999999999999991</v>
      </c>
      <c r="J287" s="2">
        <f t="shared" si="32"/>
        <v>1.2811261510381207</v>
      </c>
    </row>
    <row r="288" spans="1:10" x14ac:dyDescent="0.3">
      <c r="A288" s="4">
        <v>0.25132711465104002</v>
      </c>
      <c r="H288" s="4">
        <v>0.25690234726476002</v>
      </c>
      <c r="I288" s="2">
        <f t="shared" si="33"/>
        <v>0.96666666666666656</v>
      </c>
      <c r="J288" s="2">
        <f t="shared" si="32"/>
        <v>1.8368588976886859</v>
      </c>
    </row>
    <row r="289" spans="1:5" s="6" customFormat="1" ht="5.25" customHeight="1" x14ac:dyDescent="0.3">
      <c r="C289" s="7"/>
    </row>
    <row r="291" spans="1:5" x14ac:dyDescent="0.3">
      <c r="A291" s="1"/>
      <c r="C291" s="1"/>
      <c r="D291" s="1"/>
      <c r="E291" s="1"/>
    </row>
    <row r="292" spans="1:5" x14ac:dyDescent="0.3">
      <c r="A292" s="10" t="s">
        <v>28</v>
      </c>
      <c r="B292" s="10"/>
      <c r="C292" s="10"/>
    </row>
    <row r="293" spans="1:5" x14ac:dyDescent="0.3">
      <c r="A293" s="1" t="s">
        <v>29</v>
      </c>
      <c r="B293" s="1" t="s">
        <v>30</v>
      </c>
      <c r="C293" s="1" t="s">
        <v>31</v>
      </c>
    </row>
    <row r="294" spans="1:5" x14ac:dyDescent="0.3">
      <c r="A294" s="1" t="s">
        <v>0</v>
      </c>
      <c r="B294" s="2">
        <f>0.001*1</f>
        <v>1E-3</v>
      </c>
      <c r="C294" s="2">
        <f>C2</f>
        <v>2.2488479200599269E-2</v>
      </c>
    </row>
    <row r="295" spans="1:5" x14ac:dyDescent="0.3">
      <c r="A295" s="1" t="s">
        <v>32</v>
      </c>
      <c r="B295" s="2">
        <f>0.001*1.25</f>
        <v>1.25E-3</v>
      </c>
      <c r="C295" s="2">
        <f>C19</f>
        <v>2.703985030982E-2</v>
      </c>
    </row>
    <row r="296" spans="1:5" x14ac:dyDescent="0.3">
      <c r="A296" s="1" t="s">
        <v>33</v>
      </c>
      <c r="B296" s="2">
        <f>0.001*1.5</f>
        <v>1.5E-3</v>
      </c>
      <c r="C296" s="2">
        <f>C36</f>
        <v>3.19231898051546E-2</v>
      </c>
    </row>
    <row r="297" spans="1:5" x14ac:dyDescent="0.3">
      <c r="A297" s="1" t="s">
        <v>34</v>
      </c>
      <c r="B297" s="2">
        <f>0.001*1.75</f>
        <v>1.75E-3</v>
      </c>
      <c r="C297" s="2">
        <f>C53</f>
        <v>3.7309287424013335E-2</v>
      </c>
    </row>
    <row r="298" spans="1:5" x14ac:dyDescent="0.3">
      <c r="A298" s="1" t="s">
        <v>15</v>
      </c>
      <c r="B298" s="2">
        <f>0.001*2</f>
        <v>2E-3</v>
      </c>
      <c r="C298" s="2">
        <f>C70</f>
        <v>4.3329953980818667E-2</v>
      </c>
    </row>
    <row r="299" spans="1:5" x14ac:dyDescent="0.3">
      <c r="A299" s="1" t="s">
        <v>35</v>
      </c>
      <c r="B299" s="2">
        <f>0.001*2.25</f>
        <v>2.2500000000000003E-3</v>
      </c>
      <c r="C299" s="2">
        <f>C87</f>
        <v>4.9786187808653737E-2</v>
      </c>
    </row>
    <row r="300" spans="1:5" x14ac:dyDescent="0.3">
      <c r="A300" s="1" t="s">
        <v>36</v>
      </c>
      <c r="B300" s="2">
        <f>0.001*2.5</f>
        <v>2.5000000000000001E-3</v>
      </c>
      <c r="C300" s="2">
        <f>C104</f>
        <v>5.7010257620044795E-2</v>
      </c>
    </row>
    <row r="301" spans="1:5" x14ac:dyDescent="0.3">
      <c r="A301" s="1" t="s">
        <v>37</v>
      </c>
      <c r="B301" s="2">
        <f>0.001*2.75</f>
        <v>2.7499999999999998E-3</v>
      </c>
      <c r="C301" s="2">
        <f>C121</f>
        <v>6.5205432449581394E-2</v>
      </c>
    </row>
    <row r="302" spans="1:5" x14ac:dyDescent="0.3">
      <c r="A302" s="1" t="s">
        <v>38</v>
      </c>
      <c r="B302" s="2">
        <f>0.001*3</f>
        <v>3.0000000000000001E-3</v>
      </c>
      <c r="C302" s="2">
        <f>C138</f>
        <v>7.4405242378960804E-2</v>
      </c>
    </row>
    <row r="303" spans="1:5" x14ac:dyDescent="0.3">
      <c r="A303" s="1" t="s">
        <v>39</v>
      </c>
      <c r="B303" s="2">
        <f>0.001*3.25</f>
        <v>3.2500000000000003E-3</v>
      </c>
      <c r="C303" s="2">
        <f>C155</f>
        <v>8.4526408610900272E-2</v>
      </c>
    </row>
    <row r="304" spans="1:5" x14ac:dyDescent="0.3">
      <c r="A304" s="1" t="s">
        <v>40</v>
      </c>
      <c r="B304" s="2">
        <f>0.001*3.5</f>
        <v>3.5000000000000001E-3</v>
      </c>
      <c r="C304" s="2">
        <f>C172</f>
        <v>9.6647923670421604E-2</v>
      </c>
    </row>
    <row r="305" spans="1:7" x14ac:dyDescent="0.3">
      <c r="A305" s="1" t="s">
        <v>41</v>
      </c>
      <c r="B305" s="2">
        <f>0.001*3.75</f>
        <v>3.7499999999999999E-3</v>
      </c>
      <c r="C305" s="2">
        <f>C189</f>
        <v>0.10989657918898001</v>
      </c>
    </row>
    <row r="306" spans="1:7" x14ac:dyDescent="0.3">
      <c r="A306" s="1" t="s">
        <v>42</v>
      </c>
      <c r="B306" s="2">
        <f>0.001*4</f>
        <v>4.0000000000000001E-3</v>
      </c>
      <c r="C306" s="2">
        <f>C206</f>
        <v>0.12626785856157799</v>
      </c>
    </row>
    <row r="307" spans="1:7" x14ac:dyDescent="0.3">
      <c r="A307" s="1" t="s">
        <v>43</v>
      </c>
      <c r="B307" s="2">
        <f>0.001*4.25</f>
        <v>4.2500000000000003E-3</v>
      </c>
      <c r="C307" s="2">
        <f>C223</f>
        <v>0.14478821155959667</v>
      </c>
    </row>
    <row r="308" spans="1:7" x14ac:dyDescent="0.3">
      <c r="A308" s="1" t="s">
        <v>44</v>
      </c>
      <c r="B308" s="2">
        <f>0.001*4.5</f>
        <v>4.5000000000000005E-3</v>
      </c>
      <c r="C308" s="2">
        <f>C240</f>
        <v>0.16684909818648735</v>
      </c>
    </row>
    <row r="309" spans="1:7" x14ac:dyDescent="0.3">
      <c r="A309" s="1" t="s">
        <v>45</v>
      </c>
      <c r="B309" s="2">
        <f>0.001*4.75</f>
        <v>4.7499999999999999E-3</v>
      </c>
      <c r="C309" s="2">
        <f>C257</f>
        <v>0.19449425719785868</v>
      </c>
    </row>
    <row r="310" spans="1:7" x14ac:dyDescent="0.3">
      <c r="A310" s="1" t="s">
        <v>46</v>
      </c>
      <c r="B310" s="2">
        <f>0.001*5</f>
        <v>5.0000000000000001E-3</v>
      </c>
      <c r="C310" s="2">
        <f>C274</f>
        <v>0.22776318527484801</v>
      </c>
    </row>
    <row r="314" spans="1:7" x14ac:dyDescent="0.3">
      <c r="A314" s="10" t="s">
        <v>47</v>
      </c>
      <c r="B314" s="10"/>
      <c r="C314" s="10"/>
      <c r="D314" s="10"/>
    </row>
    <row r="315" spans="1:7" x14ac:dyDescent="0.3">
      <c r="A315" s="1" t="s">
        <v>29</v>
      </c>
      <c r="B315" s="1" t="s">
        <v>30</v>
      </c>
      <c r="C315" s="1" t="s">
        <v>48</v>
      </c>
      <c r="D315" s="1" t="s">
        <v>49</v>
      </c>
      <c r="F315" s="3"/>
      <c r="G315" s="3"/>
    </row>
    <row r="316" spans="1:7" x14ac:dyDescent="0.3">
      <c r="A316" s="1" t="s">
        <v>0</v>
      </c>
      <c r="B316" s="2">
        <f>0.001*1</f>
        <v>1E-3</v>
      </c>
      <c r="C316" s="2">
        <f t="shared" ref="C316:C324" si="34">LN(C294)</f>
        <v>-3.7947521364356414</v>
      </c>
      <c r="D316" s="2">
        <f t="shared" ref="D316:D332" si="35">C316-B316*$C$336-$D$336</f>
        <v>-6.5532136435641597E-2</v>
      </c>
    </row>
    <row r="317" spans="1:7" x14ac:dyDescent="0.3">
      <c r="A317" s="1" t="s">
        <v>32</v>
      </c>
      <c r="B317" s="2">
        <f>0.001*1.25</f>
        <v>1.25E-3</v>
      </c>
      <c r="C317" s="2">
        <f t="shared" si="34"/>
        <v>-3.6104435637021348</v>
      </c>
      <c r="D317" s="2">
        <f t="shared" si="35"/>
        <v>-2.0943563702134682E-2</v>
      </c>
    </row>
    <row r="318" spans="1:7" x14ac:dyDescent="0.3">
      <c r="A318" s="1" t="s">
        <v>33</v>
      </c>
      <c r="B318" s="2">
        <f>0.001*1.5</f>
        <v>1.5E-3</v>
      </c>
      <c r="C318" s="2">
        <f t="shared" si="34"/>
        <v>-3.4444225801541433</v>
      </c>
      <c r="D318" s="2">
        <f t="shared" si="35"/>
        <v>5.3574198458568034E-3</v>
      </c>
    </row>
    <row r="319" spans="1:7" x14ac:dyDescent="0.3">
      <c r="A319" s="1" t="s">
        <v>34</v>
      </c>
      <c r="B319" s="2">
        <f>0.001*1.75</f>
        <v>1.75E-3</v>
      </c>
      <c r="C319" s="2">
        <f t="shared" si="34"/>
        <v>-3.2885129907249864</v>
      </c>
      <c r="D319" s="2">
        <f t="shared" si="35"/>
        <v>2.1547009275013629E-2</v>
      </c>
    </row>
    <row r="320" spans="1:7" x14ac:dyDescent="0.3">
      <c r="A320" s="1" t="s">
        <v>15</v>
      </c>
      <c r="B320" s="2">
        <f>0.001*2</f>
        <v>2E-3</v>
      </c>
      <c r="C320" s="2">
        <f t="shared" si="34"/>
        <v>-3.1389111052936878</v>
      </c>
      <c r="D320" s="2">
        <f t="shared" si="35"/>
        <v>3.1428894706312605E-2</v>
      </c>
    </row>
    <row r="321" spans="1:4" x14ac:dyDescent="0.3">
      <c r="A321" s="1" t="s">
        <v>35</v>
      </c>
      <c r="B321" s="2">
        <f>0.001*2.25</f>
        <v>2.2500000000000003E-3</v>
      </c>
      <c r="C321" s="2">
        <f t="shared" si="34"/>
        <v>-3.0000176866609376</v>
      </c>
      <c r="D321" s="2">
        <f t="shared" si="35"/>
        <v>3.060231333906227E-2</v>
      </c>
    </row>
    <row r="322" spans="1:4" x14ac:dyDescent="0.3">
      <c r="A322" s="1" t="s">
        <v>36</v>
      </c>
      <c r="B322" s="2">
        <f>0.001*2.5</f>
        <v>2.5000000000000001E-3</v>
      </c>
      <c r="C322" s="2">
        <f t="shared" si="34"/>
        <v>-2.86452406909173</v>
      </c>
      <c r="D322" s="2">
        <f t="shared" si="35"/>
        <v>2.6375930908270284E-2</v>
      </c>
    </row>
    <row r="323" spans="1:4" x14ac:dyDescent="0.3">
      <c r="A323" s="1" t="s">
        <v>37</v>
      </c>
      <c r="B323" s="2">
        <f>0.001*2.75</f>
        <v>2.7499999999999998E-3</v>
      </c>
      <c r="C323" s="2">
        <f t="shared" si="34"/>
        <v>-2.7302124937415742</v>
      </c>
      <c r="D323" s="2">
        <f t="shared" si="35"/>
        <v>2.0967506258426027E-2</v>
      </c>
    </row>
    <row r="324" spans="1:4" x14ac:dyDescent="0.3">
      <c r="A324" s="1" t="s">
        <v>38</v>
      </c>
      <c r="B324" s="2">
        <f>0.001*3</f>
        <v>3.0000000000000001E-3</v>
      </c>
      <c r="C324" s="2">
        <f t="shared" si="34"/>
        <v>-2.5982288775426201</v>
      </c>
      <c r="D324" s="2">
        <f t="shared" si="35"/>
        <v>1.3231122457379563E-2</v>
      </c>
    </row>
    <row r="325" spans="1:4" x14ac:dyDescent="0.3">
      <c r="A325" s="1" t="s">
        <v>39</v>
      </c>
      <c r="B325" s="2">
        <f>0.001*3.25</f>
        <v>3.2500000000000003E-3</v>
      </c>
      <c r="C325" s="2">
        <f t="shared" ref="C325:C332" si="36">LN(C303)</f>
        <v>-2.4706912655060442</v>
      </c>
      <c r="D325" s="2">
        <f t="shared" si="35"/>
        <v>1.0487344939553722E-3</v>
      </c>
    </row>
    <row r="326" spans="1:4" x14ac:dyDescent="0.3">
      <c r="A326" s="1" t="s">
        <v>40</v>
      </c>
      <c r="B326" s="2">
        <f>0.001*3.5</f>
        <v>3.5000000000000001E-3</v>
      </c>
      <c r="C326" s="2">
        <f t="shared" si="36"/>
        <v>-2.3366805565340214</v>
      </c>
      <c r="D326" s="2">
        <f t="shared" si="35"/>
        <v>-4.6605565340218646E-3</v>
      </c>
    </row>
    <row r="327" spans="1:4" x14ac:dyDescent="0.3">
      <c r="A327" s="1" t="s">
        <v>41</v>
      </c>
      <c r="B327" s="2">
        <f>0.001*3.75</f>
        <v>3.7499999999999999E-3</v>
      </c>
      <c r="C327" s="2">
        <f t="shared" si="36"/>
        <v>-2.2082155446358933</v>
      </c>
      <c r="D327" s="2">
        <f t="shared" si="35"/>
        <v>-1.5915544635893397E-2</v>
      </c>
    </row>
    <row r="328" spans="1:4" x14ac:dyDescent="0.3">
      <c r="A328" s="1" t="s">
        <v>42</v>
      </c>
      <c r="B328" s="2">
        <f>0.001*4</f>
        <v>4.0000000000000001E-3</v>
      </c>
      <c r="C328" s="2">
        <f t="shared" si="36"/>
        <v>-2.069349766877242</v>
      </c>
      <c r="D328" s="2">
        <f t="shared" si="35"/>
        <v>-1.6769766877242631E-2</v>
      </c>
    </row>
    <row r="329" spans="1:4" x14ac:dyDescent="0.3">
      <c r="A329" s="1" t="s">
        <v>43</v>
      </c>
      <c r="B329" s="2">
        <f>0.001*4.25</f>
        <v>4.2500000000000003E-3</v>
      </c>
      <c r="C329" s="2">
        <f t="shared" si="36"/>
        <v>-1.9324832142258865</v>
      </c>
      <c r="D329" s="2">
        <f t="shared" si="35"/>
        <v>-1.9623214225886976E-2</v>
      </c>
    </row>
    <row r="330" spans="1:4" x14ac:dyDescent="0.3">
      <c r="A330" s="1" t="s">
        <v>44</v>
      </c>
      <c r="B330" s="2">
        <f>0.001*4.5</f>
        <v>4.5000000000000005E-3</v>
      </c>
      <c r="C330" s="2">
        <f t="shared" si="36"/>
        <v>-1.7906654787350074</v>
      </c>
      <c r="D330" s="2">
        <f t="shared" si="35"/>
        <v>-1.7525478735008093E-2</v>
      </c>
    </row>
    <row r="331" spans="1:4" x14ac:dyDescent="0.3">
      <c r="A331" s="1" t="s">
        <v>45</v>
      </c>
      <c r="B331" s="2">
        <f>0.001*4.75</f>
        <v>4.7499999999999999E-3</v>
      </c>
      <c r="C331" s="2">
        <f t="shared" si="36"/>
        <v>-1.6373526423345559</v>
      </c>
      <c r="D331" s="2">
        <f t="shared" si="35"/>
        <v>-3.9326423345560357E-3</v>
      </c>
    </row>
    <row r="332" spans="1:4" x14ac:dyDescent="0.3">
      <c r="A332" s="1" t="s">
        <v>46</v>
      </c>
      <c r="B332" s="2">
        <f>0.001*5</f>
        <v>5.0000000000000001E-3</v>
      </c>
      <c r="C332" s="2">
        <f t="shared" si="36"/>
        <v>-1.4794488508851384</v>
      </c>
      <c r="D332" s="2">
        <f t="shared" si="35"/>
        <v>1.4251149114861583E-2</v>
      </c>
    </row>
    <row r="333" spans="1:4" x14ac:dyDescent="0.3">
      <c r="A333" s="1"/>
      <c r="C333" s="2"/>
    </row>
    <row r="334" spans="1:4" x14ac:dyDescent="0.3">
      <c r="A334" s="1"/>
      <c r="C334" s="10" t="s">
        <v>50</v>
      </c>
      <c r="D334" s="10"/>
    </row>
    <row r="335" spans="1:4" x14ac:dyDescent="0.3">
      <c r="A335" s="1"/>
      <c r="C335" s="1" t="s">
        <v>51</v>
      </c>
      <c r="D335" s="1" t="s">
        <v>52</v>
      </c>
    </row>
    <row r="336" spans="1:4" x14ac:dyDescent="0.3">
      <c r="A336" s="1"/>
      <c r="C336" s="2">
        <v>558.88</v>
      </c>
      <c r="D336" s="2">
        <v>-4.2881</v>
      </c>
    </row>
    <row r="337" spans="1:3" x14ac:dyDescent="0.3">
      <c r="A337" s="1"/>
      <c r="C337" s="2"/>
    </row>
    <row r="338" spans="1:3" x14ac:dyDescent="0.3">
      <c r="A338" s="10" t="s">
        <v>53</v>
      </c>
      <c r="B338" s="10"/>
      <c r="C338" s="10"/>
    </row>
    <row r="339" spans="1:3" x14ac:dyDescent="0.3">
      <c r="A339" s="1" t="s">
        <v>49</v>
      </c>
      <c r="B339" s="1" t="s">
        <v>5</v>
      </c>
      <c r="C339" s="1" t="s">
        <v>54</v>
      </c>
    </row>
    <row r="340" spans="1:3" x14ac:dyDescent="0.3">
      <c r="A340" s="2">
        <v>-6.55521364356417E-2</v>
      </c>
      <c r="B340" s="2">
        <f>1/17-0.5/17</f>
        <v>2.9411764705882353E-2</v>
      </c>
      <c r="C340" s="2">
        <f t="shared" ref="C340:C356" si="37">4.91*(B340^0.14-(1-B340)^0.14)</f>
        <v>-1.892606769946193</v>
      </c>
    </row>
    <row r="341" spans="1:3" x14ac:dyDescent="0.3">
      <c r="A341" s="2">
        <v>-2.0968563702134624E-2</v>
      </c>
      <c r="B341" s="2">
        <f>B340+1/17</f>
        <v>8.8235294117647051E-2</v>
      </c>
      <c r="C341" s="2">
        <f t="shared" si="37"/>
        <v>-1.3517163260689069</v>
      </c>
    </row>
    <row r="342" spans="1:3" x14ac:dyDescent="0.3">
      <c r="A342" s="2">
        <v>-1.9708214225886422E-2</v>
      </c>
      <c r="B342" s="2">
        <f t="shared" ref="B342:B356" si="38">B341+1/17</f>
        <v>0.14705882352941174</v>
      </c>
      <c r="C342" s="2">
        <f t="shared" si="37"/>
        <v>-1.0475564165538114</v>
      </c>
    </row>
    <row r="343" spans="1:3" x14ac:dyDescent="0.3">
      <c r="A343" s="2">
        <v>-1.7615478735006462E-2</v>
      </c>
      <c r="B343" s="2">
        <f t="shared" si="38"/>
        <v>0.20588235294117646</v>
      </c>
      <c r="C343" s="2">
        <f t="shared" si="37"/>
        <v>-0.81867424703979319</v>
      </c>
    </row>
    <row r="344" spans="1:3" x14ac:dyDescent="0.3">
      <c r="A344" s="2">
        <v>-1.6849766877241379E-2</v>
      </c>
      <c r="B344" s="2">
        <f t="shared" si="38"/>
        <v>0.26470588235294118</v>
      </c>
      <c r="C344" s="2">
        <f t="shared" si="37"/>
        <v>-0.62679866180874044</v>
      </c>
    </row>
    <row r="345" spans="1:3" x14ac:dyDescent="0.3">
      <c r="A345" s="2">
        <v>-1.5990544635893222E-2</v>
      </c>
      <c r="B345" s="2">
        <f t="shared" si="38"/>
        <v>0.3235294117647059</v>
      </c>
      <c r="C345" s="2">
        <f t="shared" si="37"/>
        <v>-0.456072772415898</v>
      </c>
    </row>
    <row r="346" spans="1:3" x14ac:dyDescent="0.3">
      <c r="A346" s="2">
        <v>-4.730556534020991E-3</v>
      </c>
      <c r="B346" s="2">
        <f t="shared" si="38"/>
        <v>0.38235294117647062</v>
      </c>
      <c r="C346" s="2">
        <f t="shared" si="37"/>
        <v>-0.29803703224243727</v>
      </c>
    </row>
    <row r="347" spans="1:3" x14ac:dyDescent="0.3">
      <c r="A347" s="2">
        <v>-4.027642334555992E-3</v>
      </c>
      <c r="B347" s="2">
        <f t="shared" si="38"/>
        <v>0.44117647058823534</v>
      </c>
      <c r="C347" s="2">
        <f t="shared" si="37"/>
        <v>-0.14732901802071113</v>
      </c>
    </row>
    <row r="348" spans="1:3" x14ac:dyDescent="0.3">
      <c r="A348" s="2">
        <v>9.8373449395605661E-4</v>
      </c>
      <c r="B348" s="2">
        <f t="shared" si="38"/>
        <v>0.5</v>
      </c>
      <c r="C348" s="2">
        <f t="shared" si="37"/>
        <v>0</v>
      </c>
    </row>
    <row r="349" spans="1:3" x14ac:dyDescent="0.3">
      <c r="A349" s="2">
        <v>5.327419845857051E-3</v>
      </c>
      <c r="B349" s="2">
        <f t="shared" si="38"/>
        <v>0.55882352941176472</v>
      </c>
      <c r="C349" s="2">
        <f t="shared" si="37"/>
        <v>0.14732901802071113</v>
      </c>
    </row>
    <row r="350" spans="1:3" x14ac:dyDescent="0.3">
      <c r="A350" s="2">
        <v>1.3171122457380058E-2</v>
      </c>
      <c r="B350" s="2">
        <f t="shared" si="38"/>
        <v>0.61764705882352944</v>
      </c>
      <c r="C350" s="2">
        <f t="shared" si="37"/>
        <v>0.29803703224243727</v>
      </c>
    </row>
    <row r="351" spans="1:3" x14ac:dyDescent="0.3">
      <c r="A351" s="2">
        <v>1.4151149114861816E-2</v>
      </c>
      <c r="B351" s="2">
        <f t="shared" si="38"/>
        <v>0.67647058823529416</v>
      </c>
      <c r="C351" s="2">
        <f t="shared" si="37"/>
        <v>0.456072772415898</v>
      </c>
    </row>
    <row r="352" spans="1:3" x14ac:dyDescent="0.3">
      <c r="A352" s="2">
        <v>2.0912506258426333E-2</v>
      </c>
      <c r="B352" s="2">
        <f t="shared" si="38"/>
        <v>0.73529411764705888</v>
      </c>
      <c r="C352" s="2">
        <f t="shared" si="37"/>
        <v>0.62679866180874044</v>
      </c>
    </row>
    <row r="353" spans="1:3" x14ac:dyDescent="0.3">
      <c r="A353" s="2">
        <v>2.1512009275014066E-2</v>
      </c>
      <c r="B353" s="2">
        <f t="shared" si="38"/>
        <v>0.79411764705882359</v>
      </c>
      <c r="C353" s="2">
        <f t="shared" si="37"/>
        <v>0.81867424703979319</v>
      </c>
    </row>
    <row r="354" spans="1:3" x14ac:dyDescent="0.3">
      <c r="A354" s="2">
        <v>2.6325930908270401E-2</v>
      </c>
      <c r="B354" s="2">
        <f t="shared" si="38"/>
        <v>0.85294117647058831</v>
      </c>
      <c r="C354" s="2">
        <f t="shared" si="37"/>
        <v>1.0475564165538114</v>
      </c>
    </row>
    <row r="355" spans="1:3" x14ac:dyDescent="0.3">
      <c r="A355" s="2">
        <v>3.0557313339063086E-2</v>
      </c>
      <c r="B355" s="2">
        <f t="shared" si="38"/>
        <v>0.91176470588235303</v>
      </c>
      <c r="C355" s="2">
        <f t="shared" si="37"/>
        <v>1.3517163260689069</v>
      </c>
    </row>
    <row r="356" spans="1:3" x14ac:dyDescent="0.3">
      <c r="A356" s="2">
        <v>3.1388894706312342E-2</v>
      </c>
      <c r="B356" s="2">
        <f t="shared" si="38"/>
        <v>0.97058823529411775</v>
      </c>
      <c r="C356" s="2">
        <f t="shared" si="37"/>
        <v>1.8926067699461953</v>
      </c>
    </row>
    <row r="358" spans="1:3" x14ac:dyDescent="0.3">
      <c r="A358" s="10" t="s">
        <v>55</v>
      </c>
      <c r="B358" s="10"/>
    </row>
    <row r="359" spans="1:3" x14ac:dyDescent="0.3">
      <c r="A359" s="1" t="s">
        <v>49</v>
      </c>
      <c r="B359" s="1" t="s">
        <v>56</v>
      </c>
    </row>
    <row r="360" spans="1:3" x14ac:dyDescent="0.3">
      <c r="A360" s="2">
        <v>-6.5552136435641728E-2</v>
      </c>
      <c r="B360" s="2">
        <f>B316*$C$336+$D$336</f>
        <v>-3.7292199999999998</v>
      </c>
    </row>
    <row r="361" spans="1:3" x14ac:dyDescent="0.3">
      <c r="A361" s="2">
        <v>-2.0968563702134624E-2</v>
      </c>
      <c r="B361" s="2">
        <f t="shared" ref="B361:B376" si="39">B317*$C$336+$D$336</f>
        <v>-3.5895000000000001</v>
      </c>
    </row>
    <row r="362" spans="1:3" x14ac:dyDescent="0.3">
      <c r="A362" s="2">
        <v>5.327419845857051E-3</v>
      </c>
      <c r="B362" s="2">
        <f t="shared" si="39"/>
        <v>-3.4497800000000001</v>
      </c>
    </row>
    <row r="363" spans="1:3" x14ac:dyDescent="0.3">
      <c r="A363" s="2">
        <v>2.1512009275014066E-2</v>
      </c>
      <c r="B363" s="2">
        <f t="shared" si="39"/>
        <v>-3.31006</v>
      </c>
    </row>
    <row r="364" spans="1:3" x14ac:dyDescent="0.3">
      <c r="A364" s="2">
        <v>3.1388894706312342E-2</v>
      </c>
      <c r="B364" s="2">
        <f t="shared" si="39"/>
        <v>-3.1703399999999999</v>
      </c>
    </row>
    <row r="365" spans="1:3" x14ac:dyDescent="0.3">
      <c r="A365" s="2">
        <v>3.0557313339063086E-2</v>
      </c>
      <c r="B365" s="2">
        <f t="shared" si="39"/>
        <v>-3.0306199999999999</v>
      </c>
    </row>
    <row r="366" spans="1:3" x14ac:dyDescent="0.3">
      <c r="A366" s="2">
        <v>2.6325930908270401E-2</v>
      </c>
      <c r="B366" s="2">
        <f t="shared" si="39"/>
        <v>-2.8909000000000002</v>
      </c>
    </row>
    <row r="367" spans="1:3" x14ac:dyDescent="0.3">
      <c r="A367" s="2">
        <v>2.0912506258426333E-2</v>
      </c>
      <c r="B367" s="2">
        <f t="shared" si="39"/>
        <v>-2.7511800000000002</v>
      </c>
    </row>
    <row r="368" spans="1:3" x14ac:dyDescent="0.3">
      <c r="A368" s="2">
        <v>1.3171122457380058E-2</v>
      </c>
      <c r="B368" s="2">
        <f t="shared" si="39"/>
        <v>-2.6114600000000001</v>
      </c>
    </row>
    <row r="369" spans="1:2" x14ac:dyDescent="0.3">
      <c r="A369" s="2">
        <v>9.8373449395605661E-4</v>
      </c>
      <c r="B369" s="2">
        <f t="shared" si="39"/>
        <v>-2.4717399999999996</v>
      </c>
    </row>
    <row r="370" spans="1:2" x14ac:dyDescent="0.3">
      <c r="A370" s="2">
        <v>-4.730556534020991E-3</v>
      </c>
      <c r="B370" s="2">
        <f t="shared" si="39"/>
        <v>-2.33202</v>
      </c>
    </row>
    <row r="371" spans="1:2" x14ac:dyDescent="0.3">
      <c r="A371" s="2">
        <v>-1.5990544635893222E-2</v>
      </c>
      <c r="B371" s="2">
        <f t="shared" si="39"/>
        <v>-2.1922999999999999</v>
      </c>
    </row>
    <row r="372" spans="1:2" x14ac:dyDescent="0.3">
      <c r="A372" s="2">
        <v>-1.6849766877241379E-2</v>
      </c>
      <c r="B372" s="2">
        <f t="shared" si="39"/>
        <v>-2.0525799999999998</v>
      </c>
    </row>
    <row r="373" spans="1:2" x14ac:dyDescent="0.3">
      <c r="A373" s="2">
        <v>-1.9708214225886422E-2</v>
      </c>
      <c r="B373" s="2">
        <f t="shared" si="39"/>
        <v>-1.9128599999999998</v>
      </c>
    </row>
    <row r="374" spans="1:2" x14ac:dyDescent="0.3">
      <c r="A374" s="2">
        <v>-1.7615478735006462E-2</v>
      </c>
      <c r="B374" s="2">
        <f t="shared" si="39"/>
        <v>-1.7731399999999997</v>
      </c>
    </row>
    <row r="375" spans="1:2" x14ac:dyDescent="0.3">
      <c r="A375" s="2">
        <v>-4.027642334555992E-3</v>
      </c>
      <c r="B375" s="2">
        <f t="shared" si="39"/>
        <v>-1.6334200000000001</v>
      </c>
    </row>
    <row r="376" spans="1:2" x14ac:dyDescent="0.3">
      <c r="A376" s="2">
        <v>1.4151149114861816E-2</v>
      </c>
      <c r="B376" s="2">
        <f t="shared" si="39"/>
        <v>-1.4937</v>
      </c>
    </row>
    <row r="379" spans="1:2" x14ac:dyDescent="0.3">
      <c r="A379" s="10" t="s">
        <v>57</v>
      </c>
      <c r="B379" s="10"/>
    </row>
    <row r="380" spans="1:2" x14ac:dyDescent="0.3">
      <c r="A380" s="1" t="s">
        <v>49</v>
      </c>
      <c r="B380" s="1" t="s">
        <v>58</v>
      </c>
    </row>
    <row r="381" spans="1:2" x14ac:dyDescent="0.3">
      <c r="A381" s="2">
        <v>-6.5552136435641728E-2</v>
      </c>
      <c r="B381" s="2">
        <v>1</v>
      </c>
    </row>
    <row r="382" spans="1:2" x14ac:dyDescent="0.3">
      <c r="A382" s="2">
        <v>-2.0968563702134624E-2</v>
      </c>
      <c r="B382" s="2">
        <v>2</v>
      </c>
    </row>
    <row r="383" spans="1:2" x14ac:dyDescent="0.3">
      <c r="A383" s="2">
        <v>5.327419845857051E-3</v>
      </c>
      <c r="B383" s="2">
        <v>3</v>
      </c>
    </row>
    <row r="384" spans="1:2" x14ac:dyDescent="0.3">
      <c r="A384" s="2">
        <v>2.1512009275014066E-2</v>
      </c>
      <c r="B384" s="2">
        <v>4</v>
      </c>
    </row>
    <row r="385" spans="1:12" x14ac:dyDescent="0.3">
      <c r="A385" s="2">
        <v>3.1388894706312342E-2</v>
      </c>
      <c r="B385" s="2">
        <v>5</v>
      </c>
    </row>
    <row r="386" spans="1:12" x14ac:dyDescent="0.3">
      <c r="A386" s="2">
        <v>3.0557313339063086E-2</v>
      </c>
      <c r="B386" s="2">
        <v>6</v>
      </c>
    </row>
    <row r="387" spans="1:12" x14ac:dyDescent="0.3">
      <c r="A387" s="2">
        <v>2.6325930908270401E-2</v>
      </c>
      <c r="B387" s="2">
        <v>7</v>
      </c>
    </row>
    <row r="388" spans="1:12" x14ac:dyDescent="0.3">
      <c r="A388" s="2">
        <v>2.0912506258426333E-2</v>
      </c>
      <c r="B388" s="2">
        <v>8</v>
      </c>
    </row>
    <row r="389" spans="1:12" x14ac:dyDescent="0.3">
      <c r="A389" s="2">
        <v>1.3171122457380058E-2</v>
      </c>
      <c r="B389" s="2">
        <v>9</v>
      </c>
    </row>
    <row r="390" spans="1:12" x14ac:dyDescent="0.3">
      <c r="A390" s="2">
        <v>9.8373449395605661E-4</v>
      </c>
      <c r="B390" s="2">
        <v>10</v>
      </c>
    </row>
    <row r="391" spans="1:12" x14ac:dyDescent="0.3">
      <c r="A391" s="2">
        <v>-4.730556534020991E-3</v>
      </c>
      <c r="B391" s="2">
        <v>11</v>
      </c>
    </row>
    <row r="392" spans="1:12" x14ac:dyDescent="0.3">
      <c r="A392" s="2">
        <v>-1.5990544635893222E-2</v>
      </c>
      <c r="B392" s="2">
        <v>12</v>
      </c>
    </row>
    <row r="393" spans="1:12" x14ac:dyDescent="0.3">
      <c r="A393" s="2">
        <v>-1.6849766877241379E-2</v>
      </c>
      <c r="B393" s="2">
        <v>13</v>
      </c>
    </row>
    <row r="394" spans="1:12" x14ac:dyDescent="0.3">
      <c r="A394" s="2">
        <v>-1.9708214225886422E-2</v>
      </c>
      <c r="B394" s="2">
        <v>14</v>
      </c>
    </row>
    <row r="395" spans="1:12" x14ac:dyDescent="0.3">
      <c r="A395" s="2">
        <v>-1.7615478735006462E-2</v>
      </c>
      <c r="B395" s="2">
        <v>15</v>
      </c>
    </row>
    <row r="396" spans="1:12" x14ac:dyDescent="0.3">
      <c r="A396" s="2">
        <v>-4.027642334555992E-3</v>
      </c>
      <c r="B396" s="2">
        <v>16</v>
      </c>
    </row>
    <row r="397" spans="1:12" x14ac:dyDescent="0.3">
      <c r="A397" s="2">
        <v>1.4151149114861816E-2</v>
      </c>
      <c r="B397" s="2">
        <v>17</v>
      </c>
    </row>
    <row r="400" spans="1:12" x14ac:dyDescent="0.3">
      <c r="A400" s="10" t="s">
        <v>59</v>
      </c>
      <c r="B400" s="10"/>
      <c r="C400" s="10"/>
      <c r="E400" s="1" t="s">
        <v>60</v>
      </c>
      <c r="F400" s="1" t="s">
        <v>61</v>
      </c>
      <c r="G400" s="1" t="s">
        <v>62</v>
      </c>
      <c r="H400" s="1" t="s">
        <v>63</v>
      </c>
      <c r="L400" s="1" t="s">
        <v>64</v>
      </c>
    </row>
    <row r="401" spans="1:12" x14ac:dyDescent="0.3">
      <c r="A401" s="1"/>
      <c r="B401" s="1" t="s">
        <v>51</v>
      </c>
      <c r="C401" s="1" t="s">
        <v>52</v>
      </c>
      <c r="E401" s="2">
        <v>2.1309999999999998</v>
      </c>
      <c r="F401" s="2">
        <f>SUM(D316*D316, D317*D317,D318*D318,D319*D319,D320*D320,D321*D321,D322*D322,D323*D323,D324*D324,D325*D325,D326*D326,D327*D327,D328*D328,D329*D329,D330*D330,D331*D331,D332*D332)</f>
        <v>9.9288591197786557E-3</v>
      </c>
      <c r="G401" s="2">
        <f>SUM(C316:C332)/17</f>
        <v>-2.6114654601812499</v>
      </c>
      <c r="H401" s="2">
        <f>SUM(C316*C316,C317*C317,C318*C318,C319*C319,C320*C320,C321*C321,C322*C322,C323*C323,C324*C324,C325*C325,C326*C326,C327*C327,C328*C328,C329*C329,C330*C330,C331*C331,C332*C332)-17*G401*G401</f>
        <v>7.9747329196906094</v>
      </c>
      <c r="L401" s="2">
        <f t="shared" ref="L401:L417" si="40">(C316-$G$401)^2</f>
        <v>1.4001673582011649</v>
      </c>
    </row>
    <row r="402" spans="1:12" x14ac:dyDescent="0.3">
      <c r="A402" s="1" t="s">
        <v>65</v>
      </c>
      <c r="B402" s="2">
        <f>$C$336+$E$401*SQRT(($F$401/15)*(1/$H$401))</f>
        <v>558.89941464352944</v>
      </c>
      <c r="C402" s="2">
        <f>$D$336+$E$401*SQRT(($F$401/(17*15))*(($G$401^2)/$H$401))</f>
        <v>-4.2758032810695008</v>
      </c>
      <c r="L402" s="2">
        <f t="shared" si="40"/>
        <v>0.99795725131418378</v>
      </c>
    </row>
    <row r="403" spans="1:12" x14ac:dyDescent="0.3">
      <c r="A403" s="1" t="s">
        <v>66</v>
      </c>
      <c r="B403" s="2">
        <f>$C$336-$E$401*SQRT(($F$401/15)*(1/$H$401))</f>
        <v>558.86058535647055</v>
      </c>
      <c r="C403" s="2">
        <f>$D$336-$E$401*SQRT(($F$401/(17*15))*(($G$401^2)/$H$401))</f>
        <v>-4.3003967189304992</v>
      </c>
      <c r="E403" s="1" t="s">
        <v>67</v>
      </c>
      <c r="F403" s="1" t="s">
        <v>68</v>
      </c>
      <c r="L403" s="2">
        <f t="shared" si="40"/>
        <v>0.69381756371353709</v>
      </c>
    </row>
    <row r="404" spans="1:12" x14ac:dyDescent="0.3">
      <c r="E404" s="2">
        <f>SUM(L401:L417)</f>
        <v>7.9747329196906147</v>
      </c>
      <c r="F404" s="2">
        <f>($E$404-$F$401)/$E$404</f>
        <v>0.99875496029525168</v>
      </c>
      <c r="L404" s="2">
        <f t="shared" si="40"/>
        <v>0.45839335861537173</v>
      </c>
    </row>
    <row r="405" spans="1:12" x14ac:dyDescent="0.3">
      <c r="A405" s="10" t="s">
        <v>69</v>
      </c>
      <c r="B405" s="10"/>
      <c r="C405" s="10"/>
      <c r="L405" s="2">
        <f t="shared" si="40"/>
        <v>0.27819890854807572</v>
      </c>
    </row>
    <row r="406" spans="1:12" x14ac:dyDescent="0.3">
      <c r="A406" s="1" t="s">
        <v>56</v>
      </c>
      <c r="B406" s="1" t="s">
        <v>11</v>
      </c>
      <c r="C406" s="1" t="s">
        <v>10</v>
      </c>
      <c r="L406" s="2">
        <f t="shared" si="40"/>
        <v>0.15097283270232251</v>
      </c>
    </row>
    <row r="407" spans="1:12" x14ac:dyDescent="0.3">
      <c r="A407" s="2">
        <v>-3.7292000000000001</v>
      </c>
      <c r="B407" s="2">
        <f t="shared" ref="B407:B423" si="41">$A407-$E$401*SQRT(($F$401/15)*(1 + 1/17 +((B316-$G$401)^2)/$H$401))</f>
        <v>-3.8050633515566767</v>
      </c>
      <c r="C407" s="2">
        <f t="shared" ref="C407:C423" si="42">$A407+$E$401*SQRT(($F$401/15)*(1 + 1/17 +((B316-$G$401)^2)/$H$401))</f>
        <v>-3.6533366484433234</v>
      </c>
      <c r="L407" s="2">
        <f t="shared" si="40"/>
        <v>6.4038659543707285E-2</v>
      </c>
    </row>
    <row r="408" spans="1:12" x14ac:dyDescent="0.3">
      <c r="A408" s="2">
        <v>-3.5894750000000002</v>
      </c>
      <c r="B408" s="2">
        <f t="shared" si="41"/>
        <v>-3.6653415966625711</v>
      </c>
      <c r="C408" s="2">
        <f t="shared" si="42"/>
        <v>-3.5136084033374293</v>
      </c>
      <c r="L408" s="2">
        <f t="shared" si="40"/>
        <v>1.410085797937677E-2</v>
      </c>
    </row>
    <row r="409" spans="1:12" x14ac:dyDescent="0.3">
      <c r="A409" s="2">
        <v>-3.4497499999999999</v>
      </c>
      <c r="B409" s="2">
        <f t="shared" si="41"/>
        <v>-3.5256198419401712</v>
      </c>
      <c r="C409" s="2">
        <f t="shared" si="42"/>
        <v>-3.3738801580598285</v>
      </c>
      <c r="L409" s="2">
        <f t="shared" si="40"/>
        <v>1.7520711994927616E-4</v>
      </c>
    </row>
    <row r="410" spans="1:12" x14ac:dyDescent="0.3">
      <c r="A410" s="2">
        <v>-3.310025</v>
      </c>
      <c r="B410" s="2">
        <f t="shared" si="41"/>
        <v>-3.3858980873894557</v>
      </c>
      <c r="C410" s="2">
        <f t="shared" si="42"/>
        <v>-3.2341519126105442</v>
      </c>
      <c r="L410" s="2">
        <f t="shared" si="40"/>
        <v>1.9817373886452709E-2</v>
      </c>
    </row>
    <row r="411" spans="1:12" x14ac:dyDescent="0.3">
      <c r="A411" s="2">
        <v>-3.1703000000000001</v>
      </c>
      <c r="B411" s="2">
        <f t="shared" si="41"/>
        <v>-3.2461763330104021</v>
      </c>
      <c r="C411" s="2">
        <f t="shared" si="42"/>
        <v>-3.0944236669895981</v>
      </c>
      <c r="L411" s="2">
        <f t="shared" si="40"/>
        <v>7.550674327241666E-2</v>
      </c>
    </row>
    <row r="412" spans="1:12" x14ac:dyDescent="0.3">
      <c r="A412" s="2">
        <v>-3.0305750000000002</v>
      </c>
      <c r="B412" s="2">
        <f t="shared" si="41"/>
        <v>-3.1064545788029885</v>
      </c>
      <c r="C412" s="2">
        <f t="shared" si="42"/>
        <v>-2.954695421197012</v>
      </c>
      <c r="L412" s="2">
        <f t="shared" si="40"/>
        <v>0.16261049438733724</v>
      </c>
    </row>
    <row r="413" spans="1:12" x14ac:dyDescent="0.3">
      <c r="A413" s="2">
        <v>-2.8908500000000004</v>
      </c>
      <c r="B413" s="2">
        <f t="shared" si="41"/>
        <v>-2.9667328247671927</v>
      </c>
      <c r="C413" s="2">
        <f t="shared" si="42"/>
        <v>-2.814967175232808</v>
      </c>
      <c r="L413" s="2">
        <f t="shared" si="40"/>
        <v>0.29388942492648512</v>
      </c>
    </row>
    <row r="414" spans="1:12" x14ac:dyDescent="0.3">
      <c r="A414" s="2">
        <v>-2.751125</v>
      </c>
      <c r="B414" s="2">
        <f t="shared" si="41"/>
        <v>-2.8270110709029925</v>
      </c>
      <c r="C414" s="2">
        <f t="shared" si="42"/>
        <v>-2.6752389290970076</v>
      </c>
      <c r="L414" s="2">
        <f t="shared" si="40"/>
        <v>0.46101689032258958</v>
      </c>
    </row>
    <row r="415" spans="1:12" x14ac:dyDescent="0.3">
      <c r="A415" s="2">
        <v>-2.6114000000000002</v>
      </c>
      <c r="B415" s="2">
        <f t="shared" si="41"/>
        <v>-2.6872893172103667</v>
      </c>
      <c r="C415" s="2">
        <f t="shared" si="42"/>
        <v>-2.5355106827896337</v>
      </c>
      <c r="L415" s="2">
        <f t="shared" si="40"/>
        <v>0.67371260954215217</v>
      </c>
    </row>
    <row r="416" spans="1:12" x14ac:dyDescent="0.3">
      <c r="A416" s="2">
        <v>-2.4716750000000003</v>
      </c>
      <c r="B416" s="2">
        <f t="shared" si="41"/>
        <v>-2.5475675636892925</v>
      </c>
      <c r="C416" s="2">
        <f t="shared" si="42"/>
        <v>-2.3957824363107081</v>
      </c>
      <c r="L416" s="2">
        <f t="shared" si="40"/>
        <v>0.94889578189322643</v>
      </c>
    </row>
    <row r="417" spans="1:12" x14ac:dyDescent="0.3">
      <c r="A417" s="2">
        <v>-2.33195</v>
      </c>
      <c r="B417" s="2">
        <f t="shared" si="41"/>
        <v>-2.4078458103397482</v>
      </c>
      <c r="C417" s="2">
        <f t="shared" si="42"/>
        <v>-2.2560541896602517</v>
      </c>
      <c r="L417" s="2">
        <f t="shared" si="40"/>
        <v>1.281461603722265</v>
      </c>
    </row>
    <row r="418" spans="1:12" x14ac:dyDescent="0.3">
      <c r="A418" s="2">
        <v>-2.1922250000000001</v>
      </c>
      <c r="B418" s="2">
        <f t="shared" si="41"/>
        <v>-2.2681240571617121</v>
      </c>
      <c r="C418" s="2">
        <f t="shared" si="42"/>
        <v>-2.1163259428382881</v>
      </c>
    </row>
    <row r="419" spans="1:12" x14ac:dyDescent="0.3">
      <c r="A419" s="2">
        <v>-2.0525000000000002</v>
      </c>
      <c r="B419" s="2">
        <f t="shared" si="41"/>
        <v>-2.1284023041551614</v>
      </c>
      <c r="C419" s="2">
        <f t="shared" si="42"/>
        <v>-1.976597695844839</v>
      </c>
    </row>
    <row r="420" spans="1:12" x14ac:dyDescent="0.3">
      <c r="A420" s="2">
        <v>-1.9127750000000003</v>
      </c>
      <c r="B420" s="2">
        <f t="shared" si="41"/>
        <v>-1.9886805513200749</v>
      </c>
      <c r="C420" s="2">
        <f t="shared" si="42"/>
        <v>-1.8368694486799257</v>
      </c>
    </row>
    <row r="421" spans="1:12" x14ac:dyDescent="0.3">
      <c r="A421" s="2">
        <v>-1.7730500000000005</v>
      </c>
      <c r="B421" s="2">
        <f t="shared" si="41"/>
        <v>-1.8489587986564302</v>
      </c>
      <c r="C421" s="2">
        <f t="shared" si="42"/>
        <v>-1.6971412013435707</v>
      </c>
    </row>
    <row r="422" spans="1:12" x14ac:dyDescent="0.3">
      <c r="A422" s="2">
        <v>-1.6333250000000001</v>
      </c>
      <c r="B422" s="2">
        <f t="shared" si="41"/>
        <v>-1.7092370461642048</v>
      </c>
      <c r="C422" s="2">
        <f t="shared" si="42"/>
        <v>-1.5574129538357955</v>
      </c>
    </row>
    <row r="423" spans="1:12" x14ac:dyDescent="0.3">
      <c r="A423" s="2">
        <v>-1.4936000000000003</v>
      </c>
      <c r="B423" s="2">
        <f t="shared" si="41"/>
        <v>-1.5695152938433778</v>
      </c>
      <c r="C423" s="2">
        <f t="shared" si="42"/>
        <v>-1.4176847061566227</v>
      </c>
    </row>
  </sheetData>
  <sortState xmlns:xlrd2="http://schemas.microsoft.com/office/spreadsheetml/2017/richdata2" ref="A340:A356">
    <sortCondition ref="A340:A356"/>
  </sortState>
  <mergeCells count="8">
    <mergeCell ref="A400:C400"/>
    <mergeCell ref="A405:C405"/>
    <mergeCell ref="A292:C292"/>
    <mergeCell ref="A314:D314"/>
    <mergeCell ref="C334:D334"/>
    <mergeCell ref="A338:C338"/>
    <mergeCell ref="A358:B358"/>
    <mergeCell ref="A379:B379"/>
  </mergeCells>
  <phoneticPr fontId="7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D8249050D244AB3291E25E44E9E61" ma:contentTypeVersion="8" ma:contentTypeDescription="Create a new document." ma:contentTypeScope="" ma:versionID="de66317dd7ce282fecab2c27c9f14507">
  <xsd:schema xmlns:xsd="http://www.w3.org/2001/XMLSchema" xmlns:xs="http://www.w3.org/2001/XMLSchema" xmlns:p="http://schemas.microsoft.com/office/2006/metadata/properties" xmlns:ns2="66de5014-e8da-4796-bdfb-c10b0cfdf816" xmlns:ns3="a004e035-50b8-418f-b096-b0421c71bc5c" targetNamespace="http://schemas.microsoft.com/office/2006/metadata/properties" ma:root="true" ma:fieldsID="1fbdb41caee633568256cb29b570d179" ns2:_="" ns3:_="">
    <xsd:import namespace="66de5014-e8da-4796-bdfb-c10b0cfdf816"/>
    <xsd:import namespace="a004e035-50b8-418f-b096-b0421c71bc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e5014-e8da-4796-bdfb-c10b0cfdf8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4e035-50b8-418f-b096-b0421c71b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45CD54-FFAF-40B2-892D-47CF52A505D2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004e035-50b8-418f-b096-b0421c71bc5c"/>
    <ds:schemaRef ds:uri="http://schemas.microsoft.com/office/2006/documentManagement/types"/>
    <ds:schemaRef ds:uri="66de5014-e8da-4796-bdfb-c10b0cfdf81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F560BC-2084-4B39-868D-D0357398B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e5014-e8da-4796-bdfb-c10b0cfdf816"/>
    <ds:schemaRef ds:uri="a004e035-50b8-418f-b096-b0421c71b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C363AB-8718-43E8-B3FA-17F75D01E1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Linear regression 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Marta Sanguinetti</cp:lastModifiedBy>
  <cp:revision/>
  <dcterms:created xsi:type="dcterms:W3CDTF">2022-01-04T14:03:25Z</dcterms:created>
  <dcterms:modified xsi:type="dcterms:W3CDTF">2022-01-08T15:26:58Z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0x0101008A9D8249050D244AB3291E25E44E9E61</vt:lpwstr>
  </property>
</Properties>
</file>