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iit.sharepoint.com/sites/Project4/Shared Documents/General/Data_Analysis/"/>
    </mc:Choice>
  </mc:AlternateContent>
  <xr:revisionPtr revIDLastSave="130" documentId="11_33820654731F534B7B045316464C442C3B730393" xr6:coauthVersionLast="47" xr6:coauthVersionMax="47" xr10:uidLastSave="{AB825969-F107-4BFA-AF07-2284B11FF048}"/>
  <bookViews>
    <workbookView xWindow="-108" yWindow="-108" windowWidth="23256" windowHeight="12720" xr2:uid="{00000000-000D-0000-FFFF-FFFF00000000}"/>
  </bookViews>
  <sheets>
    <sheet name="Linear regression δ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5" i="1" l="1"/>
  <c r="D128" i="1"/>
  <c r="D111" i="1"/>
  <c r="D94" i="1"/>
  <c r="D77" i="1"/>
  <c r="D60" i="1"/>
  <c r="D43" i="1"/>
  <c r="D26" i="1"/>
  <c r="D9" i="1"/>
  <c r="B181" i="1"/>
  <c r="B180" i="1"/>
  <c r="B179" i="1"/>
  <c r="B178" i="1"/>
  <c r="B177" i="1"/>
  <c r="B176" i="1"/>
  <c r="B175" i="1"/>
  <c r="B174" i="1"/>
  <c r="B173" i="1"/>
  <c r="B166" i="1"/>
  <c r="B165" i="1"/>
  <c r="B164" i="1"/>
  <c r="B163" i="1"/>
  <c r="B162" i="1"/>
  <c r="B161" i="1"/>
  <c r="B160" i="1"/>
  <c r="B159" i="1"/>
  <c r="B158" i="1"/>
  <c r="B209" i="1" l="1"/>
  <c r="A239" i="1" s="1"/>
  <c r="B206" i="1"/>
  <c r="A236" i="1" s="1"/>
  <c r="B205" i="1"/>
  <c r="A235" i="1" s="1"/>
  <c r="B202" i="1"/>
  <c r="A232" i="1" s="1"/>
  <c r="B201" i="1"/>
  <c r="A231" i="1" s="1"/>
  <c r="B190" i="1"/>
  <c r="B191" i="1" s="1"/>
  <c r="C189" i="1"/>
  <c r="B189" i="1"/>
  <c r="B208" i="1"/>
  <c r="A238" i="1" s="1"/>
  <c r="B207" i="1"/>
  <c r="A237" i="1" s="1"/>
  <c r="B204" i="1"/>
  <c r="A234" i="1" s="1"/>
  <c r="B203" i="1"/>
  <c r="A233" i="1" s="1"/>
  <c r="C165" i="1"/>
  <c r="C180" i="1" s="1"/>
  <c r="C141" i="1"/>
  <c r="I138" i="1"/>
  <c r="I139" i="1" s="1"/>
  <c r="D138" i="1"/>
  <c r="C138" i="1"/>
  <c r="C124" i="1"/>
  <c r="I121" i="1"/>
  <c r="I122" i="1" s="1"/>
  <c r="D121" i="1"/>
  <c r="C121" i="1"/>
  <c r="C107" i="1"/>
  <c r="I104" i="1"/>
  <c r="I105" i="1" s="1"/>
  <c r="D104" i="1"/>
  <c r="C104" i="1"/>
  <c r="C90" i="1"/>
  <c r="I87" i="1"/>
  <c r="I88" i="1" s="1"/>
  <c r="D87" i="1"/>
  <c r="C87" i="1"/>
  <c r="E87" i="1" s="1"/>
  <c r="C73" i="1"/>
  <c r="I70" i="1"/>
  <c r="I71" i="1" s="1"/>
  <c r="D70" i="1"/>
  <c r="C70" i="1"/>
  <c r="C56" i="1"/>
  <c r="I53" i="1"/>
  <c r="I54" i="1" s="1"/>
  <c r="D53" i="1"/>
  <c r="C53" i="1"/>
  <c r="E53" i="1" s="1"/>
  <c r="C39" i="1"/>
  <c r="I36" i="1"/>
  <c r="I37" i="1" s="1"/>
  <c r="D36" i="1"/>
  <c r="C36" i="1"/>
  <c r="D42" i="1" s="1"/>
  <c r="C22" i="1"/>
  <c r="I20" i="1"/>
  <c r="I21" i="1" s="1"/>
  <c r="J21" i="1" s="1"/>
  <c r="I19" i="1"/>
  <c r="J19" i="1" s="1"/>
  <c r="D19" i="1"/>
  <c r="C19" i="1"/>
  <c r="C5" i="1"/>
  <c r="I3" i="1"/>
  <c r="I4" i="1" s="1"/>
  <c r="I2" i="1"/>
  <c r="J2" i="1" s="1"/>
  <c r="D2" i="1"/>
  <c r="C2" i="1"/>
  <c r="C158" i="1" s="1"/>
  <c r="C173" i="1" s="1"/>
  <c r="D144" i="1" l="1"/>
  <c r="E121" i="1"/>
  <c r="D127" i="1"/>
  <c r="D110" i="1"/>
  <c r="D93" i="1"/>
  <c r="D76" i="1"/>
  <c r="D59" i="1"/>
  <c r="D25" i="1"/>
  <c r="E19" i="1"/>
  <c r="C159" i="1"/>
  <c r="C174" i="1" s="1"/>
  <c r="D173" i="1"/>
  <c r="E2" i="1"/>
  <c r="J4" i="1"/>
  <c r="I5" i="1"/>
  <c r="J3" i="1"/>
  <c r="I22" i="1"/>
  <c r="D180" i="1"/>
  <c r="C190" i="1"/>
  <c r="C191" i="1"/>
  <c r="B192" i="1"/>
  <c r="J37" i="1"/>
  <c r="I38" i="1"/>
  <c r="J54" i="1"/>
  <c r="I55" i="1"/>
  <c r="J71" i="1"/>
  <c r="I72" i="1"/>
  <c r="J88" i="1"/>
  <c r="I89" i="1"/>
  <c r="J105" i="1"/>
  <c r="I106" i="1"/>
  <c r="J122" i="1"/>
  <c r="I123" i="1"/>
  <c r="J139" i="1"/>
  <c r="I140" i="1"/>
  <c r="D174" i="1"/>
  <c r="J20" i="1"/>
  <c r="J36" i="1"/>
  <c r="J53" i="1"/>
  <c r="J70" i="1"/>
  <c r="J87" i="1"/>
  <c r="J104" i="1"/>
  <c r="J121" i="1"/>
  <c r="J138" i="1"/>
  <c r="E104" i="1"/>
  <c r="C164" i="1"/>
  <c r="C179" i="1" s="1"/>
  <c r="E138" i="1"/>
  <c r="C166" i="1"/>
  <c r="C181" i="1" s="1"/>
  <c r="C163" i="1"/>
  <c r="C178" i="1" s="1"/>
  <c r="E36" i="1"/>
  <c r="C160" i="1"/>
  <c r="C175" i="1" s="1"/>
  <c r="E70" i="1"/>
  <c r="C162" i="1"/>
  <c r="C177" i="1" s="1"/>
  <c r="D8" i="1"/>
  <c r="C161" i="1"/>
  <c r="C176" i="1" s="1"/>
  <c r="G225" i="1" l="1"/>
  <c r="L226" i="1" s="1"/>
  <c r="I56" i="1"/>
  <c r="J55" i="1"/>
  <c r="D178" i="1"/>
  <c r="D181" i="1"/>
  <c r="I124" i="1"/>
  <c r="J123" i="1"/>
  <c r="D176" i="1"/>
  <c r="D175" i="1"/>
  <c r="L227" i="1"/>
  <c r="I6" i="1"/>
  <c r="J5" i="1"/>
  <c r="D177" i="1"/>
  <c r="I90" i="1"/>
  <c r="J89" i="1"/>
  <c r="D179" i="1"/>
  <c r="I141" i="1"/>
  <c r="J140" i="1"/>
  <c r="I107" i="1"/>
  <c r="J106" i="1"/>
  <c r="I73" i="1"/>
  <c r="J72" i="1"/>
  <c r="I39" i="1"/>
  <c r="J38" i="1"/>
  <c r="B193" i="1"/>
  <c r="C192" i="1"/>
  <c r="I23" i="1"/>
  <c r="J22" i="1"/>
  <c r="H225" i="1" l="1"/>
  <c r="L231" i="1"/>
  <c r="L229" i="1"/>
  <c r="L233" i="1"/>
  <c r="L228" i="1"/>
  <c r="L230" i="1"/>
  <c r="L232" i="1"/>
  <c r="L225" i="1"/>
  <c r="F225" i="1"/>
  <c r="C236" i="1" s="1"/>
  <c r="C193" i="1"/>
  <c r="B194" i="1"/>
  <c r="I74" i="1"/>
  <c r="J73" i="1"/>
  <c r="I142" i="1"/>
  <c r="J141" i="1"/>
  <c r="I91" i="1"/>
  <c r="J90" i="1"/>
  <c r="I7" i="1"/>
  <c r="J6" i="1"/>
  <c r="I24" i="1"/>
  <c r="J23" i="1"/>
  <c r="I57" i="1"/>
  <c r="J56" i="1"/>
  <c r="I40" i="1"/>
  <c r="J39" i="1"/>
  <c r="I108" i="1"/>
  <c r="J107" i="1"/>
  <c r="I125" i="1"/>
  <c r="J124" i="1"/>
  <c r="E228" i="1" l="1"/>
  <c r="F228" i="1" s="1"/>
  <c r="B239" i="1"/>
  <c r="C237" i="1"/>
  <c r="C235" i="1"/>
  <c r="C231" i="1"/>
  <c r="C238" i="1"/>
  <c r="C226" i="1"/>
  <c r="C232" i="1"/>
  <c r="B233" i="1"/>
  <c r="B234" i="1"/>
  <c r="C234" i="1"/>
  <c r="B237" i="1"/>
  <c r="B227" i="1"/>
  <c r="C239" i="1"/>
  <c r="C233" i="1"/>
  <c r="B232" i="1"/>
  <c r="B231" i="1"/>
  <c r="B226" i="1"/>
  <c r="C227" i="1"/>
  <c r="B238" i="1"/>
  <c r="B236" i="1"/>
  <c r="B235" i="1"/>
  <c r="I58" i="1"/>
  <c r="J57" i="1"/>
  <c r="I143" i="1"/>
  <c r="J142" i="1"/>
  <c r="J24" i="1"/>
  <c r="I25" i="1"/>
  <c r="I75" i="1"/>
  <c r="J74" i="1"/>
  <c r="I109" i="1"/>
  <c r="J108" i="1"/>
  <c r="J7" i="1"/>
  <c r="I8" i="1"/>
  <c r="I126" i="1"/>
  <c r="J125" i="1"/>
  <c r="I41" i="1"/>
  <c r="J40" i="1"/>
  <c r="I92" i="1"/>
  <c r="J91" i="1"/>
  <c r="B195" i="1"/>
  <c r="C194" i="1"/>
  <c r="C195" i="1" l="1"/>
  <c r="B196" i="1"/>
  <c r="I42" i="1"/>
  <c r="J41" i="1"/>
  <c r="I76" i="1"/>
  <c r="J75" i="1"/>
  <c r="I144" i="1"/>
  <c r="J143" i="1"/>
  <c r="I9" i="1"/>
  <c r="J8" i="1"/>
  <c r="I26" i="1"/>
  <c r="J25" i="1"/>
  <c r="I93" i="1"/>
  <c r="J92" i="1"/>
  <c r="I127" i="1"/>
  <c r="J126" i="1"/>
  <c r="I110" i="1"/>
  <c r="J109" i="1"/>
  <c r="I59" i="1"/>
  <c r="J58" i="1"/>
  <c r="J42" i="1" l="1"/>
  <c r="I43" i="1"/>
  <c r="J59" i="1"/>
  <c r="I60" i="1"/>
  <c r="J26" i="1"/>
  <c r="I27" i="1"/>
  <c r="J144" i="1"/>
  <c r="I145" i="1"/>
  <c r="B197" i="1"/>
  <c r="C197" i="1" s="1"/>
  <c r="C196" i="1"/>
  <c r="J127" i="1"/>
  <c r="I128" i="1"/>
  <c r="J110" i="1"/>
  <c r="I111" i="1"/>
  <c r="J93" i="1"/>
  <c r="I94" i="1"/>
  <c r="I10" i="1"/>
  <c r="J9" i="1"/>
  <c r="J76" i="1"/>
  <c r="I77" i="1"/>
  <c r="I129" i="1" l="1"/>
  <c r="J128" i="1"/>
  <c r="I61" i="1"/>
  <c r="J60" i="1"/>
  <c r="I78" i="1"/>
  <c r="J77" i="1"/>
  <c r="I146" i="1"/>
  <c r="J145" i="1"/>
  <c r="I112" i="1"/>
  <c r="J111" i="1"/>
  <c r="I28" i="1"/>
  <c r="J27" i="1"/>
  <c r="I44" i="1"/>
  <c r="J43" i="1"/>
  <c r="I95" i="1"/>
  <c r="J94" i="1"/>
  <c r="I11" i="1"/>
  <c r="J10" i="1"/>
  <c r="J95" i="1" l="1"/>
  <c r="I96" i="1"/>
  <c r="J28" i="1"/>
  <c r="I29" i="1"/>
  <c r="J146" i="1"/>
  <c r="I147" i="1"/>
  <c r="J61" i="1"/>
  <c r="I62" i="1"/>
  <c r="J11" i="1"/>
  <c r="I12" i="1"/>
  <c r="J44" i="1"/>
  <c r="I45" i="1"/>
  <c r="J112" i="1"/>
  <c r="I113" i="1"/>
  <c r="J78" i="1"/>
  <c r="I79" i="1"/>
  <c r="J129" i="1"/>
  <c r="I130" i="1"/>
  <c r="I80" i="1" l="1"/>
  <c r="J79" i="1"/>
  <c r="I46" i="1"/>
  <c r="J45" i="1"/>
  <c r="I63" i="1"/>
  <c r="J62" i="1"/>
  <c r="J29" i="1"/>
  <c r="I30" i="1"/>
  <c r="I131" i="1"/>
  <c r="J130" i="1"/>
  <c r="I114" i="1"/>
  <c r="J113" i="1"/>
  <c r="I13" i="1"/>
  <c r="J12" i="1"/>
  <c r="I148" i="1"/>
  <c r="J147" i="1"/>
  <c r="I97" i="1"/>
  <c r="J96" i="1"/>
  <c r="J30" i="1" l="1"/>
  <c r="I31" i="1"/>
  <c r="I149" i="1"/>
  <c r="J148" i="1"/>
  <c r="I115" i="1"/>
  <c r="J114" i="1"/>
  <c r="I47" i="1"/>
  <c r="J46" i="1"/>
  <c r="I98" i="1"/>
  <c r="J97" i="1"/>
  <c r="I14" i="1"/>
  <c r="J13" i="1"/>
  <c r="I132" i="1"/>
  <c r="J131" i="1"/>
  <c r="I64" i="1"/>
  <c r="J63" i="1"/>
  <c r="I81" i="1"/>
  <c r="J80" i="1"/>
  <c r="I65" i="1" l="1"/>
  <c r="J64" i="1"/>
  <c r="I15" i="1"/>
  <c r="J14" i="1"/>
  <c r="I48" i="1"/>
  <c r="J47" i="1"/>
  <c r="I150" i="1"/>
  <c r="J149" i="1"/>
  <c r="J31" i="1"/>
  <c r="I32" i="1"/>
  <c r="I82" i="1"/>
  <c r="J81" i="1"/>
  <c r="I133" i="1"/>
  <c r="J132" i="1"/>
  <c r="I99" i="1"/>
  <c r="J98" i="1"/>
  <c r="I116" i="1"/>
  <c r="J115" i="1"/>
  <c r="J82" i="1" l="1"/>
  <c r="I83" i="1"/>
  <c r="J15" i="1"/>
  <c r="I16" i="1"/>
  <c r="J16" i="1" s="1"/>
  <c r="I33" i="1"/>
  <c r="J33" i="1" s="1"/>
  <c r="J32" i="1"/>
  <c r="J99" i="1"/>
  <c r="I100" i="1"/>
  <c r="J150" i="1"/>
  <c r="I151" i="1"/>
  <c r="J116" i="1"/>
  <c r="I117" i="1"/>
  <c r="J133" i="1"/>
  <c r="I134" i="1"/>
  <c r="J48" i="1"/>
  <c r="I49" i="1"/>
  <c r="J65" i="1"/>
  <c r="I66" i="1"/>
  <c r="I50" i="1" l="1"/>
  <c r="J50" i="1" s="1"/>
  <c r="J49" i="1"/>
  <c r="I118" i="1"/>
  <c r="J118" i="1" s="1"/>
  <c r="J117" i="1"/>
  <c r="I101" i="1"/>
  <c r="J101" i="1" s="1"/>
  <c r="J100" i="1"/>
  <c r="I67" i="1"/>
  <c r="J67" i="1" s="1"/>
  <c r="J66" i="1"/>
  <c r="I135" i="1"/>
  <c r="J135" i="1" s="1"/>
  <c r="J134" i="1"/>
  <c r="I152" i="1"/>
  <c r="J152" i="1" s="1"/>
  <c r="J151" i="1"/>
  <c r="I84" i="1"/>
  <c r="J84" i="1" s="1"/>
  <c r="J83" i="1"/>
</calcChain>
</file>

<file path=xl/sharedStrings.xml><?xml version="1.0" encoding="utf-8"?>
<sst xmlns="http://schemas.openxmlformats.org/spreadsheetml/2006/main" count="164" uniqueCount="56">
  <si>
    <t>Observations δ = 1, μ = 7, λ = 22</t>
  </si>
  <si>
    <t>Sample Mean</t>
  </si>
  <si>
    <t>Sample Variance</t>
  </si>
  <si>
    <t>CoV</t>
  </si>
  <si>
    <t>Ordered Observations</t>
  </si>
  <si>
    <t>Quartiles</t>
  </si>
  <si>
    <t>normal values</t>
  </si>
  <si>
    <t>Sample Median</t>
  </si>
  <si>
    <t>Students Quantile</t>
  </si>
  <si>
    <t>Confidence Interval, 95% confidence</t>
  </si>
  <si>
    <t>Upper Limit</t>
  </si>
  <si>
    <t>Lower Limit</t>
  </si>
  <si>
    <t>Observations δ = 1.5, μ = 7, λ = 22</t>
  </si>
  <si>
    <t>Observations δ = 2, μ = 7, λ = 22</t>
  </si>
  <si>
    <t>Observations δ = 2.5, μ = 7, λ = 22</t>
  </si>
  <si>
    <t>Observations δ = 3, μ = 7, λ = 22</t>
  </si>
  <si>
    <t>Observations δ = 3.5, μ = 7, λ = 22</t>
  </si>
  <si>
    <t>Observations δ = 4, μ = 7, λ = 22</t>
  </si>
  <si>
    <t>Observations δ = 4.5, μ = 7, λ = 22</t>
  </si>
  <si>
    <t>Observations δ = 5, μ = 7, λ = 22</t>
  </si>
  <si>
    <t>Exponential fitting of Q1</t>
  </si>
  <si>
    <t>Factors</t>
  </si>
  <si>
    <t>δ</t>
  </si>
  <si>
    <t>Observations</t>
  </si>
  <si>
    <t>δ = 1, μ = 7, λ = 22</t>
  </si>
  <si>
    <t>δ = 1.5, μ = 7, λ = 22</t>
  </si>
  <si>
    <t>δ = 2, μ = 7, λ = 22</t>
  </si>
  <si>
    <t>δ = 2.5, μ = 7, λ = 22</t>
  </si>
  <si>
    <t>δ = 3, μ = 7, λ = 22</t>
  </si>
  <si>
    <t>δ = 3.5, μ = 7, λ = 22</t>
  </si>
  <si>
    <t>δ = 4, μ = 7, λ = 22</t>
  </si>
  <si>
    <t>δ = 4.5, μ = 7, λ = 22</t>
  </si>
  <si>
    <t>δ = 5, μ = 7, λ = 22</t>
  </si>
  <si>
    <t>Linear Fitting of the transformation of Q1</t>
  </si>
  <si>
    <t>log(observations)</t>
  </si>
  <si>
    <t>Residuals</t>
  </si>
  <si>
    <t>Linear regression</t>
  </si>
  <si>
    <t>Slope</t>
  </si>
  <si>
    <t>Offset</t>
  </si>
  <si>
    <t>Testing Normal Residuals</t>
  </si>
  <si>
    <t>Normal Quantiles</t>
  </si>
  <si>
    <t>Testing Constant Std</t>
  </si>
  <si>
    <t>Predicted Response</t>
  </si>
  <si>
    <t>Testing independence</t>
  </si>
  <si>
    <t>Observation ID</t>
  </si>
  <si>
    <t>CI for parameters of Linear regression</t>
  </si>
  <si>
    <t>Students Quantiles</t>
  </si>
  <si>
    <t>SSE</t>
  </si>
  <si>
    <t>Mean</t>
  </si>
  <si>
    <t>Sum Den b1 Confidence</t>
  </si>
  <si>
    <t>Squared Total</t>
  </si>
  <si>
    <t>Upper limit</t>
  </si>
  <si>
    <t>Lower limit</t>
  </si>
  <si>
    <t>SST</t>
  </si>
  <si>
    <t>Coefficent of Determination</t>
  </si>
  <si>
    <t>CI for Predicted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</si>
</sst>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3">
    <cellStyle name="Normale" xfId="0" builtinId="0"/>
    <cellStyle name="Normale 2" xfId="1" xr:uid="{591189EA-04D8-4A8D-8879-1C4639BF57F5}"/>
    <cellStyle name="Normale 3" xfId="2" xr:uid="{369DA27B-E882-4D30-AB66-C8544E92D687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δ'!$J$2:$J$16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δ'!$H$2:$H$16</c:f>
              <c:numCache>
                <c:formatCode>General</c:formatCode>
                <c:ptCount val="15"/>
                <c:pt idx="0">
                  <c:v>1.5610847168256E-2</c:v>
                </c:pt>
                <c:pt idx="1">
                  <c:v>1.5700371315247999E-2</c:v>
                </c:pt>
                <c:pt idx="2">
                  <c:v>1.5726814532992999E-2</c:v>
                </c:pt>
                <c:pt idx="3">
                  <c:v>1.5728073865147001E-2</c:v>
                </c:pt>
                <c:pt idx="4">
                  <c:v>1.5784486470432998E-2</c:v>
                </c:pt>
                <c:pt idx="5">
                  <c:v>1.5792940416369E-2</c:v>
                </c:pt>
                <c:pt idx="6">
                  <c:v>1.5852091176961999E-2</c:v>
                </c:pt>
                <c:pt idx="7">
                  <c:v>1.5892499017586E-2</c:v>
                </c:pt>
                <c:pt idx="8">
                  <c:v>1.5912118025041E-2</c:v>
                </c:pt>
                <c:pt idx="9">
                  <c:v>1.5947446422865E-2</c:v>
                </c:pt>
                <c:pt idx="10">
                  <c:v>1.6003773483148999E-2</c:v>
                </c:pt>
                <c:pt idx="11">
                  <c:v>1.6025717249251E-2</c:v>
                </c:pt>
                <c:pt idx="12">
                  <c:v>1.6031492911881998E-2</c:v>
                </c:pt>
                <c:pt idx="13">
                  <c:v>1.6135432630797999E-2</c:v>
                </c:pt>
                <c:pt idx="14">
                  <c:v>1.6153517013922002E-2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1E-4135-87D9-28D28394A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Exponential</a:t>
            </a:r>
            <a:r>
              <a:rPr lang="it-IT" sz="1800" baseline="0"/>
              <a:t> f</a:t>
            </a:r>
            <a:r>
              <a:rPr lang="it-IT" sz="1800"/>
              <a:t>itting of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3584443248941708"/>
                  <c:y val="0.495096566686389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0,0118e</a:t>
                    </a:r>
                    <a:r>
                      <a:rPr lang="en-US" sz="1600" baseline="30000"/>
                      <a:t>350,1x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δ'!$B$158:$B$166</c:f>
              <c:numCache>
                <c:formatCode>General</c:formatCode>
                <c:ptCount val="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4.5000000000000005E-3</c:v>
                </c:pt>
                <c:pt idx="8">
                  <c:v>6.0000000000000001E-3</c:v>
                </c:pt>
              </c:numCache>
            </c:numRef>
          </c:xVal>
          <c:yVal>
            <c:numRef>
              <c:f>'Linear regression δ'!$C$158:$C$166</c:f>
              <c:numCache>
                <c:formatCode>General</c:formatCode>
                <c:ptCount val="9"/>
                <c:pt idx="0">
                  <c:v>1.58865081133268E-2</c:v>
                </c:pt>
                <c:pt idx="1">
                  <c:v>1.9381841298132599E-2</c:v>
                </c:pt>
                <c:pt idx="2">
                  <c:v>2.3519283859341201E-2</c:v>
                </c:pt>
                <c:pt idx="3">
                  <c:v>2.847242927604313E-2</c:v>
                </c:pt>
                <c:pt idx="4">
                  <c:v>3.4487731337890938E-2</c:v>
                </c:pt>
                <c:pt idx="5">
                  <c:v>4.2027558294839805E-2</c:v>
                </c:pt>
                <c:pt idx="6">
                  <c:v>5.1680248287280933E-2</c:v>
                </c:pt>
                <c:pt idx="7">
                  <c:v>6.4874405615654662E-2</c:v>
                </c:pt>
                <c:pt idx="8">
                  <c:v>8.3134033309731917E-2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F-43EC-8061-69F43535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Linear Fitting of the transformation of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14592058211386"/>
                  <c:y val="0.322931181138790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350,1x - 4,4355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δ'!$B$173:$B$181</c:f>
              <c:numCache>
                <c:formatCode>General</c:formatCode>
                <c:ptCount val="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4.5000000000000005E-3</c:v>
                </c:pt>
                <c:pt idx="8">
                  <c:v>6.0000000000000001E-3</c:v>
                </c:pt>
              </c:numCache>
            </c:numRef>
          </c:xVal>
          <c:yVal>
            <c:numRef>
              <c:f>'Linear regression δ'!$C$173:$C$181</c:f>
              <c:numCache>
                <c:formatCode>General</c:formatCode>
                <c:ptCount val="9"/>
                <c:pt idx="0">
                  <c:v>-4.1422850763068269</c:v>
                </c:pt>
                <c:pt idx="1">
                  <c:v>-3.943418666809142</c:v>
                </c:pt>
                <c:pt idx="2">
                  <c:v>-3.7499346045725273</c:v>
                </c:pt>
                <c:pt idx="3">
                  <c:v>-3.5588190537579827</c:v>
                </c:pt>
                <c:pt idx="4">
                  <c:v>-3.3671516315847261</c:v>
                </c:pt>
                <c:pt idx="5">
                  <c:v>-3.1694297259938429</c:v>
                </c:pt>
                <c:pt idx="6">
                  <c:v>-2.9626796151988799</c:v>
                </c:pt>
                <c:pt idx="7">
                  <c:v>-2.7353020995318182</c:v>
                </c:pt>
                <c:pt idx="8">
                  <c:v>-2.487301114515156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11-496F-9D3F-1558EFB2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δ'!$C$189:$C$197</c:f>
              <c:numCache>
                <c:formatCode>General</c:formatCode>
                <c:ptCount val="9"/>
                <c:pt idx="0">
                  <c:v>-1.5948702548629692</c:v>
                </c:pt>
                <c:pt idx="1">
                  <c:v>-0.96558119772402384</c:v>
                </c:pt>
                <c:pt idx="2">
                  <c:v>-0.58740139704861805</c:v>
                </c:pt>
                <c:pt idx="3">
                  <c:v>-0.28101035460789436</c:v>
                </c:pt>
                <c:pt idx="4">
                  <c:v>0</c:v>
                </c:pt>
                <c:pt idx="5">
                  <c:v>0.28101035460789436</c:v>
                </c:pt>
                <c:pt idx="6">
                  <c:v>0.5874013970486186</c:v>
                </c:pt>
                <c:pt idx="7">
                  <c:v>0.96558119772402384</c:v>
                </c:pt>
                <c:pt idx="8">
                  <c:v>1.5948702548629707</c:v>
                </c:pt>
              </c:numCache>
            </c:numRef>
          </c:xVal>
          <c:yVal>
            <c:numRef>
              <c:f>'Linear regression δ'!$A$189:$A$197</c:f>
              <c:numCache>
                <c:formatCode>General</c:formatCode>
                <c:ptCount val="9"/>
                <c:pt idx="0">
                  <c:v>-0.15240111451515581</c:v>
                </c:pt>
                <c:pt idx="1">
                  <c:v>-5.6885076306826932E-2</c:v>
                </c:pt>
                <c:pt idx="2">
                  <c:v>-3.3068666809142222E-2</c:v>
                </c:pt>
                <c:pt idx="3">
                  <c:v>-1.4634604572527188E-2</c:v>
                </c:pt>
                <c:pt idx="4">
                  <c:v>1.4309462420172281E-3</c:v>
                </c:pt>
                <c:pt idx="5">
                  <c:v>1.8048368415274574E-2</c:v>
                </c:pt>
                <c:pt idx="6">
                  <c:v>4.0720274006157631E-2</c:v>
                </c:pt>
                <c:pt idx="7">
                  <c:v>7.2420384801120008E-2</c:v>
                </c:pt>
                <c:pt idx="8">
                  <c:v>0.12474790046818196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B5-4826-BB6C-18BA8D7FB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52328"/>
        <c:axId val="796255608"/>
      </c:scatterChart>
      <c:valAx>
        <c:axId val="79625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255608"/>
        <c:crosses val="autoZero"/>
        <c:crossBetween val="midCat"/>
      </c:valAx>
      <c:valAx>
        <c:axId val="79625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2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constant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δ'!$B$201:$B$209</c:f>
              <c:numCache>
                <c:formatCode>General</c:formatCode>
                <c:ptCount val="9"/>
                <c:pt idx="0">
                  <c:v>-4.0853999999999999</c:v>
                </c:pt>
                <c:pt idx="1">
                  <c:v>-3.9103500000000002</c:v>
                </c:pt>
                <c:pt idx="2">
                  <c:v>-3.7353000000000001</c:v>
                </c:pt>
                <c:pt idx="3">
                  <c:v>-3.5602499999999999</c:v>
                </c:pt>
                <c:pt idx="4">
                  <c:v>-3.3852000000000002</c:v>
                </c:pt>
                <c:pt idx="5">
                  <c:v>-3.2101500000000001</c:v>
                </c:pt>
                <c:pt idx="6">
                  <c:v>-3.0350999999999999</c:v>
                </c:pt>
                <c:pt idx="7">
                  <c:v>-2.8600500000000002</c:v>
                </c:pt>
                <c:pt idx="8">
                  <c:v>-2.3349000000000002</c:v>
                </c:pt>
              </c:numCache>
            </c:numRef>
          </c:xVal>
          <c:yVal>
            <c:numRef>
              <c:f>'Linear regression δ'!$A$201:$A$209</c:f>
              <c:numCache>
                <c:formatCode>General</c:formatCode>
                <c:ptCount val="9"/>
                <c:pt idx="0">
                  <c:v>-5.6885076306826932E-2</c:v>
                </c:pt>
                <c:pt idx="1">
                  <c:v>-3.3068666809142222E-2</c:v>
                </c:pt>
                <c:pt idx="2">
                  <c:v>-1.4634604572527188E-2</c:v>
                </c:pt>
                <c:pt idx="3">
                  <c:v>1.4309462420172281E-3</c:v>
                </c:pt>
                <c:pt idx="4">
                  <c:v>1.8048368415274574E-2</c:v>
                </c:pt>
                <c:pt idx="5">
                  <c:v>4.0720274006157631E-2</c:v>
                </c:pt>
                <c:pt idx="6">
                  <c:v>7.2420384801120008E-2</c:v>
                </c:pt>
                <c:pt idx="7">
                  <c:v>0.12474790046818196</c:v>
                </c:pt>
                <c:pt idx="8">
                  <c:v>-0.15240111451515581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1-4E67-ACA3-1F4D9C96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01632"/>
        <c:axId val="437902288"/>
      </c:scatterChart>
      <c:valAx>
        <c:axId val="4379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902288"/>
        <c:crosses val="autoZero"/>
        <c:crossBetween val="midCat"/>
      </c:valAx>
      <c:valAx>
        <c:axId val="437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9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Independence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δ'!$B$213:$B$221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'Linear regression δ'!$A$213:$A$221</c:f>
              <c:numCache>
                <c:formatCode>General</c:formatCode>
                <c:ptCount val="9"/>
                <c:pt idx="0">
                  <c:v>-5.6885076306826932E-2</c:v>
                </c:pt>
                <c:pt idx="1">
                  <c:v>-3.3068666809142222E-2</c:v>
                </c:pt>
                <c:pt idx="2">
                  <c:v>-1.4634604572527188E-2</c:v>
                </c:pt>
                <c:pt idx="3">
                  <c:v>1.4309462420172281E-3</c:v>
                </c:pt>
                <c:pt idx="4">
                  <c:v>1.8048368415274574E-2</c:v>
                </c:pt>
                <c:pt idx="5">
                  <c:v>4.0720274006157631E-2</c:v>
                </c:pt>
                <c:pt idx="6">
                  <c:v>7.2420384801120008E-2</c:v>
                </c:pt>
                <c:pt idx="7">
                  <c:v>0.12474790046818196</c:v>
                </c:pt>
                <c:pt idx="8">
                  <c:v>-0.15240111451515581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A-4FE9-9C22-CE94E4CC7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42304"/>
        <c:axId val="756741320"/>
      </c:scatterChart>
      <c:valAx>
        <c:axId val="7567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741320"/>
        <c:crosses val="autoZero"/>
        <c:crossBetween val="midCat"/>
      </c:valAx>
      <c:valAx>
        <c:axId val="7567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7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δ'!$J$19:$J$33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δ'!$H$19:$H$33</c:f>
              <c:numCache>
                <c:formatCode>General</c:formatCode>
                <c:ptCount val="15"/>
                <c:pt idx="0">
                  <c:v>1.9023214248340001E-2</c:v>
                </c:pt>
                <c:pt idx="1">
                  <c:v>1.9136409339857999E-2</c:v>
                </c:pt>
                <c:pt idx="2">
                  <c:v>1.9163750723262998E-2</c:v>
                </c:pt>
                <c:pt idx="3">
                  <c:v>1.9182076782020999E-2</c:v>
                </c:pt>
                <c:pt idx="4">
                  <c:v>1.9241220026521001E-2</c:v>
                </c:pt>
                <c:pt idx="5">
                  <c:v>1.9309409338945999E-2</c:v>
                </c:pt>
                <c:pt idx="6">
                  <c:v>1.9345445234846E-2</c:v>
                </c:pt>
                <c:pt idx="7">
                  <c:v>1.9377344415687999E-2</c:v>
                </c:pt>
                <c:pt idx="8">
                  <c:v>1.9384858268428E-2</c:v>
                </c:pt>
                <c:pt idx="9">
                  <c:v>1.9490915474590999E-2</c:v>
                </c:pt>
                <c:pt idx="10">
                  <c:v>1.9508675275524998E-2</c:v>
                </c:pt>
                <c:pt idx="11">
                  <c:v>1.9543460111832001E-2</c:v>
                </c:pt>
                <c:pt idx="12">
                  <c:v>1.9615471668122001E-2</c:v>
                </c:pt>
                <c:pt idx="13">
                  <c:v>1.9696382366486999E-2</c:v>
                </c:pt>
                <c:pt idx="14">
                  <c:v>1.9708986197521001E-2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E-4677-BE2D-F8AB5981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δ'!$J$36:$J$50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δ'!$H$36:$H$50</c:f>
              <c:numCache>
                <c:formatCode>General</c:formatCode>
                <c:ptCount val="15"/>
                <c:pt idx="0">
                  <c:v>2.2792248367223999E-2</c:v>
                </c:pt>
                <c:pt idx="1">
                  <c:v>2.3153970434024999E-2</c:v>
                </c:pt>
                <c:pt idx="2">
                  <c:v>2.3266923662921001E-2</c:v>
                </c:pt>
                <c:pt idx="3">
                  <c:v>2.3317677002547998E-2</c:v>
                </c:pt>
                <c:pt idx="4">
                  <c:v>2.3336367838957001E-2</c:v>
                </c:pt>
                <c:pt idx="5">
                  <c:v>2.3356076827998E-2</c:v>
                </c:pt>
                <c:pt idx="6">
                  <c:v>2.3484714762679999E-2</c:v>
                </c:pt>
                <c:pt idx="7">
                  <c:v>2.3573120516815E-2</c:v>
                </c:pt>
                <c:pt idx="8">
                  <c:v>2.3611470527228E-2</c:v>
                </c:pt>
                <c:pt idx="9">
                  <c:v>2.3749434683816999E-2</c:v>
                </c:pt>
                <c:pt idx="10">
                  <c:v>2.3791718302719998E-2</c:v>
                </c:pt>
                <c:pt idx="11">
                  <c:v>2.3799079028376999E-2</c:v>
                </c:pt>
                <c:pt idx="12">
                  <c:v>2.3801604172475E-2</c:v>
                </c:pt>
                <c:pt idx="13">
                  <c:v>2.3851573357165999E-2</c:v>
                </c:pt>
                <c:pt idx="14">
                  <c:v>2.3903278405167001E-2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9F-4A53-A8E7-B986C574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δ'!$J$53:$J$67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δ'!$H$53:$H$67</c:f>
              <c:numCache>
                <c:formatCode>General</c:formatCode>
                <c:ptCount val="15"/>
                <c:pt idx="0">
                  <c:v>2.7558208835712E-2</c:v>
                </c:pt>
                <c:pt idx="1">
                  <c:v>2.7834394086206998E-2</c:v>
                </c:pt>
                <c:pt idx="2">
                  <c:v>2.8096625499579999E-2</c:v>
                </c:pt>
                <c:pt idx="3">
                  <c:v>2.8107186954144998E-2</c:v>
                </c:pt>
                <c:pt idx="4">
                  <c:v>2.8280538627215E-2</c:v>
                </c:pt>
                <c:pt idx="5">
                  <c:v>2.8327983716404E-2</c:v>
                </c:pt>
                <c:pt idx="6">
                  <c:v>2.8335658259606E-2</c:v>
                </c:pt>
                <c:pt idx="7">
                  <c:v>2.8538818361543001E-2</c:v>
                </c:pt>
                <c:pt idx="8">
                  <c:v>2.8727636955234E-2</c:v>
                </c:pt>
                <c:pt idx="9">
                  <c:v>2.8728885854040001E-2</c:v>
                </c:pt>
                <c:pt idx="10">
                  <c:v>2.8742752868560002E-2</c:v>
                </c:pt>
                <c:pt idx="11">
                  <c:v>2.8889155294536999E-2</c:v>
                </c:pt>
                <c:pt idx="12">
                  <c:v>2.8969571931839001E-2</c:v>
                </c:pt>
                <c:pt idx="13">
                  <c:v>2.8971856033017E-2</c:v>
                </c:pt>
                <c:pt idx="14">
                  <c:v>2.8977165863008001E-2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E-40B3-8F0D-D4626CECF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δ'!$J$70:$J$84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δ'!$H$70:$H$84</c:f>
              <c:numCache>
                <c:formatCode>General</c:formatCode>
                <c:ptCount val="15"/>
                <c:pt idx="0">
                  <c:v>3.3447038357438001E-2</c:v>
                </c:pt>
                <c:pt idx="1">
                  <c:v>3.3511040529862E-2</c:v>
                </c:pt>
                <c:pt idx="2">
                  <c:v>3.3592549804358003E-2</c:v>
                </c:pt>
                <c:pt idx="3">
                  <c:v>3.4137302996571001E-2</c:v>
                </c:pt>
                <c:pt idx="4">
                  <c:v>3.4201350503452001E-2</c:v>
                </c:pt>
                <c:pt idx="5">
                  <c:v>3.4223325455762003E-2</c:v>
                </c:pt>
                <c:pt idx="6">
                  <c:v>3.4243271747118997E-2</c:v>
                </c:pt>
                <c:pt idx="7">
                  <c:v>3.4643039042108997E-2</c:v>
                </c:pt>
                <c:pt idx="8">
                  <c:v>3.4646652077351001E-2</c:v>
                </c:pt>
                <c:pt idx="9">
                  <c:v>3.4897448914769001E-2</c:v>
                </c:pt>
                <c:pt idx="10">
                  <c:v>3.4984985919527999E-2</c:v>
                </c:pt>
                <c:pt idx="11">
                  <c:v>3.5015602968174998E-2</c:v>
                </c:pt>
                <c:pt idx="12">
                  <c:v>3.5090809209927999E-2</c:v>
                </c:pt>
                <c:pt idx="13">
                  <c:v>3.5097146736966997E-2</c:v>
                </c:pt>
                <c:pt idx="14">
                  <c:v>3.5584405804975003E-2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8-4621-8B91-9DDF16345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δ'!$J$87:$J$101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δ'!$H$87:$H$101</c:f>
              <c:numCache>
                <c:formatCode>General</c:formatCode>
                <c:ptCount val="15"/>
                <c:pt idx="0">
                  <c:v>4.0396856964942003E-2</c:v>
                </c:pt>
                <c:pt idx="1">
                  <c:v>4.1158975589671E-2</c:v>
                </c:pt>
                <c:pt idx="2">
                  <c:v>4.1468704382287003E-2</c:v>
                </c:pt>
                <c:pt idx="3">
                  <c:v>4.1532284711779999E-2</c:v>
                </c:pt>
                <c:pt idx="4">
                  <c:v>4.1558800600835999E-2</c:v>
                </c:pt>
                <c:pt idx="5">
                  <c:v>4.1709719641453001E-2</c:v>
                </c:pt>
                <c:pt idx="6">
                  <c:v>4.1765929916003003E-2</c:v>
                </c:pt>
                <c:pt idx="7">
                  <c:v>4.2160209348264997E-2</c:v>
                </c:pt>
                <c:pt idx="8">
                  <c:v>4.2320867762316E-2</c:v>
                </c:pt>
                <c:pt idx="9">
                  <c:v>4.2351563334427002E-2</c:v>
                </c:pt>
                <c:pt idx="10">
                  <c:v>4.2412288159382999E-2</c:v>
                </c:pt>
                <c:pt idx="11">
                  <c:v>4.2432534959623999E-2</c:v>
                </c:pt>
                <c:pt idx="12">
                  <c:v>4.2941383279501998E-2</c:v>
                </c:pt>
                <c:pt idx="13">
                  <c:v>4.2980731501406001E-2</c:v>
                </c:pt>
                <c:pt idx="14">
                  <c:v>4.3222524270702001E-2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51-4D47-87A5-FAEC1A46F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δ'!$J$104:$J$118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δ'!$H$104:$H$118</c:f>
              <c:numCache>
                <c:formatCode>General</c:formatCode>
                <c:ptCount val="15"/>
                <c:pt idx="0">
                  <c:v>4.9422817627701003E-2</c:v>
                </c:pt>
                <c:pt idx="1">
                  <c:v>4.9914733660733998E-2</c:v>
                </c:pt>
                <c:pt idx="2">
                  <c:v>5.0295815670197003E-2</c:v>
                </c:pt>
                <c:pt idx="3">
                  <c:v>5.0749978610119997E-2</c:v>
                </c:pt>
                <c:pt idx="4">
                  <c:v>5.0983784502819998E-2</c:v>
                </c:pt>
                <c:pt idx="5">
                  <c:v>5.1140649115554999E-2</c:v>
                </c:pt>
                <c:pt idx="6">
                  <c:v>5.1823002184309998E-2</c:v>
                </c:pt>
                <c:pt idx="7">
                  <c:v>5.1932902211258999E-2</c:v>
                </c:pt>
                <c:pt idx="8">
                  <c:v>5.2095046241421999E-2</c:v>
                </c:pt>
                <c:pt idx="9">
                  <c:v>5.2321577165217001E-2</c:v>
                </c:pt>
                <c:pt idx="10">
                  <c:v>5.2619112162111001E-2</c:v>
                </c:pt>
                <c:pt idx="11">
                  <c:v>5.2762943848681999E-2</c:v>
                </c:pt>
                <c:pt idx="12">
                  <c:v>5.2772076777103001E-2</c:v>
                </c:pt>
                <c:pt idx="13">
                  <c:v>5.2935400064840002E-2</c:v>
                </c:pt>
                <c:pt idx="14">
                  <c:v>5.3433884467142999E-2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1-45D3-9B3D-6046E98E7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δ'!$J$121:$J$135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δ'!$H$121:$H$135</c:f>
              <c:numCache>
                <c:formatCode>General</c:formatCode>
                <c:ptCount val="15"/>
                <c:pt idx="0">
                  <c:v>6.1921350609961998E-2</c:v>
                </c:pt>
                <c:pt idx="1">
                  <c:v>6.2592094924389996E-2</c:v>
                </c:pt>
                <c:pt idx="2">
                  <c:v>6.2719878363188999E-2</c:v>
                </c:pt>
                <c:pt idx="3">
                  <c:v>6.2768554744586993E-2</c:v>
                </c:pt>
                <c:pt idx="4">
                  <c:v>6.3731040465703007E-2</c:v>
                </c:pt>
                <c:pt idx="5">
                  <c:v>6.3936518932354997E-2</c:v>
                </c:pt>
                <c:pt idx="6">
                  <c:v>6.4032470747413001E-2</c:v>
                </c:pt>
                <c:pt idx="7">
                  <c:v>6.4401621296240996E-2</c:v>
                </c:pt>
                <c:pt idx="8">
                  <c:v>6.5643213580360002E-2</c:v>
                </c:pt>
                <c:pt idx="9">
                  <c:v>6.5730486294993007E-2</c:v>
                </c:pt>
                <c:pt idx="10">
                  <c:v>6.6656370985907001E-2</c:v>
                </c:pt>
                <c:pt idx="11">
                  <c:v>6.6805469127174E-2</c:v>
                </c:pt>
                <c:pt idx="12">
                  <c:v>6.7083820069292005E-2</c:v>
                </c:pt>
                <c:pt idx="13">
                  <c:v>6.7403142405481994E-2</c:v>
                </c:pt>
                <c:pt idx="14">
                  <c:v>6.7690051687771993E-2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D-4002-8CA4-DAE6568CC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δ'!$J$138:$J$152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δ'!$H$138:$H$152</c:f>
              <c:numCache>
                <c:formatCode>General</c:formatCode>
                <c:ptCount val="15"/>
                <c:pt idx="0">
                  <c:v>7.9052741398548995E-2</c:v>
                </c:pt>
                <c:pt idx="1">
                  <c:v>8.0092566179843006E-2</c:v>
                </c:pt>
                <c:pt idx="2">
                  <c:v>8.0459832869804002E-2</c:v>
                </c:pt>
                <c:pt idx="3">
                  <c:v>8.0523279160167993E-2</c:v>
                </c:pt>
                <c:pt idx="4">
                  <c:v>8.1130970735732999E-2</c:v>
                </c:pt>
                <c:pt idx="5">
                  <c:v>8.1878700065425997E-2</c:v>
                </c:pt>
                <c:pt idx="6">
                  <c:v>8.1905672725229001E-2</c:v>
                </c:pt>
                <c:pt idx="7">
                  <c:v>8.2369553757113995E-2</c:v>
                </c:pt>
                <c:pt idx="8">
                  <c:v>8.3633799883648996E-2</c:v>
                </c:pt>
                <c:pt idx="9">
                  <c:v>8.4842416932549E-2</c:v>
                </c:pt>
                <c:pt idx="10">
                  <c:v>8.5018853042819004E-2</c:v>
                </c:pt>
                <c:pt idx="11">
                  <c:v>8.5111648063365006E-2</c:v>
                </c:pt>
                <c:pt idx="12">
                  <c:v>8.5654654719372003E-2</c:v>
                </c:pt>
                <c:pt idx="13">
                  <c:v>8.7225150819225994E-2</c:v>
                </c:pt>
                <c:pt idx="14">
                  <c:v>8.8110659293132998E-2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C-4884-A0CD-02DECDE6D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9525</xdr:rowOff>
    </xdr:from>
    <xdr:to>
      <xdr:col>17</xdr:col>
      <xdr:colOff>495300</xdr:colOff>
      <xdr:row>15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50596A3-FAC2-4EFA-A351-B36161BBF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198120</xdr:colOff>
      <xdr:row>17</xdr:row>
      <xdr:rowOff>68580</xdr:rowOff>
    </xdr:from>
    <xdr:to>
      <xdr:col>17</xdr:col>
      <xdr:colOff>502920</xdr:colOff>
      <xdr:row>32</xdr:row>
      <xdr:rowOff>177165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48A31710-4751-4D1E-B801-A9C2D2B9E6AF}"/>
            </a:ext>
            <a:ext uri="{147F2762-F138-4A5C-976F-8EAC2B608ADB}">
              <a16:predDERef xmlns:a16="http://schemas.microsoft.com/office/drawing/2014/main" pred="{6AA26FDA-0209-4030-881E-608A6C9F3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213360</xdr:colOff>
      <xdr:row>34</xdr:row>
      <xdr:rowOff>30480</xdr:rowOff>
    </xdr:from>
    <xdr:to>
      <xdr:col>17</xdr:col>
      <xdr:colOff>518160</xdr:colOff>
      <xdr:row>49</xdr:row>
      <xdr:rowOff>140970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46EB28D0-EA88-4B21-993B-59A3038C3806}"/>
            </a:ext>
            <a:ext uri="{147F2762-F138-4A5C-976F-8EAC2B608ADB}">
              <a16:predDERef xmlns:a16="http://schemas.microsoft.com/office/drawing/2014/main" pred="{7B144CE4-F87B-46E8-BBA5-DD88A860B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236220</xdr:colOff>
      <xdr:row>51</xdr:row>
      <xdr:rowOff>22860</xdr:rowOff>
    </xdr:from>
    <xdr:to>
      <xdr:col>17</xdr:col>
      <xdr:colOff>541020</xdr:colOff>
      <xdr:row>66</xdr:row>
      <xdr:rowOff>133350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39778A3B-487A-4683-9160-8D44EC9650F2}"/>
            </a:ext>
            <a:ext uri="{147F2762-F138-4A5C-976F-8EAC2B608ADB}">
              <a16:predDERef xmlns:a16="http://schemas.microsoft.com/office/drawing/2014/main" pred="{B1742A72-0F66-435A-84F3-5286FD627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251460</xdr:colOff>
      <xdr:row>68</xdr:row>
      <xdr:rowOff>38100</xdr:rowOff>
    </xdr:from>
    <xdr:to>
      <xdr:col>17</xdr:col>
      <xdr:colOff>556260</xdr:colOff>
      <xdr:row>83</xdr:row>
      <xdr:rowOff>148590</xdr:rowOff>
    </xdr:to>
    <xdr:graphicFrame macro="">
      <xdr:nvGraphicFramePr>
        <xdr:cNvPr id="6" name="Grafico 1">
          <a:extLst>
            <a:ext uri="{FF2B5EF4-FFF2-40B4-BE49-F238E27FC236}">
              <a16:creationId xmlns:a16="http://schemas.microsoft.com/office/drawing/2014/main" id="{67DFEEED-0E39-4FE7-9257-E842D53BFBBE}"/>
            </a:ext>
            <a:ext uri="{147F2762-F138-4A5C-976F-8EAC2B608ADB}">
              <a16:predDERef xmlns:a16="http://schemas.microsoft.com/office/drawing/2014/main" pred="{F5BEB87D-3441-40B2-A884-B6F7130BB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266700</xdr:colOff>
      <xdr:row>85</xdr:row>
      <xdr:rowOff>30480</xdr:rowOff>
    </xdr:from>
    <xdr:to>
      <xdr:col>17</xdr:col>
      <xdr:colOff>571500</xdr:colOff>
      <xdr:row>100</xdr:row>
      <xdr:rowOff>140970</xdr:rowOff>
    </xdr:to>
    <xdr:graphicFrame macro="">
      <xdr:nvGraphicFramePr>
        <xdr:cNvPr id="7" name="Grafico 1">
          <a:extLst>
            <a:ext uri="{FF2B5EF4-FFF2-40B4-BE49-F238E27FC236}">
              <a16:creationId xmlns:a16="http://schemas.microsoft.com/office/drawing/2014/main" id="{66AAD8E6-0404-4A77-8541-62E36075F2C2}"/>
            </a:ext>
            <a:ext uri="{147F2762-F138-4A5C-976F-8EAC2B608ADB}">
              <a16:predDERef xmlns:a16="http://schemas.microsoft.com/office/drawing/2014/main" pred="{9C5873CA-65C6-4A8E-8E43-82C7BC64F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281940</xdr:colOff>
      <xdr:row>102</xdr:row>
      <xdr:rowOff>38100</xdr:rowOff>
    </xdr:from>
    <xdr:to>
      <xdr:col>17</xdr:col>
      <xdr:colOff>586740</xdr:colOff>
      <xdr:row>117</xdr:row>
      <xdr:rowOff>148590</xdr:rowOff>
    </xdr:to>
    <xdr:graphicFrame macro="">
      <xdr:nvGraphicFramePr>
        <xdr:cNvPr id="8" name="Grafico 1">
          <a:extLst>
            <a:ext uri="{FF2B5EF4-FFF2-40B4-BE49-F238E27FC236}">
              <a16:creationId xmlns:a16="http://schemas.microsoft.com/office/drawing/2014/main" id="{E67807AA-12B9-4261-A6FC-81055E79E5E7}"/>
            </a:ext>
            <a:ext uri="{147F2762-F138-4A5C-976F-8EAC2B608ADB}">
              <a16:predDERef xmlns:a16="http://schemas.microsoft.com/office/drawing/2014/main" pred="{3246D360-98FB-4AE3-8F3B-C32952E18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297180</xdr:colOff>
      <xdr:row>119</xdr:row>
      <xdr:rowOff>30480</xdr:rowOff>
    </xdr:from>
    <xdr:to>
      <xdr:col>17</xdr:col>
      <xdr:colOff>601980</xdr:colOff>
      <xdr:row>134</xdr:row>
      <xdr:rowOff>140970</xdr:rowOff>
    </xdr:to>
    <xdr:graphicFrame macro="">
      <xdr:nvGraphicFramePr>
        <xdr:cNvPr id="9" name="Grafico 1">
          <a:extLst>
            <a:ext uri="{FF2B5EF4-FFF2-40B4-BE49-F238E27FC236}">
              <a16:creationId xmlns:a16="http://schemas.microsoft.com/office/drawing/2014/main" id="{B11C55BD-C2B8-48D7-A808-16D6C5095F8A}"/>
            </a:ext>
            <a:ext uri="{147F2762-F138-4A5C-976F-8EAC2B608ADB}">
              <a16:predDERef xmlns:a16="http://schemas.microsoft.com/office/drawing/2014/main" pred="{8F260B58-AB50-4D26-9E6E-D7D2D8D54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289560</xdr:colOff>
      <xdr:row>136</xdr:row>
      <xdr:rowOff>30480</xdr:rowOff>
    </xdr:from>
    <xdr:to>
      <xdr:col>17</xdr:col>
      <xdr:colOff>594360</xdr:colOff>
      <xdr:row>151</xdr:row>
      <xdr:rowOff>140970</xdr:rowOff>
    </xdr:to>
    <xdr:graphicFrame macro="">
      <xdr:nvGraphicFramePr>
        <xdr:cNvPr id="10" name="Grafico 1">
          <a:extLst>
            <a:ext uri="{FF2B5EF4-FFF2-40B4-BE49-F238E27FC236}">
              <a16:creationId xmlns:a16="http://schemas.microsoft.com/office/drawing/2014/main" id="{48910888-5995-4151-BB3B-146772E157B1}"/>
            </a:ext>
            <a:ext uri="{147F2762-F138-4A5C-976F-8EAC2B608ADB}">
              <a16:predDERef xmlns:a16="http://schemas.microsoft.com/office/drawing/2014/main" pred="{06EBD8D3-E04B-48A1-9E49-1E3EA298D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348615</xdr:colOff>
      <xdr:row>153</xdr:row>
      <xdr:rowOff>125730</xdr:rowOff>
    </xdr:from>
    <xdr:to>
      <xdr:col>7</xdr:col>
      <xdr:colOff>337185</xdr:colOff>
      <xdr:row>168</xdr:row>
      <xdr:rowOff>19050</xdr:rowOff>
    </xdr:to>
    <xdr:graphicFrame macro="">
      <xdr:nvGraphicFramePr>
        <xdr:cNvPr id="22" name="Grafico 6">
          <a:extLst>
            <a:ext uri="{FF2B5EF4-FFF2-40B4-BE49-F238E27FC236}">
              <a16:creationId xmlns:a16="http://schemas.microsoft.com/office/drawing/2014/main" id="{C43E57B4-769C-4ED8-843E-55645C980841}"/>
            </a:ext>
            <a:ext uri="{147F2762-F138-4A5C-976F-8EAC2B608ADB}">
              <a16:predDERef xmlns:a16="http://schemas.microsoft.com/office/drawing/2014/main" pred="{AC7A7ABB-DCEA-4743-BEE6-D8ED7B2ED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390525</xdr:colOff>
      <xdr:row>168</xdr:row>
      <xdr:rowOff>95250</xdr:rowOff>
    </xdr:from>
    <xdr:to>
      <xdr:col>8</xdr:col>
      <xdr:colOff>541021</xdr:colOff>
      <xdr:row>183</xdr:row>
      <xdr:rowOff>97155</xdr:rowOff>
    </xdr:to>
    <xdr:graphicFrame macro="">
      <xdr:nvGraphicFramePr>
        <xdr:cNvPr id="24" name="Grafico 6">
          <a:extLst>
            <a:ext uri="{FF2B5EF4-FFF2-40B4-BE49-F238E27FC236}">
              <a16:creationId xmlns:a16="http://schemas.microsoft.com/office/drawing/2014/main" id="{42A17497-73CD-49CC-B59C-4BEEA9306D85}"/>
            </a:ext>
            <a:ext uri="{147F2762-F138-4A5C-976F-8EAC2B608ADB}">
              <a16:predDERef xmlns:a16="http://schemas.microsoft.com/office/drawing/2014/main" pred="{888A038B-BB64-4268-8A36-2F4A68819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563879</xdr:colOff>
      <xdr:row>186</xdr:row>
      <xdr:rowOff>1908</xdr:rowOff>
    </xdr:from>
    <xdr:to>
      <xdr:col>7</xdr:col>
      <xdr:colOff>243839</xdr:colOff>
      <xdr:row>197</xdr:row>
      <xdr:rowOff>9526</xdr:rowOff>
    </xdr:to>
    <xdr:graphicFrame macro="">
      <xdr:nvGraphicFramePr>
        <xdr:cNvPr id="13" name="Grafico 101">
          <a:extLst>
            <a:ext uri="{FF2B5EF4-FFF2-40B4-BE49-F238E27FC236}">
              <a16:creationId xmlns:a16="http://schemas.microsoft.com/office/drawing/2014/main" id="{9A8B9521-9E6C-4A8D-9776-2526D3569FD7}"/>
            </a:ext>
            <a:ext uri="{147F2762-F138-4A5C-976F-8EAC2B608ADB}">
              <a16:predDERef xmlns:a16="http://schemas.microsoft.com/office/drawing/2014/main" pred="{6EFDD982-7A0F-4E9B-A677-78884089B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1125855</xdr:colOff>
      <xdr:row>198</xdr:row>
      <xdr:rowOff>0</xdr:rowOff>
    </xdr:from>
    <xdr:to>
      <xdr:col>6</xdr:col>
      <xdr:colOff>283845</xdr:colOff>
      <xdr:row>209</xdr:row>
      <xdr:rowOff>0</xdr:rowOff>
    </xdr:to>
    <xdr:graphicFrame macro="">
      <xdr:nvGraphicFramePr>
        <xdr:cNvPr id="14" name="Grafico 131">
          <a:extLst>
            <a:ext uri="{FF2B5EF4-FFF2-40B4-BE49-F238E27FC236}">
              <a16:creationId xmlns:a16="http://schemas.microsoft.com/office/drawing/2014/main" id="{C872596F-12DF-42AD-87FB-542376CA5D10}"/>
            </a:ext>
            <a:ext uri="{147F2762-F138-4A5C-976F-8EAC2B608ADB}">
              <a16:predDERef xmlns:a16="http://schemas.microsoft.com/office/drawing/2014/main" pred="{442DD05F-1452-4D5A-8289-6B79E0794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1120140</xdr:colOff>
      <xdr:row>209</xdr:row>
      <xdr:rowOff>188595</xdr:rowOff>
    </xdr:from>
    <xdr:to>
      <xdr:col>6</xdr:col>
      <xdr:colOff>281940</xdr:colOff>
      <xdr:row>220</xdr:row>
      <xdr:rowOff>186690</xdr:rowOff>
    </xdr:to>
    <xdr:graphicFrame macro="">
      <xdr:nvGraphicFramePr>
        <xdr:cNvPr id="15" name="Grafico 132">
          <a:extLst>
            <a:ext uri="{FF2B5EF4-FFF2-40B4-BE49-F238E27FC236}">
              <a16:creationId xmlns:a16="http://schemas.microsoft.com/office/drawing/2014/main" id="{B19F6157-435C-45DE-A5BB-E7D0C26EDE01}"/>
            </a:ext>
            <a:ext uri="{147F2762-F138-4A5C-976F-8EAC2B608ADB}">
              <a16:predDERef xmlns:a16="http://schemas.microsoft.com/office/drawing/2014/main" pred="{5081BB87-946E-4241-903C-80459C384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0"/>
  <sheetViews>
    <sheetView tabSelected="1" topLeftCell="A154" workbookViewId="0">
      <selection activeCell="I163" sqref="I163"/>
    </sheetView>
  </sheetViews>
  <sheetFormatPr defaultColWidth="9.109375" defaultRowHeight="14.4" x14ac:dyDescent="0.3"/>
  <cols>
    <col min="1" max="1" width="29.109375" style="2" customWidth="1"/>
    <col min="2" max="2" width="17.33203125" style="2" customWidth="1"/>
    <col min="3" max="3" width="17" style="5" customWidth="1"/>
    <col min="4" max="4" width="28" style="2" customWidth="1"/>
    <col min="5" max="5" width="16.88671875" style="2" customWidth="1"/>
    <col min="6" max="6" width="26.6640625" style="2" customWidth="1"/>
    <col min="7" max="7" width="9.109375" style="2"/>
    <col min="8" max="8" width="21" style="2" customWidth="1"/>
    <col min="9" max="9" width="15.6640625" style="2" customWidth="1"/>
    <col min="10" max="10" width="15.88671875" style="2" customWidth="1"/>
    <col min="11" max="11" width="14.5546875" style="2" customWidth="1"/>
    <col min="12" max="12" width="12" style="2" customWidth="1"/>
    <col min="13" max="16384" width="9.109375" style="2"/>
  </cols>
  <sheetData>
    <row r="1" spans="1:11" x14ac:dyDescent="0.3">
      <c r="A1" s="1" t="s">
        <v>0</v>
      </c>
      <c r="C1" s="3" t="s">
        <v>1</v>
      </c>
      <c r="D1" s="1" t="s">
        <v>2</v>
      </c>
      <c r="E1" s="1" t="s">
        <v>3</v>
      </c>
      <c r="H1" s="1" t="s">
        <v>4</v>
      </c>
      <c r="I1" s="1" t="s">
        <v>5</v>
      </c>
      <c r="J1" s="1" t="s">
        <v>6</v>
      </c>
      <c r="K1" s="1"/>
    </row>
    <row r="2" spans="1:11" x14ac:dyDescent="0.3">
      <c r="A2" s="4">
        <v>1.6025717249251E-2</v>
      </c>
      <c r="C2" s="5">
        <f>AVERAGE(A2:A16)</f>
        <v>1.58865081133268E-2</v>
      </c>
      <c r="D2" s="2">
        <f>_xlfn.VAR.S(A2:A16)</f>
        <v>2.6671465474778627E-8</v>
      </c>
      <c r="E2" s="2">
        <f>SQRT(D2)/C2</f>
        <v>1.0280044403000716E-2</v>
      </c>
      <c r="H2" s="4">
        <v>1.5610847168256E-2</v>
      </c>
      <c r="I2" s="2">
        <f>1/15 - 0.5/15</f>
        <v>3.3333333333333333E-2</v>
      </c>
      <c r="J2" s="2">
        <f t="shared" ref="J2:J16" si="0">4.91*(I2^0.14-(1-I2)^0.14)</f>
        <v>-1.836858897688687</v>
      </c>
    </row>
    <row r="3" spans="1:11" x14ac:dyDescent="0.3">
      <c r="A3" s="4">
        <v>1.5700371315247999E-2</v>
      </c>
      <c r="H3" s="4">
        <v>1.5700371315247999E-2</v>
      </c>
      <c r="I3" s="2">
        <f t="shared" ref="I3:I16" si="1">I2+1/15</f>
        <v>0.1</v>
      </c>
      <c r="J3" s="2">
        <f t="shared" si="0"/>
        <v>-1.2811261510381207</v>
      </c>
    </row>
    <row r="4" spans="1:11" x14ac:dyDescent="0.3">
      <c r="A4" s="4">
        <v>1.6135432630797999E-2</v>
      </c>
      <c r="C4" s="3" t="s">
        <v>7</v>
      </c>
      <c r="E4" s="1" t="s">
        <v>8</v>
      </c>
      <c r="H4" s="4">
        <v>1.5726814532992999E-2</v>
      </c>
      <c r="I4" s="2">
        <f t="shared" si="1"/>
        <v>0.16666666666666669</v>
      </c>
      <c r="J4" s="2">
        <f t="shared" si="0"/>
        <v>-0.96558119772402384</v>
      </c>
    </row>
    <row r="5" spans="1:11" x14ac:dyDescent="0.3">
      <c r="A5" s="4">
        <v>1.5947446422865E-2</v>
      </c>
      <c r="C5" s="5">
        <f>MEDIAN(A2:A16)</f>
        <v>1.5892499017586E-2</v>
      </c>
      <c r="E5" s="2">
        <v>2.145</v>
      </c>
      <c r="H5" s="4">
        <v>1.5728073865147001E-2</v>
      </c>
      <c r="I5" s="2">
        <f t="shared" si="1"/>
        <v>0.23333333333333334</v>
      </c>
      <c r="J5" s="2">
        <f t="shared" si="0"/>
        <v>-0.72575040815577163</v>
      </c>
    </row>
    <row r="6" spans="1:11" x14ac:dyDescent="0.3">
      <c r="A6" s="4">
        <v>1.5912118025041E-2</v>
      </c>
      <c r="H6" s="4">
        <v>1.5784486470432998E-2</v>
      </c>
      <c r="I6" s="2">
        <f t="shared" si="1"/>
        <v>0.3</v>
      </c>
      <c r="J6" s="2">
        <f t="shared" si="0"/>
        <v>-0.52246305252576009</v>
      </c>
    </row>
    <row r="7" spans="1:11" x14ac:dyDescent="0.3">
      <c r="A7" s="4">
        <v>1.6031492911881998E-2</v>
      </c>
      <c r="C7" s="3"/>
      <c r="D7" s="1" t="s">
        <v>9</v>
      </c>
      <c r="H7" s="4">
        <v>1.5792940416369E-2</v>
      </c>
      <c r="I7" s="2">
        <f t="shared" si="1"/>
        <v>0.36666666666666664</v>
      </c>
      <c r="J7" s="2">
        <f t="shared" si="0"/>
        <v>-0.33927638280750583</v>
      </c>
    </row>
    <row r="8" spans="1:11" x14ac:dyDescent="0.3">
      <c r="A8" s="4">
        <v>1.5792940416369E-2</v>
      </c>
      <c r="C8" s="3" t="s">
        <v>10</v>
      </c>
      <c r="D8" s="2">
        <f>C2+E5*SQRT(D2)/(SQRT(15))</f>
        <v>1.5976957391723071E-2</v>
      </c>
      <c r="H8" s="4">
        <v>1.5852091176961999E-2</v>
      </c>
      <c r="I8" s="2">
        <f t="shared" si="1"/>
        <v>0.43333333333333329</v>
      </c>
      <c r="J8" s="2">
        <f t="shared" si="0"/>
        <v>-0.16715058832373922</v>
      </c>
    </row>
    <row r="9" spans="1:11" x14ac:dyDescent="0.3">
      <c r="A9" s="4">
        <v>1.5726814532992999E-2</v>
      </c>
      <c r="C9" s="3" t="s">
        <v>11</v>
      </c>
      <c r="D9" s="2">
        <f>C2-E5*SQRT(D2)/(SQRT(15))</f>
        <v>1.5796058834930529E-2</v>
      </c>
      <c r="H9" s="4">
        <v>1.5892499017586E-2</v>
      </c>
      <c r="I9" s="2">
        <f t="shared" si="1"/>
        <v>0.49999999999999994</v>
      </c>
      <c r="J9" s="2">
        <f t="shared" si="0"/>
        <v>0</v>
      </c>
    </row>
    <row r="10" spans="1:11" x14ac:dyDescent="0.3">
      <c r="A10" s="4">
        <v>1.5852091176961999E-2</v>
      </c>
      <c r="H10" s="4">
        <v>1.5912118025041E-2</v>
      </c>
      <c r="I10" s="2">
        <f t="shared" si="1"/>
        <v>0.56666666666666665</v>
      </c>
      <c r="J10" s="2">
        <f t="shared" si="0"/>
        <v>0.16715058832373922</v>
      </c>
    </row>
    <row r="11" spans="1:11" x14ac:dyDescent="0.3">
      <c r="A11" s="4">
        <v>1.5610847168256E-2</v>
      </c>
      <c r="H11" s="4">
        <v>1.5947446422865E-2</v>
      </c>
      <c r="I11" s="2">
        <f t="shared" si="1"/>
        <v>0.6333333333333333</v>
      </c>
      <c r="J11" s="2">
        <f t="shared" si="0"/>
        <v>0.33927638280750583</v>
      </c>
    </row>
    <row r="12" spans="1:11" x14ac:dyDescent="0.3">
      <c r="A12" s="4">
        <v>1.5784486470432998E-2</v>
      </c>
      <c r="H12" s="4">
        <v>1.6003773483148999E-2</v>
      </c>
      <c r="I12" s="2">
        <f t="shared" si="1"/>
        <v>0.7</v>
      </c>
      <c r="J12" s="2">
        <f t="shared" si="0"/>
        <v>0.52246305252576009</v>
      </c>
    </row>
    <row r="13" spans="1:11" x14ac:dyDescent="0.3">
      <c r="A13" s="4">
        <v>1.6003773483148999E-2</v>
      </c>
      <c r="H13" s="4">
        <v>1.6025717249251E-2</v>
      </c>
      <c r="I13" s="2">
        <f t="shared" si="1"/>
        <v>0.76666666666666661</v>
      </c>
      <c r="J13" s="2">
        <f t="shared" si="0"/>
        <v>0.72575040815577163</v>
      </c>
    </row>
    <row r="14" spans="1:11" x14ac:dyDescent="0.3">
      <c r="A14" s="4">
        <v>1.5892499017586E-2</v>
      </c>
      <c r="H14" s="4">
        <v>1.6031492911881998E-2</v>
      </c>
      <c r="I14" s="2">
        <f t="shared" si="1"/>
        <v>0.83333333333333326</v>
      </c>
      <c r="J14" s="2">
        <f t="shared" si="0"/>
        <v>0.96558119772402329</v>
      </c>
    </row>
    <row r="15" spans="1:11" x14ac:dyDescent="0.3">
      <c r="A15" s="4">
        <v>1.5728073865147001E-2</v>
      </c>
      <c r="H15" s="4">
        <v>1.6135432630797999E-2</v>
      </c>
      <c r="I15" s="2">
        <f t="shared" si="1"/>
        <v>0.89999999999999991</v>
      </c>
      <c r="J15" s="2">
        <f t="shared" si="0"/>
        <v>1.2811261510381207</v>
      </c>
    </row>
    <row r="16" spans="1:11" x14ac:dyDescent="0.3">
      <c r="A16" s="4">
        <v>1.6153517013922002E-2</v>
      </c>
      <c r="H16" s="4">
        <v>1.6153517013922002E-2</v>
      </c>
      <c r="I16" s="2">
        <f t="shared" si="1"/>
        <v>0.96666666666666656</v>
      </c>
      <c r="J16" s="2">
        <f t="shared" si="0"/>
        <v>1.8368588976886859</v>
      </c>
    </row>
    <row r="17" spans="1:10" s="6" customFormat="1" x14ac:dyDescent="0.3">
      <c r="C17" s="7"/>
    </row>
    <row r="18" spans="1:10" x14ac:dyDescent="0.3">
      <c r="A18" s="1" t="s">
        <v>12</v>
      </c>
      <c r="C18" s="3" t="s">
        <v>1</v>
      </c>
      <c r="D18" s="1" t="s">
        <v>2</v>
      </c>
      <c r="E18" s="1" t="s">
        <v>3</v>
      </c>
      <c r="F18" s="1"/>
      <c r="G18" s="1"/>
      <c r="H18" s="1" t="s">
        <v>4</v>
      </c>
      <c r="I18" s="1" t="s">
        <v>5</v>
      </c>
      <c r="J18" s="1" t="s">
        <v>6</v>
      </c>
    </row>
    <row r="19" spans="1:10" x14ac:dyDescent="0.3">
      <c r="A19" s="8">
        <v>1.9384858268428E-2</v>
      </c>
      <c r="C19" s="5">
        <f>AVERAGE(A19:A33)</f>
        <v>1.9381841298132599E-2</v>
      </c>
      <c r="D19" s="2">
        <f>_xlfn.VAR.S(A19:A33)</f>
        <v>4.40958563819168E-8</v>
      </c>
      <c r="E19" s="2">
        <f>SQRT(D19)/C19</f>
        <v>1.0834374855351573E-2</v>
      </c>
      <c r="H19" s="8">
        <v>1.9023214248340001E-2</v>
      </c>
      <c r="I19" s="2">
        <f>1/15 - 0.5/15</f>
        <v>3.3333333333333333E-2</v>
      </c>
      <c r="J19" s="2">
        <f t="shared" ref="J19:J33" si="2">4.91*(I19^0.14-(1-I19)^0.14)</f>
        <v>-1.836858897688687</v>
      </c>
    </row>
    <row r="20" spans="1:10" x14ac:dyDescent="0.3">
      <c r="A20" s="8">
        <v>1.9377344415687999E-2</v>
      </c>
      <c r="H20" s="8">
        <v>1.9136409339857999E-2</v>
      </c>
      <c r="I20" s="2">
        <f t="shared" ref="I20:I33" si="3">I19+1/15</f>
        <v>0.1</v>
      </c>
      <c r="J20" s="2">
        <f t="shared" si="2"/>
        <v>-1.2811261510381207</v>
      </c>
    </row>
    <row r="21" spans="1:10" x14ac:dyDescent="0.3">
      <c r="A21" s="8">
        <v>1.9615471668122001E-2</v>
      </c>
      <c r="C21" s="3" t="s">
        <v>7</v>
      </c>
      <c r="E21" s="1" t="s">
        <v>8</v>
      </c>
      <c r="H21" s="8">
        <v>1.9163750723262998E-2</v>
      </c>
      <c r="I21" s="2">
        <f t="shared" si="3"/>
        <v>0.16666666666666669</v>
      </c>
      <c r="J21" s="2">
        <f t="shared" si="2"/>
        <v>-0.96558119772402384</v>
      </c>
    </row>
    <row r="22" spans="1:10" x14ac:dyDescent="0.3">
      <c r="A22" s="8">
        <v>1.9708986197521001E-2</v>
      </c>
      <c r="C22" s="5">
        <f>MEDIAN(A19:A33)</f>
        <v>1.9377344415687999E-2</v>
      </c>
      <c r="E22" s="2">
        <v>2.145</v>
      </c>
      <c r="H22" s="8">
        <v>1.9182076782020999E-2</v>
      </c>
      <c r="I22" s="2">
        <f t="shared" si="3"/>
        <v>0.23333333333333334</v>
      </c>
      <c r="J22" s="2">
        <f t="shared" si="2"/>
        <v>-0.72575040815577163</v>
      </c>
    </row>
    <row r="23" spans="1:10" x14ac:dyDescent="0.3">
      <c r="A23" s="8">
        <v>1.9490915474590999E-2</v>
      </c>
      <c r="H23" s="8">
        <v>1.9241220026521001E-2</v>
      </c>
      <c r="I23" s="2">
        <f t="shared" si="3"/>
        <v>0.3</v>
      </c>
      <c r="J23" s="2">
        <f t="shared" si="2"/>
        <v>-0.52246305252576009</v>
      </c>
    </row>
    <row r="24" spans="1:10" x14ac:dyDescent="0.3">
      <c r="A24" s="8">
        <v>1.9309409338945999E-2</v>
      </c>
      <c r="C24" s="3"/>
      <c r="D24" s="1" t="s">
        <v>9</v>
      </c>
      <c r="H24" s="8">
        <v>1.9309409338945999E-2</v>
      </c>
      <c r="I24" s="2">
        <f t="shared" si="3"/>
        <v>0.36666666666666664</v>
      </c>
      <c r="J24" s="2">
        <f t="shared" si="2"/>
        <v>-0.33927638280750583</v>
      </c>
    </row>
    <row r="25" spans="1:10" x14ac:dyDescent="0.3">
      <c r="A25" s="8">
        <v>1.9508675275524998E-2</v>
      </c>
      <c r="C25" s="3" t="s">
        <v>10</v>
      </c>
      <c r="D25" s="2">
        <f>C19+E22*SQRT(D19)/(SQRT(15))</f>
        <v>1.9498141523873167E-2</v>
      </c>
      <c r="H25" s="8">
        <v>1.9345445234846E-2</v>
      </c>
      <c r="I25" s="2">
        <f t="shared" si="3"/>
        <v>0.43333333333333329</v>
      </c>
      <c r="J25" s="2">
        <f t="shared" si="2"/>
        <v>-0.16715058832373922</v>
      </c>
    </row>
    <row r="26" spans="1:10" x14ac:dyDescent="0.3">
      <c r="A26" s="8">
        <v>1.9023214248340001E-2</v>
      </c>
      <c r="C26" s="3" t="s">
        <v>11</v>
      </c>
      <c r="D26" s="2">
        <f>C19-E22*SQRT(D19)/(SQRT(15))</f>
        <v>1.926554107239203E-2</v>
      </c>
      <c r="H26" s="8">
        <v>1.9377344415687999E-2</v>
      </c>
      <c r="I26" s="2">
        <f t="shared" si="3"/>
        <v>0.49999999999999994</v>
      </c>
      <c r="J26" s="2">
        <f t="shared" si="2"/>
        <v>0</v>
      </c>
    </row>
    <row r="27" spans="1:10" x14ac:dyDescent="0.3">
      <c r="A27" s="8">
        <v>1.9182076782020999E-2</v>
      </c>
      <c r="H27" s="8">
        <v>1.9384858268428E-2</v>
      </c>
      <c r="I27" s="2">
        <f t="shared" si="3"/>
        <v>0.56666666666666665</v>
      </c>
      <c r="J27" s="2">
        <f t="shared" si="2"/>
        <v>0.16715058832373922</v>
      </c>
    </row>
    <row r="28" spans="1:10" x14ac:dyDescent="0.3">
      <c r="A28" s="8">
        <v>1.9136409339857999E-2</v>
      </c>
      <c r="H28" s="8">
        <v>1.9490915474590999E-2</v>
      </c>
      <c r="I28" s="2">
        <f t="shared" si="3"/>
        <v>0.6333333333333333</v>
      </c>
      <c r="J28" s="2">
        <f t="shared" si="2"/>
        <v>0.33927638280750583</v>
      </c>
    </row>
    <row r="29" spans="1:10" x14ac:dyDescent="0.3">
      <c r="A29" s="8">
        <v>1.9345445234846E-2</v>
      </c>
      <c r="H29" s="8">
        <v>1.9508675275524998E-2</v>
      </c>
      <c r="I29" s="2">
        <f t="shared" si="3"/>
        <v>0.7</v>
      </c>
      <c r="J29" s="2">
        <f t="shared" si="2"/>
        <v>0.52246305252576009</v>
      </c>
    </row>
    <row r="30" spans="1:10" x14ac:dyDescent="0.3">
      <c r="A30" s="8">
        <v>1.9241220026521001E-2</v>
      </c>
      <c r="H30" s="8">
        <v>1.9543460111832001E-2</v>
      </c>
      <c r="I30" s="2">
        <f t="shared" si="3"/>
        <v>0.76666666666666661</v>
      </c>
      <c r="J30" s="2">
        <f t="shared" si="2"/>
        <v>0.72575040815577163</v>
      </c>
    </row>
    <row r="31" spans="1:10" x14ac:dyDescent="0.3">
      <c r="A31" s="8">
        <v>1.9543460111832001E-2</v>
      </c>
      <c r="H31" s="8">
        <v>1.9615471668122001E-2</v>
      </c>
      <c r="I31" s="2">
        <f t="shared" si="3"/>
        <v>0.83333333333333326</v>
      </c>
      <c r="J31" s="2">
        <f t="shared" si="2"/>
        <v>0.96558119772402329</v>
      </c>
    </row>
    <row r="32" spans="1:10" x14ac:dyDescent="0.3">
      <c r="A32" s="8">
        <v>1.9163750723262998E-2</v>
      </c>
      <c r="H32" s="8">
        <v>1.9696382366486999E-2</v>
      </c>
      <c r="I32" s="2">
        <f t="shared" si="3"/>
        <v>0.89999999999999991</v>
      </c>
      <c r="J32" s="2">
        <f t="shared" si="2"/>
        <v>1.2811261510381207</v>
      </c>
    </row>
    <row r="33" spans="1:10" x14ac:dyDescent="0.3">
      <c r="A33" s="8">
        <v>1.9696382366486999E-2</v>
      </c>
      <c r="H33" s="8">
        <v>1.9708986197521001E-2</v>
      </c>
      <c r="I33" s="2">
        <f t="shared" si="3"/>
        <v>0.96666666666666656</v>
      </c>
      <c r="J33" s="2">
        <f t="shared" si="2"/>
        <v>1.8368588976886859</v>
      </c>
    </row>
    <row r="34" spans="1:10" s="6" customFormat="1" x14ac:dyDescent="0.3">
      <c r="C34" s="7"/>
    </row>
    <row r="35" spans="1:10" x14ac:dyDescent="0.3">
      <c r="A35" s="1" t="s">
        <v>13</v>
      </c>
      <c r="C35" s="3" t="s">
        <v>1</v>
      </c>
      <c r="D35" s="1" t="s">
        <v>2</v>
      </c>
      <c r="E35" s="1" t="s">
        <v>3</v>
      </c>
      <c r="F35" s="1"/>
      <c r="H35" s="1" t="s">
        <v>4</v>
      </c>
      <c r="I35" s="1" t="s">
        <v>5</v>
      </c>
      <c r="J35" s="1" t="s">
        <v>6</v>
      </c>
    </row>
    <row r="36" spans="1:10" x14ac:dyDescent="0.3">
      <c r="A36" s="9">
        <v>2.3573120516815E-2</v>
      </c>
      <c r="C36" s="5">
        <f>AVERAGE(A36:A50)</f>
        <v>2.3519283859341201E-2</v>
      </c>
      <c r="D36" s="2">
        <f>_xlfn.VAR.S(A36:A50)</f>
        <v>9.8721445698360229E-8</v>
      </c>
      <c r="E36" s="2">
        <f>SQRT(D36)/C36</f>
        <v>1.3359237155279455E-2</v>
      </c>
      <c r="H36" s="9">
        <v>2.2792248367223999E-2</v>
      </c>
      <c r="I36" s="2">
        <f>1/15 - 0.5/15</f>
        <v>3.3333333333333333E-2</v>
      </c>
      <c r="J36" s="2">
        <f t="shared" ref="J36:J50" si="4">4.91*(I36^0.14-(1-I36)^0.14)</f>
        <v>-1.836858897688687</v>
      </c>
    </row>
    <row r="37" spans="1:10" x14ac:dyDescent="0.3">
      <c r="A37" s="9">
        <v>2.3484714762679999E-2</v>
      </c>
      <c r="H37" s="9">
        <v>2.3153970434024999E-2</v>
      </c>
      <c r="I37" s="2">
        <f t="shared" ref="I37:I50" si="5">I36+1/15</f>
        <v>0.1</v>
      </c>
      <c r="J37" s="2">
        <f t="shared" si="4"/>
        <v>-1.2811261510381207</v>
      </c>
    </row>
    <row r="38" spans="1:10" x14ac:dyDescent="0.3">
      <c r="A38" s="9">
        <v>2.3266923662921001E-2</v>
      </c>
      <c r="C38" s="3" t="s">
        <v>7</v>
      </c>
      <c r="E38" s="1" t="s">
        <v>8</v>
      </c>
      <c r="H38" s="9">
        <v>2.3266923662921001E-2</v>
      </c>
      <c r="I38" s="2">
        <f t="shared" si="5"/>
        <v>0.16666666666666669</v>
      </c>
      <c r="J38" s="2">
        <f t="shared" si="4"/>
        <v>-0.96558119772402384</v>
      </c>
    </row>
    <row r="39" spans="1:10" x14ac:dyDescent="0.3">
      <c r="A39" s="9">
        <v>2.3801604172475E-2</v>
      </c>
      <c r="C39" s="5">
        <f>MEDIAN(A36:A50)</f>
        <v>2.3573120516815E-2</v>
      </c>
      <c r="E39" s="2">
        <v>2.145</v>
      </c>
      <c r="H39" s="9">
        <v>2.3317677002547998E-2</v>
      </c>
      <c r="I39" s="2">
        <f t="shared" si="5"/>
        <v>0.23333333333333334</v>
      </c>
      <c r="J39" s="2">
        <f t="shared" si="4"/>
        <v>-0.72575040815577163</v>
      </c>
    </row>
    <row r="40" spans="1:10" x14ac:dyDescent="0.3">
      <c r="A40" s="9">
        <v>2.3903278405167001E-2</v>
      </c>
      <c r="H40" s="9">
        <v>2.3336367838957001E-2</v>
      </c>
      <c r="I40" s="2">
        <f t="shared" si="5"/>
        <v>0.3</v>
      </c>
      <c r="J40" s="2">
        <f t="shared" si="4"/>
        <v>-0.52246305252576009</v>
      </c>
    </row>
    <row r="41" spans="1:10" x14ac:dyDescent="0.3">
      <c r="A41" s="9">
        <v>2.3336367838957001E-2</v>
      </c>
      <c r="C41" s="3"/>
      <c r="D41" s="1" t="s">
        <v>9</v>
      </c>
      <c r="H41" s="9">
        <v>2.3356076827998E-2</v>
      </c>
      <c r="I41" s="2">
        <f t="shared" si="5"/>
        <v>0.36666666666666664</v>
      </c>
      <c r="J41" s="2">
        <f t="shared" si="4"/>
        <v>-0.33927638280750583</v>
      </c>
    </row>
    <row r="42" spans="1:10" x14ac:dyDescent="0.3">
      <c r="A42" s="9">
        <v>2.3317677002547998E-2</v>
      </c>
      <c r="C42" s="3" t="s">
        <v>10</v>
      </c>
      <c r="D42" s="2">
        <f>C36+E39*SQRT(D36)/(SQRT(15))</f>
        <v>2.3693299153629624E-2</v>
      </c>
      <c r="H42" s="9">
        <v>2.3484714762679999E-2</v>
      </c>
      <c r="I42" s="2">
        <f t="shared" si="5"/>
        <v>0.43333333333333329</v>
      </c>
      <c r="J42" s="2">
        <f t="shared" si="4"/>
        <v>-0.16715058832373922</v>
      </c>
    </row>
    <row r="43" spans="1:10" x14ac:dyDescent="0.3">
      <c r="A43" s="9">
        <v>2.3791718302719998E-2</v>
      </c>
      <c r="C43" s="3" t="s">
        <v>11</v>
      </c>
      <c r="D43" s="2">
        <f>C36-E39*SQRT(D36)/(SQRT(15))</f>
        <v>2.3345268565052778E-2</v>
      </c>
      <c r="H43" s="9">
        <v>2.3573120516815E-2</v>
      </c>
      <c r="I43" s="2">
        <f t="shared" si="5"/>
        <v>0.49999999999999994</v>
      </c>
      <c r="J43" s="2">
        <f t="shared" si="4"/>
        <v>0</v>
      </c>
    </row>
    <row r="44" spans="1:10" x14ac:dyDescent="0.3">
      <c r="A44" s="9">
        <v>2.3799079028376999E-2</v>
      </c>
      <c r="H44" s="9">
        <v>2.3611470527228E-2</v>
      </c>
      <c r="I44" s="2">
        <f t="shared" si="5"/>
        <v>0.56666666666666665</v>
      </c>
      <c r="J44" s="2">
        <f t="shared" si="4"/>
        <v>0.16715058832373922</v>
      </c>
    </row>
    <row r="45" spans="1:10" x14ac:dyDescent="0.3">
      <c r="A45" s="9">
        <v>2.2792248367223999E-2</v>
      </c>
      <c r="H45" s="9">
        <v>2.3749434683816999E-2</v>
      </c>
      <c r="I45" s="2">
        <f t="shared" si="5"/>
        <v>0.6333333333333333</v>
      </c>
      <c r="J45" s="2">
        <f t="shared" si="4"/>
        <v>0.33927638280750583</v>
      </c>
    </row>
    <row r="46" spans="1:10" x14ac:dyDescent="0.3">
      <c r="A46" s="9">
        <v>2.3749434683816999E-2</v>
      </c>
      <c r="H46" s="9">
        <v>2.3791718302719998E-2</v>
      </c>
      <c r="I46" s="2">
        <f t="shared" si="5"/>
        <v>0.7</v>
      </c>
      <c r="J46" s="2">
        <f t="shared" si="4"/>
        <v>0.52246305252576009</v>
      </c>
    </row>
    <row r="47" spans="1:10" x14ac:dyDescent="0.3">
      <c r="A47" s="9">
        <v>2.3611470527228E-2</v>
      </c>
      <c r="H47" s="9">
        <v>2.3799079028376999E-2</v>
      </c>
      <c r="I47" s="2">
        <f t="shared" si="5"/>
        <v>0.76666666666666661</v>
      </c>
      <c r="J47" s="2">
        <f t="shared" si="4"/>
        <v>0.72575040815577163</v>
      </c>
    </row>
    <row r="48" spans="1:10" x14ac:dyDescent="0.3">
      <c r="A48" s="9">
        <v>2.3356076827998E-2</v>
      </c>
      <c r="H48" s="9">
        <v>2.3801604172475E-2</v>
      </c>
      <c r="I48" s="2">
        <f t="shared" si="5"/>
        <v>0.83333333333333326</v>
      </c>
      <c r="J48" s="2">
        <f t="shared" si="4"/>
        <v>0.96558119772402329</v>
      </c>
    </row>
    <row r="49" spans="1:10" x14ac:dyDescent="0.3">
      <c r="A49" s="9">
        <v>2.3851573357165999E-2</v>
      </c>
      <c r="H49" s="9">
        <v>2.3851573357165999E-2</v>
      </c>
      <c r="I49" s="2">
        <f t="shared" si="5"/>
        <v>0.89999999999999991</v>
      </c>
      <c r="J49" s="2">
        <f t="shared" si="4"/>
        <v>1.2811261510381207</v>
      </c>
    </row>
    <row r="50" spans="1:10" x14ac:dyDescent="0.3">
      <c r="A50" s="9">
        <v>2.3153970434024999E-2</v>
      </c>
      <c r="H50" s="9">
        <v>2.3903278405167001E-2</v>
      </c>
      <c r="I50" s="2">
        <f t="shared" si="5"/>
        <v>0.96666666666666656</v>
      </c>
      <c r="J50" s="2">
        <f t="shared" si="4"/>
        <v>1.8368588976886859</v>
      </c>
    </row>
    <row r="51" spans="1:10" s="6" customFormat="1" x14ac:dyDescent="0.3">
      <c r="C51" s="7"/>
    </row>
    <row r="52" spans="1:10" x14ac:dyDescent="0.3">
      <c r="A52" s="1" t="s">
        <v>14</v>
      </c>
      <c r="C52" s="3" t="s">
        <v>1</v>
      </c>
      <c r="D52" s="1" t="s">
        <v>2</v>
      </c>
      <c r="E52" s="1" t="s">
        <v>3</v>
      </c>
      <c r="F52" s="1"/>
      <c r="H52" s="1" t="s">
        <v>4</v>
      </c>
      <c r="I52" s="1" t="s">
        <v>5</v>
      </c>
      <c r="J52" s="1" t="s">
        <v>6</v>
      </c>
    </row>
    <row r="53" spans="1:10" x14ac:dyDescent="0.3">
      <c r="A53" s="9">
        <v>2.8971856033017E-2</v>
      </c>
      <c r="C53" s="5">
        <f>AVERAGE(A53:A67)</f>
        <v>2.847242927604313E-2</v>
      </c>
      <c r="D53" s="2">
        <f>_xlfn.VAR.S(A53:A67)</f>
        <v>1.9480657104334647E-7</v>
      </c>
      <c r="E53" s="2">
        <f>SQRT(D53)/C53</f>
        <v>1.550162683810022E-2</v>
      </c>
      <c r="H53" s="9">
        <v>2.7558208835712E-2</v>
      </c>
      <c r="I53" s="2">
        <f>1/15 - 0.5/15</f>
        <v>3.3333333333333333E-2</v>
      </c>
      <c r="J53" s="2">
        <f t="shared" ref="J53:J67" si="6">4.91*(I53^0.14-(1-I53)^0.14)</f>
        <v>-1.836858897688687</v>
      </c>
    </row>
    <row r="54" spans="1:10" x14ac:dyDescent="0.3">
      <c r="A54" s="9">
        <v>2.8742752868560002E-2</v>
      </c>
      <c r="H54" s="9">
        <v>2.7834394086206998E-2</v>
      </c>
      <c r="I54" s="2">
        <f t="shared" ref="I54:I67" si="7">I53+1/15</f>
        <v>0.1</v>
      </c>
      <c r="J54" s="2">
        <f t="shared" si="6"/>
        <v>-1.2811261510381207</v>
      </c>
    </row>
    <row r="55" spans="1:10" x14ac:dyDescent="0.3">
      <c r="A55" s="9">
        <v>2.8107186954144998E-2</v>
      </c>
      <c r="C55" s="3" t="s">
        <v>7</v>
      </c>
      <c r="E55" s="1" t="s">
        <v>8</v>
      </c>
      <c r="H55" s="9">
        <v>2.8096625499579999E-2</v>
      </c>
      <c r="I55" s="2">
        <f t="shared" si="7"/>
        <v>0.16666666666666669</v>
      </c>
      <c r="J55" s="2">
        <f t="shared" si="6"/>
        <v>-0.96558119772402384</v>
      </c>
    </row>
    <row r="56" spans="1:10" x14ac:dyDescent="0.3">
      <c r="A56" s="9">
        <v>2.8977165863008001E-2</v>
      </c>
      <c r="C56" s="5">
        <f>MEDIAN(A53:A67)</f>
        <v>2.8538818361543001E-2</v>
      </c>
      <c r="E56" s="2">
        <v>2.145</v>
      </c>
      <c r="H56" s="9">
        <v>2.8107186954144998E-2</v>
      </c>
      <c r="I56" s="2">
        <f t="shared" si="7"/>
        <v>0.23333333333333334</v>
      </c>
      <c r="J56" s="2">
        <f t="shared" si="6"/>
        <v>-0.72575040815577163</v>
      </c>
    </row>
    <row r="57" spans="1:10" x14ac:dyDescent="0.3">
      <c r="A57" s="9">
        <v>2.8889155294536999E-2</v>
      </c>
      <c r="H57" s="9">
        <v>2.8280538627215E-2</v>
      </c>
      <c r="I57" s="2">
        <f t="shared" si="7"/>
        <v>0.3</v>
      </c>
      <c r="J57" s="2">
        <f t="shared" si="6"/>
        <v>-0.52246305252576009</v>
      </c>
    </row>
    <row r="58" spans="1:10" x14ac:dyDescent="0.3">
      <c r="A58" s="9">
        <v>2.8728885854040001E-2</v>
      </c>
      <c r="C58" s="3"/>
      <c r="D58" s="1" t="s">
        <v>9</v>
      </c>
      <c r="H58" s="9">
        <v>2.8327983716404E-2</v>
      </c>
      <c r="I58" s="2">
        <f t="shared" si="7"/>
        <v>0.36666666666666664</v>
      </c>
      <c r="J58" s="2">
        <f t="shared" si="6"/>
        <v>-0.33927638280750583</v>
      </c>
    </row>
    <row r="59" spans="1:10" x14ac:dyDescent="0.3">
      <c r="A59" s="9">
        <v>2.8969571931839001E-2</v>
      </c>
      <c r="C59" s="3" t="s">
        <v>10</v>
      </c>
      <c r="D59" s="2">
        <f>C53+E56*SQRT(D53)/(SQRT(15))</f>
        <v>2.8716875576013042E-2</v>
      </c>
      <c r="H59" s="9">
        <v>2.8335658259606E-2</v>
      </c>
      <c r="I59" s="2">
        <f t="shared" si="7"/>
        <v>0.43333333333333329</v>
      </c>
      <c r="J59" s="2">
        <f t="shared" si="6"/>
        <v>-0.16715058832373922</v>
      </c>
    </row>
    <row r="60" spans="1:10" x14ac:dyDescent="0.3">
      <c r="A60" s="9">
        <v>2.7558208835712E-2</v>
      </c>
      <c r="C60" s="3" t="s">
        <v>11</v>
      </c>
      <c r="D60" s="2">
        <f>C53-E56*SQRT(D53)/(SQRT(15))</f>
        <v>2.8227982976073217E-2</v>
      </c>
      <c r="H60" s="9">
        <v>2.8538818361543001E-2</v>
      </c>
      <c r="I60" s="2">
        <f t="shared" si="7"/>
        <v>0.49999999999999994</v>
      </c>
      <c r="J60" s="2">
        <f t="shared" si="6"/>
        <v>0</v>
      </c>
    </row>
    <row r="61" spans="1:10" x14ac:dyDescent="0.3">
      <c r="A61" s="9">
        <v>2.8327983716404E-2</v>
      </c>
      <c r="H61" s="9">
        <v>2.8727636955234E-2</v>
      </c>
      <c r="I61" s="2">
        <f t="shared" si="7"/>
        <v>0.56666666666666665</v>
      </c>
      <c r="J61" s="2">
        <f t="shared" si="6"/>
        <v>0.16715058832373922</v>
      </c>
    </row>
    <row r="62" spans="1:10" x14ac:dyDescent="0.3">
      <c r="A62" s="9">
        <v>2.7834394086206998E-2</v>
      </c>
      <c r="H62" s="9">
        <v>2.8728885854040001E-2</v>
      </c>
      <c r="I62" s="2">
        <f t="shared" si="7"/>
        <v>0.6333333333333333</v>
      </c>
      <c r="J62" s="2">
        <f t="shared" si="6"/>
        <v>0.33927638280750583</v>
      </c>
    </row>
    <row r="63" spans="1:10" x14ac:dyDescent="0.3">
      <c r="A63" s="9">
        <v>2.8727636955234E-2</v>
      </c>
      <c r="H63" s="9">
        <v>2.8742752868560002E-2</v>
      </c>
      <c r="I63" s="2">
        <f t="shared" si="7"/>
        <v>0.7</v>
      </c>
      <c r="J63" s="2">
        <f t="shared" si="6"/>
        <v>0.52246305252576009</v>
      </c>
    </row>
    <row r="64" spans="1:10" x14ac:dyDescent="0.3">
      <c r="A64" s="9">
        <v>2.8096625499579999E-2</v>
      </c>
      <c r="H64" s="9">
        <v>2.8889155294536999E-2</v>
      </c>
      <c r="I64" s="2">
        <f t="shared" si="7"/>
        <v>0.76666666666666661</v>
      </c>
      <c r="J64" s="2">
        <f t="shared" si="6"/>
        <v>0.72575040815577163</v>
      </c>
    </row>
    <row r="65" spans="1:10" x14ac:dyDescent="0.3">
      <c r="A65" s="9">
        <v>2.8538818361543001E-2</v>
      </c>
      <c r="H65" s="9">
        <v>2.8969571931839001E-2</v>
      </c>
      <c r="I65" s="2">
        <f t="shared" si="7"/>
        <v>0.83333333333333326</v>
      </c>
      <c r="J65" s="2">
        <f t="shared" si="6"/>
        <v>0.96558119772402329</v>
      </c>
    </row>
    <row r="66" spans="1:10" x14ac:dyDescent="0.3">
      <c r="A66" s="9">
        <v>2.8280538627215E-2</v>
      </c>
      <c r="H66" s="9">
        <v>2.8971856033017E-2</v>
      </c>
      <c r="I66" s="2">
        <f t="shared" si="7"/>
        <v>0.89999999999999991</v>
      </c>
      <c r="J66" s="2">
        <f t="shared" si="6"/>
        <v>1.2811261510381207</v>
      </c>
    </row>
    <row r="67" spans="1:10" x14ac:dyDescent="0.3">
      <c r="A67" s="9">
        <v>2.8335658259606E-2</v>
      </c>
      <c r="H67" s="9">
        <v>2.8977165863008001E-2</v>
      </c>
      <c r="I67" s="2">
        <f t="shared" si="7"/>
        <v>0.96666666666666656</v>
      </c>
      <c r="J67" s="2">
        <f t="shared" si="6"/>
        <v>1.8368588976886859</v>
      </c>
    </row>
    <row r="68" spans="1:10" s="6" customFormat="1" x14ac:dyDescent="0.3">
      <c r="C68" s="7"/>
    </row>
    <row r="69" spans="1:10" x14ac:dyDescent="0.3">
      <c r="A69" s="1" t="s">
        <v>15</v>
      </c>
      <c r="C69" s="3" t="s">
        <v>1</v>
      </c>
      <c r="D69" s="1" t="s">
        <v>2</v>
      </c>
      <c r="E69" s="1" t="s">
        <v>3</v>
      </c>
      <c r="F69" s="1"/>
      <c r="H69" s="1" t="s">
        <v>4</v>
      </c>
      <c r="I69" s="1" t="s">
        <v>5</v>
      </c>
      <c r="J69" s="1" t="s">
        <v>6</v>
      </c>
    </row>
    <row r="70" spans="1:10" x14ac:dyDescent="0.3">
      <c r="A70" s="4">
        <v>3.4137302996571001E-2</v>
      </c>
      <c r="C70" s="5">
        <f>AVERAGE(A70:A84)</f>
        <v>3.4487731337890938E-2</v>
      </c>
      <c r="D70" s="2">
        <f>_xlfn.VAR.S(A70:A84)</f>
        <v>4.1812443201115074E-7</v>
      </c>
      <c r="E70" s="2">
        <f>SQRT(D70)/C70</f>
        <v>1.8749433306850874E-2</v>
      </c>
      <c r="H70" s="4">
        <v>3.3447038357438001E-2</v>
      </c>
      <c r="I70" s="2">
        <f>1/15 - 0.5/15</f>
        <v>3.3333333333333333E-2</v>
      </c>
      <c r="J70" s="2">
        <f t="shared" ref="J70:J84" si="8">4.91*(I70^0.14-(1-I70)^0.14)</f>
        <v>-1.836858897688687</v>
      </c>
    </row>
    <row r="71" spans="1:10" x14ac:dyDescent="0.3">
      <c r="A71" s="4">
        <v>3.4243271747118997E-2</v>
      </c>
      <c r="H71" s="4">
        <v>3.3511040529862E-2</v>
      </c>
      <c r="I71" s="2">
        <f t="shared" ref="I71:I84" si="9">I70+1/15</f>
        <v>0.1</v>
      </c>
      <c r="J71" s="2">
        <f t="shared" si="8"/>
        <v>-1.2811261510381207</v>
      </c>
    </row>
    <row r="72" spans="1:10" x14ac:dyDescent="0.3">
      <c r="A72" s="4">
        <v>3.4897448914769001E-2</v>
      </c>
      <c r="C72" s="3" t="s">
        <v>7</v>
      </c>
      <c r="E72" s="1" t="s">
        <v>8</v>
      </c>
      <c r="H72" s="4">
        <v>3.3592549804358003E-2</v>
      </c>
      <c r="I72" s="2">
        <f t="shared" si="9"/>
        <v>0.16666666666666669</v>
      </c>
      <c r="J72" s="2">
        <f t="shared" si="8"/>
        <v>-0.96558119772402384</v>
      </c>
    </row>
    <row r="73" spans="1:10" x14ac:dyDescent="0.3">
      <c r="A73" s="4">
        <v>3.4223325455762003E-2</v>
      </c>
      <c r="C73" s="5">
        <f>MEDIAN(A70:A84)</f>
        <v>3.4643039042108997E-2</v>
      </c>
      <c r="E73" s="2">
        <v>2.145</v>
      </c>
      <c r="H73" s="4">
        <v>3.4137302996571001E-2</v>
      </c>
      <c r="I73" s="2">
        <f t="shared" si="9"/>
        <v>0.23333333333333334</v>
      </c>
      <c r="J73" s="2">
        <f t="shared" si="8"/>
        <v>-0.72575040815577163</v>
      </c>
    </row>
    <row r="74" spans="1:10" x14ac:dyDescent="0.3">
      <c r="A74" s="4">
        <v>3.3447038357438001E-2</v>
      </c>
      <c r="H74" s="4">
        <v>3.4201350503452001E-2</v>
      </c>
      <c r="I74" s="2">
        <f t="shared" si="9"/>
        <v>0.3</v>
      </c>
      <c r="J74" s="2">
        <f t="shared" si="8"/>
        <v>-0.52246305252576009</v>
      </c>
    </row>
    <row r="75" spans="1:10" x14ac:dyDescent="0.3">
      <c r="A75" s="4">
        <v>3.3511040529862E-2</v>
      </c>
      <c r="C75" s="3"/>
      <c r="D75" s="1" t="s">
        <v>9</v>
      </c>
      <c r="H75" s="4">
        <v>3.4223325455762003E-2</v>
      </c>
      <c r="I75" s="2">
        <f t="shared" si="9"/>
        <v>0.36666666666666664</v>
      </c>
      <c r="J75" s="2">
        <f t="shared" si="8"/>
        <v>-0.33927638280750583</v>
      </c>
    </row>
    <row r="76" spans="1:10" x14ac:dyDescent="0.3">
      <c r="A76" s="4">
        <v>3.5097146736966997E-2</v>
      </c>
      <c r="C76" s="3" t="s">
        <v>10</v>
      </c>
      <c r="D76" s="2">
        <f>C70+E73*SQRT(D70)/(SQRT(15))</f>
        <v>3.4845856173182962E-2</v>
      </c>
      <c r="H76" s="4">
        <v>3.4243271747118997E-2</v>
      </c>
      <c r="I76" s="2">
        <f t="shared" si="9"/>
        <v>0.43333333333333329</v>
      </c>
      <c r="J76" s="2">
        <f t="shared" si="8"/>
        <v>-0.16715058832373922</v>
      </c>
    </row>
    <row r="77" spans="1:10" x14ac:dyDescent="0.3">
      <c r="A77" s="4">
        <v>3.5584405804975003E-2</v>
      </c>
      <c r="C77" s="3" t="s">
        <v>11</v>
      </c>
      <c r="D77" s="2">
        <f>C70-E73*SQRT(D70)/(SQRT(15))</f>
        <v>3.4129606502598914E-2</v>
      </c>
      <c r="H77" s="4">
        <v>3.4643039042108997E-2</v>
      </c>
      <c r="I77" s="2">
        <f t="shared" si="9"/>
        <v>0.49999999999999994</v>
      </c>
      <c r="J77" s="2">
        <f t="shared" si="8"/>
        <v>0</v>
      </c>
    </row>
    <row r="78" spans="1:10" x14ac:dyDescent="0.3">
      <c r="A78" s="4">
        <v>3.4643039042108997E-2</v>
      </c>
      <c r="H78" s="4">
        <v>3.4646652077351001E-2</v>
      </c>
      <c r="I78" s="2">
        <f t="shared" si="9"/>
        <v>0.56666666666666665</v>
      </c>
      <c r="J78" s="2">
        <f t="shared" si="8"/>
        <v>0.16715058832373922</v>
      </c>
    </row>
    <row r="79" spans="1:10" x14ac:dyDescent="0.3">
      <c r="A79" s="4">
        <v>3.5015602968174998E-2</v>
      </c>
      <c r="H79" s="4">
        <v>3.4897448914769001E-2</v>
      </c>
      <c r="I79" s="2">
        <f t="shared" si="9"/>
        <v>0.6333333333333333</v>
      </c>
      <c r="J79" s="2">
        <f t="shared" si="8"/>
        <v>0.33927638280750583</v>
      </c>
    </row>
    <row r="80" spans="1:10" x14ac:dyDescent="0.3">
      <c r="A80" s="4">
        <v>3.3592549804358003E-2</v>
      </c>
      <c r="H80" s="4">
        <v>3.4984985919527999E-2</v>
      </c>
      <c r="I80" s="2">
        <f t="shared" si="9"/>
        <v>0.7</v>
      </c>
      <c r="J80" s="2">
        <f t="shared" si="8"/>
        <v>0.52246305252576009</v>
      </c>
    </row>
    <row r="81" spans="1:10" x14ac:dyDescent="0.3">
      <c r="A81" s="4">
        <v>3.4201350503452001E-2</v>
      </c>
      <c r="H81" s="4">
        <v>3.5015602968174998E-2</v>
      </c>
      <c r="I81" s="2">
        <f t="shared" si="9"/>
        <v>0.76666666666666661</v>
      </c>
      <c r="J81" s="2">
        <f t="shared" si="8"/>
        <v>0.72575040815577163</v>
      </c>
    </row>
    <row r="82" spans="1:10" x14ac:dyDescent="0.3">
      <c r="A82" s="4">
        <v>3.4646652077351001E-2</v>
      </c>
      <c r="H82" s="4">
        <v>3.5090809209927999E-2</v>
      </c>
      <c r="I82" s="2">
        <f t="shared" si="9"/>
        <v>0.83333333333333326</v>
      </c>
      <c r="J82" s="2">
        <f t="shared" si="8"/>
        <v>0.96558119772402329</v>
      </c>
    </row>
    <row r="83" spans="1:10" x14ac:dyDescent="0.3">
      <c r="A83" s="4">
        <v>3.4984985919527999E-2</v>
      </c>
      <c r="H83" s="4">
        <v>3.5097146736966997E-2</v>
      </c>
      <c r="I83" s="2">
        <f t="shared" si="9"/>
        <v>0.89999999999999991</v>
      </c>
      <c r="J83" s="2">
        <f t="shared" si="8"/>
        <v>1.2811261510381207</v>
      </c>
    </row>
    <row r="84" spans="1:10" x14ac:dyDescent="0.3">
      <c r="A84" s="4">
        <v>3.5090809209927999E-2</v>
      </c>
      <c r="H84" s="4">
        <v>3.5584405804975003E-2</v>
      </c>
      <c r="I84" s="2">
        <f t="shared" si="9"/>
        <v>0.96666666666666656</v>
      </c>
      <c r="J84" s="2">
        <f t="shared" si="8"/>
        <v>1.8368588976886859</v>
      </c>
    </row>
    <row r="85" spans="1:10" s="6" customFormat="1" x14ac:dyDescent="0.3">
      <c r="C85" s="7"/>
    </row>
    <row r="86" spans="1:10" x14ac:dyDescent="0.3">
      <c r="A86" s="1" t="s">
        <v>16</v>
      </c>
      <c r="C86" s="3" t="s">
        <v>1</v>
      </c>
      <c r="D86" s="1" t="s">
        <v>2</v>
      </c>
      <c r="E86" s="1" t="s">
        <v>3</v>
      </c>
      <c r="F86" s="1"/>
      <c r="H86" s="1" t="s">
        <v>4</v>
      </c>
      <c r="I86" s="1" t="s">
        <v>5</v>
      </c>
      <c r="J86" s="1" t="s">
        <v>6</v>
      </c>
    </row>
    <row r="87" spans="1:10" x14ac:dyDescent="0.3">
      <c r="A87" s="9">
        <v>4.2351563334427002E-2</v>
      </c>
      <c r="C87" s="5">
        <f>AVERAGE(A87:A101)</f>
        <v>4.2027558294839805E-2</v>
      </c>
      <c r="D87" s="2">
        <f>_xlfn.VAR.S(A87:A101)</f>
        <v>5.7518779153003128E-7</v>
      </c>
      <c r="E87" s="2">
        <f>SQRT(D87)/C87</f>
        <v>1.8045572741676133E-2</v>
      </c>
      <c r="H87" s="9">
        <v>4.0396856964942003E-2</v>
      </c>
      <c r="I87" s="2">
        <f>1/15 - 0.5/15</f>
        <v>3.3333333333333333E-2</v>
      </c>
      <c r="J87" s="2">
        <f t="shared" ref="J87:J101" si="10">4.91*(I87^0.14-(1-I87)^0.14)</f>
        <v>-1.836858897688687</v>
      </c>
    </row>
    <row r="88" spans="1:10" x14ac:dyDescent="0.3">
      <c r="A88" s="9">
        <v>4.1709719641453001E-2</v>
      </c>
      <c r="H88" s="9">
        <v>4.1158975589671E-2</v>
      </c>
      <c r="I88" s="2">
        <f t="shared" ref="I88:I101" si="11">I87+1/15</f>
        <v>0.1</v>
      </c>
      <c r="J88" s="2">
        <f t="shared" si="10"/>
        <v>-1.2811261510381207</v>
      </c>
    </row>
    <row r="89" spans="1:10" x14ac:dyDescent="0.3">
      <c r="A89" s="9">
        <v>4.2160209348264997E-2</v>
      </c>
      <c r="C89" s="3" t="s">
        <v>7</v>
      </c>
      <c r="E89" s="1" t="s">
        <v>8</v>
      </c>
      <c r="H89" s="9">
        <v>4.1468704382287003E-2</v>
      </c>
      <c r="I89" s="2">
        <f t="shared" si="11"/>
        <v>0.16666666666666669</v>
      </c>
      <c r="J89" s="2">
        <f t="shared" si="10"/>
        <v>-0.96558119772402384</v>
      </c>
    </row>
    <row r="90" spans="1:10" x14ac:dyDescent="0.3">
      <c r="A90" s="9">
        <v>4.0396856964942003E-2</v>
      </c>
      <c r="C90" s="5">
        <f>MEDIAN(A87:A101)</f>
        <v>4.2160209348264997E-2</v>
      </c>
      <c r="E90" s="2">
        <v>2.145</v>
      </c>
      <c r="H90" s="9">
        <v>4.1532284711779999E-2</v>
      </c>
      <c r="I90" s="2">
        <f t="shared" si="11"/>
        <v>0.23333333333333334</v>
      </c>
      <c r="J90" s="2">
        <f t="shared" si="10"/>
        <v>-0.72575040815577163</v>
      </c>
    </row>
    <row r="91" spans="1:10" x14ac:dyDescent="0.3">
      <c r="A91" s="9">
        <v>4.1532284711779999E-2</v>
      </c>
      <c r="H91" s="9">
        <v>4.1558800600835999E-2</v>
      </c>
      <c r="I91" s="2">
        <f t="shared" si="11"/>
        <v>0.3</v>
      </c>
      <c r="J91" s="2">
        <f t="shared" si="10"/>
        <v>-0.52246305252576009</v>
      </c>
    </row>
    <row r="92" spans="1:10" x14ac:dyDescent="0.3">
      <c r="A92" s="9">
        <v>4.1558800600835999E-2</v>
      </c>
      <c r="C92" s="3"/>
      <c r="D92" s="1" t="s">
        <v>9</v>
      </c>
      <c r="H92" s="9">
        <v>4.1709719641453001E-2</v>
      </c>
      <c r="I92" s="2">
        <f t="shared" si="11"/>
        <v>0.36666666666666664</v>
      </c>
      <c r="J92" s="2">
        <f t="shared" si="10"/>
        <v>-0.33927638280750583</v>
      </c>
    </row>
    <row r="93" spans="1:10" x14ac:dyDescent="0.3">
      <c r="A93" s="9">
        <v>4.2980731501406001E-2</v>
      </c>
      <c r="C93" s="3" t="s">
        <v>10</v>
      </c>
      <c r="D93" s="2">
        <f>C87+E90*SQRT(D87)/(SQRT(15))</f>
        <v>4.2447594278101908E-2</v>
      </c>
      <c r="H93" s="9">
        <v>4.1765929916003003E-2</v>
      </c>
      <c r="I93" s="2">
        <f t="shared" si="11"/>
        <v>0.43333333333333329</v>
      </c>
      <c r="J93" s="2">
        <f t="shared" si="10"/>
        <v>-0.16715058832373922</v>
      </c>
    </row>
    <row r="94" spans="1:10" x14ac:dyDescent="0.3">
      <c r="A94" s="9">
        <v>4.2432534959623999E-2</v>
      </c>
      <c r="C94" s="3" t="s">
        <v>11</v>
      </c>
      <c r="D94" s="2">
        <f>C87-E90*SQRT(D87)/(SQRT(15))</f>
        <v>4.1607522311577702E-2</v>
      </c>
      <c r="H94" s="9">
        <v>4.2160209348264997E-2</v>
      </c>
      <c r="I94" s="2">
        <f t="shared" si="11"/>
        <v>0.49999999999999994</v>
      </c>
      <c r="J94" s="2">
        <f t="shared" si="10"/>
        <v>0</v>
      </c>
    </row>
    <row r="95" spans="1:10" x14ac:dyDescent="0.3">
      <c r="A95" s="9">
        <v>4.2412288159382999E-2</v>
      </c>
      <c r="H95" s="9">
        <v>4.2320867762316E-2</v>
      </c>
      <c r="I95" s="2">
        <f t="shared" si="11"/>
        <v>0.56666666666666665</v>
      </c>
      <c r="J95" s="2">
        <f t="shared" si="10"/>
        <v>0.16715058832373922</v>
      </c>
    </row>
    <row r="96" spans="1:10" x14ac:dyDescent="0.3">
      <c r="A96" s="9">
        <v>4.2320867762316E-2</v>
      </c>
      <c r="H96" s="9">
        <v>4.2351563334427002E-2</v>
      </c>
      <c r="I96" s="2">
        <f t="shared" si="11"/>
        <v>0.6333333333333333</v>
      </c>
      <c r="J96" s="2">
        <f t="shared" si="10"/>
        <v>0.33927638280750583</v>
      </c>
    </row>
    <row r="97" spans="1:10" x14ac:dyDescent="0.3">
      <c r="A97" s="9">
        <v>4.1468704382287003E-2</v>
      </c>
      <c r="H97" s="9">
        <v>4.2412288159382999E-2</v>
      </c>
      <c r="I97" s="2">
        <f t="shared" si="11"/>
        <v>0.7</v>
      </c>
      <c r="J97" s="2">
        <f t="shared" si="10"/>
        <v>0.52246305252576009</v>
      </c>
    </row>
    <row r="98" spans="1:10" x14ac:dyDescent="0.3">
      <c r="A98" s="9">
        <v>4.2941383279501998E-2</v>
      </c>
      <c r="H98" s="9">
        <v>4.2432534959623999E-2</v>
      </c>
      <c r="I98" s="2">
        <f t="shared" si="11"/>
        <v>0.76666666666666661</v>
      </c>
      <c r="J98" s="2">
        <f t="shared" si="10"/>
        <v>0.72575040815577163</v>
      </c>
    </row>
    <row r="99" spans="1:10" x14ac:dyDescent="0.3">
      <c r="A99" s="9">
        <v>4.3222524270702001E-2</v>
      </c>
      <c r="H99" s="9">
        <v>4.2941383279501998E-2</v>
      </c>
      <c r="I99" s="2">
        <f t="shared" si="11"/>
        <v>0.83333333333333326</v>
      </c>
      <c r="J99" s="2">
        <f t="shared" si="10"/>
        <v>0.96558119772402329</v>
      </c>
    </row>
    <row r="100" spans="1:10" x14ac:dyDescent="0.3">
      <c r="A100" s="9">
        <v>4.1158975589671E-2</v>
      </c>
      <c r="H100" s="9">
        <v>4.2980731501406001E-2</v>
      </c>
      <c r="I100" s="2">
        <f t="shared" si="11"/>
        <v>0.89999999999999991</v>
      </c>
      <c r="J100" s="2">
        <f t="shared" si="10"/>
        <v>1.2811261510381207</v>
      </c>
    </row>
    <row r="101" spans="1:10" x14ac:dyDescent="0.3">
      <c r="A101" s="9">
        <v>4.1765929916003003E-2</v>
      </c>
      <c r="H101" s="9">
        <v>4.3222524270702001E-2</v>
      </c>
      <c r="I101" s="2">
        <f t="shared" si="11"/>
        <v>0.96666666666666656</v>
      </c>
      <c r="J101" s="2">
        <f t="shared" si="10"/>
        <v>1.8368588976886859</v>
      </c>
    </row>
    <row r="102" spans="1:10" s="6" customFormat="1" x14ac:dyDescent="0.3">
      <c r="C102" s="7"/>
    </row>
    <row r="103" spans="1:10" x14ac:dyDescent="0.3">
      <c r="A103" s="1" t="s">
        <v>17</v>
      </c>
      <c r="C103" s="3" t="s">
        <v>1</v>
      </c>
      <c r="D103" s="1" t="s">
        <v>2</v>
      </c>
      <c r="E103" s="1" t="s">
        <v>3</v>
      </c>
      <c r="F103" s="1"/>
      <c r="H103" s="1" t="s">
        <v>4</v>
      </c>
      <c r="I103" s="1" t="s">
        <v>5</v>
      </c>
      <c r="J103" s="1" t="s">
        <v>6</v>
      </c>
    </row>
    <row r="104" spans="1:10" x14ac:dyDescent="0.3">
      <c r="A104" s="4">
        <v>5.1932902211258999E-2</v>
      </c>
      <c r="C104" s="5">
        <f>AVERAGE(A104:A118)</f>
        <v>5.1680248287280933E-2</v>
      </c>
      <c r="D104" s="2">
        <f>_xlfn.VAR.S(A104:A118)</f>
        <v>1.4525230418754267E-6</v>
      </c>
      <c r="E104" s="2">
        <f>SQRT(D104)/C104</f>
        <v>2.3320449854704151E-2</v>
      </c>
      <c r="H104" s="4">
        <v>4.9422817627701003E-2</v>
      </c>
      <c r="I104" s="2">
        <f>1/15 - 0.5/15</f>
        <v>3.3333333333333333E-2</v>
      </c>
      <c r="J104" s="2">
        <f t="shared" ref="J104:J118" si="12">4.91*(I104^0.14-(1-I104)^0.14)</f>
        <v>-1.836858897688687</v>
      </c>
    </row>
    <row r="105" spans="1:10" x14ac:dyDescent="0.3">
      <c r="A105" s="4">
        <v>5.2619112162111001E-2</v>
      </c>
      <c r="H105" s="4">
        <v>4.9914733660733998E-2</v>
      </c>
      <c r="I105" s="2">
        <f t="shared" ref="I105:I118" si="13">I104+1/15</f>
        <v>0.1</v>
      </c>
      <c r="J105" s="2">
        <f t="shared" si="12"/>
        <v>-1.2811261510381207</v>
      </c>
    </row>
    <row r="106" spans="1:10" x14ac:dyDescent="0.3">
      <c r="A106" s="4">
        <v>5.1140649115554999E-2</v>
      </c>
      <c r="C106" s="3" t="s">
        <v>7</v>
      </c>
      <c r="E106" s="1" t="s">
        <v>8</v>
      </c>
      <c r="H106" s="4">
        <v>5.0295815670197003E-2</v>
      </c>
      <c r="I106" s="2">
        <f t="shared" si="13"/>
        <v>0.16666666666666669</v>
      </c>
      <c r="J106" s="2">
        <f t="shared" si="12"/>
        <v>-0.96558119772402384</v>
      </c>
    </row>
    <row r="107" spans="1:10" x14ac:dyDescent="0.3">
      <c r="A107" s="4">
        <v>4.9914733660733998E-2</v>
      </c>
      <c r="C107" s="5">
        <f>MEDIAN(A104:A118)</f>
        <v>5.1932902211258999E-2</v>
      </c>
      <c r="E107" s="2">
        <v>2.145</v>
      </c>
      <c r="H107" s="4">
        <v>5.0749978610119997E-2</v>
      </c>
      <c r="I107" s="2">
        <f t="shared" si="13"/>
        <v>0.23333333333333334</v>
      </c>
      <c r="J107" s="2">
        <f t="shared" si="12"/>
        <v>-0.72575040815577163</v>
      </c>
    </row>
    <row r="108" spans="1:10" x14ac:dyDescent="0.3">
      <c r="A108" s="4">
        <v>5.0295815670197003E-2</v>
      </c>
      <c r="H108" s="4">
        <v>5.0983784502819998E-2</v>
      </c>
      <c r="I108" s="2">
        <f t="shared" si="13"/>
        <v>0.3</v>
      </c>
      <c r="J108" s="2">
        <f t="shared" si="12"/>
        <v>-0.52246305252576009</v>
      </c>
    </row>
    <row r="109" spans="1:10" x14ac:dyDescent="0.3">
      <c r="A109" s="4">
        <v>5.2095046241421999E-2</v>
      </c>
      <c r="C109" s="3"/>
      <c r="D109" s="1" t="s">
        <v>9</v>
      </c>
      <c r="H109" s="4">
        <v>5.1140649115554999E-2</v>
      </c>
      <c r="I109" s="2">
        <f t="shared" si="13"/>
        <v>0.36666666666666664</v>
      </c>
      <c r="J109" s="2">
        <f t="shared" si="12"/>
        <v>-0.33927638280750583</v>
      </c>
    </row>
    <row r="110" spans="1:10" x14ac:dyDescent="0.3">
      <c r="A110" s="4">
        <v>5.1823002184309998E-2</v>
      </c>
      <c r="C110" s="3" t="s">
        <v>10</v>
      </c>
      <c r="D110" s="2">
        <f>C104+E107*SQRT(D104)/(SQRT(15))</f>
        <v>5.2347735856640584E-2</v>
      </c>
      <c r="H110" s="4">
        <v>5.1823002184309998E-2</v>
      </c>
      <c r="I110" s="2">
        <f t="shared" si="13"/>
        <v>0.43333333333333329</v>
      </c>
      <c r="J110" s="2">
        <f t="shared" si="12"/>
        <v>-0.16715058832373922</v>
      </c>
    </row>
    <row r="111" spans="1:10" x14ac:dyDescent="0.3">
      <c r="A111" s="4">
        <v>5.2762943848681999E-2</v>
      </c>
      <c r="C111" s="3" t="s">
        <v>11</v>
      </c>
      <c r="D111" s="2">
        <f>C104-E107*SQRT(D104)/(SQRT(15))</f>
        <v>5.1012760717921282E-2</v>
      </c>
      <c r="H111" s="4">
        <v>5.1932902211258999E-2</v>
      </c>
      <c r="I111" s="2">
        <f t="shared" si="13"/>
        <v>0.49999999999999994</v>
      </c>
      <c r="J111" s="2">
        <f t="shared" si="12"/>
        <v>0</v>
      </c>
    </row>
    <row r="112" spans="1:10" x14ac:dyDescent="0.3">
      <c r="A112" s="4">
        <v>5.0983784502819998E-2</v>
      </c>
      <c r="H112" s="4">
        <v>5.2095046241421999E-2</v>
      </c>
      <c r="I112" s="2">
        <f t="shared" si="13"/>
        <v>0.56666666666666665</v>
      </c>
      <c r="J112" s="2">
        <f t="shared" si="12"/>
        <v>0.16715058832373922</v>
      </c>
    </row>
    <row r="113" spans="1:10" x14ac:dyDescent="0.3">
      <c r="A113" s="4">
        <v>5.2935400064840002E-2</v>
      </c>
      <c r="H113" s="4">
        <v>5.2321577165217001E-2</v>
      </c>
      <c r="I113" s="2">
        <f t="shared" si="13"/>
        <v>0.6333333333333333</v>
      </c>
      <c r="J113" s="2">
        <f t="shared" si="12"/>
        <v>0.33927638280750583</v>
      </c>
    </row>
    <row r="114" spans="1:10" x14ac:dyDescent="0.3">
      <c r="A114" s="4">
        <v>5.0749978610119997E-2</v>
      </c>
      <c r="H114" s="4">
        <v>5.2619112162111001E-2</v>
      </c>
      <c r="I114" s="2">
        <f t="shared" si="13"/>
        <v>0.7</v>
      </c>
      <c r="J114" s="2">
        <f t="shared" si="12"/>
        <v>0.52246305252576009</v>
      </c>
    </row>
    <row r="115" spans="1:10" x14ac:dyDescent="0.3">
      <c r="A115" s="4">
        <v>5.3433884467142999E-2</v>
      </c>
      <c r="H115" s="4">
        <v>5.2762943848681999E-2</v>
      </c>
      <c r="I115" s="2">
        <f t="shared" si="13"/>
        <v>0.76666666666666661</v>
      </c>
      <c r="J115" s="2">
        <f t="shared" si="12"/>
        <v>0.72575040815577163</v>
      </c>
    </row>
    <row r="116" spans="1:10" x14ac:dyDescent="0.3">
      <c r="A116" s="4">
        <v>5.2772076777103001E-2</v>
      </c>
      <c r="H116" s="4">
        <v>5.2772076777103001E-2</v>
      </c>
      <c r="I116" s="2">
        <f t="shared" si="13"/>
        <v>0.83333333333333326</v>
      </c>
      <c r="J116" s="2">
        <f t="shared" si="12"/>
        <v>0.96558119772402329</v>
      </c>
    </row>
    <row r="117" spans="1:10" x14ac:dyDescent="0.3">
      <c r="A117" s="4">
        <v>4.9422817627701003E-2</v>
      </c>
      <c r="H117" s="4">
        <v>5.2935400064840002E-2</v>
      </c>
      <c r="I117" s="2">
        <f t="shared" si="13"/>
        <v>0.89999999999999991</v>
      </c>
      <c r="J117" s="2">
        <f t="shared" si="12"/>
        <v>1.2811261510381207</v>
      </c>
    </row>
    <row r="118" spans="1:10" x14ac:dyDescent="0.3">
      <c r="A118" s="4">
        <v>5.2321577165217001E-2</v>
      </c>
      <c r="H118" s="4">
        <v>5.3433884467142999E-2</v>
      </c>
      <c r="I118" s="2">
        <f t="shared" si="13"/>
        <v>0.96666666666666656</v>
      </c>
      <c r="J118" s="2">
        <f t="shared" si="12"/>
        <v>1.8368588976886859</v>
      </c>
    </row>
    <row r="119" spans="1:10" s="6" customFormat="1" x14ac:dyDescent="0.3">
      <c r="C119" s="7"/>
    </row>
    <row r="120" spans="1:10" x14ac:dyDescent="0.3">
      <c r="A120" s="1" t="s">
        <v>18</v>
      </c>
      <c r="C120" s="3" t="s">
        <v>1</v>
      </c>
      <c r="D120" s="1" t="s">
        <v>2</v>
      </c>
      <c r="E120" s="1" t="s">
        <v>3</v>
      </c>
      <c r="F120" s="1"/>
      <c r="H120" s="1" t="s">
        <v>4</v>
      </c>
      <c r="I120" s="1" t="s">
        <v>5</v>
      </c>
      <c r="J120" s="1" t="s">
        <v>6</v>
      </c>
    </row>
    <row r="121" spans="1:10" x14ac:dyDescent="0.3">
      <c r="A121" s="4">
        <v>6.6656370985907001E-2</v>
      </c>
      <c r="C121" s="5">
        <f>AVERAGE(A121:A135)</f>
        <v>6.4874405615654662E-2</v>
      </c>
      <c r="D121" s="2">
        <f>_xlfn.VAR.S(A121:A135)</f>
        <v>3.8255426877720633E-6</v>
      </c>
      <c r="E121" s="2">
        <f>SQRT(D121)/C121</f>
        <v>3.0149015454076271E-2</v>
      </c>
      <c r="H121" s="4">
        <v>6.1921350609961998E-2</v>
      </c>
      <c r="I121" s="2">
        <f>1/15 - 0.5/15</f>
        <v>3.3333333333333333E-2</v>
      </c>
      <c r="J121" s="2">
        <f t="shared" ref="J121:J135" si="14">4.91*(I121^0.14-(1-I121)^0.14)</f>
        <v>-1.836858897688687</v>
      </c>
    </row>
    <row r="122" spans="1:10" x14ac:dyDescent="0.3">
      <c r="A122" s="4">
        <v>6.3731040465703007E-2</v>
      </c>
      <c r="H122" s="4">
        <v>6.2592094924389996E-2</v>
      </c>
      <c r="I122" s="2">
        <f t="shared" ref="I122:I135" si="15">I121+1/15</f>
        <v>0.1</v>
      </c>
      <c r="J122" s="2">
        <f t="shared" si="14"/>
        <v>-1.2811261510381207</v>
      </c>
    </row>
    <row r="123" spans="1:10" x14ac:dyDescent="0.3">
      <c r="A123" s="4">
        <v>6.7083820069292005E-2</v>
      </c>
      <c r="C123" s="3" t="s">
        <v>7</v>
      </c>
      <c r="E123" s="1" t="s">
        <v>8</v>
      </c>
      <c r="H123" s="4">
        <v>6.2719878363188999E-2</v>
      </c>
      <c r="I123" s="2">
        <f t="shared" si="15"/>
        <v>0.16666666666666669</v>
      </c>
      <c r="J123" s="2">
        <f t="shared" si="14"/>
        <v>-0.96558119772402384</v>
      </c>
    </row>
    <row r="124" spans="1:10" x14ac:dyDescent="0.3">
      <c r="A124" s="4">
        <v>6.7403142405481994E-2</v>
      </c>
      <c r="C124" s="5">
        <f>MEDIAN(A121:A135)</f>
        <v>6.4401621296240996E-2</v>
      </c>
      <c r="E124" s="2">
        <v>2.145</v>
      </c>
      <c r="H124" s="4">
        <v>6.2768554744586993E-2</v>
      </c>
      <c r="I124" s="2">
        <f t="shared" si="15"/>
        <v>0.23333333333333334</v>
      </c>
      <c r="J124" s="2">
        <f t="shared" si="14"/>
        <v>-0.72575040815577163</v>
      </c>
    </row>
    <row r="125" spans="1:10" x14ac:dyDescent="0.3">
      <c r="A125" s="4">
        <v>6.2719878363188999E-2</v>
      </c>
      <c r="H125" s="4">
        <v>6.3731040465703007E-2</v>
      </c>
      <c r="I125" s="2">
        <f t="shared" si="15"/>
        <v>0.3</v>
      </c>
      <c r="J125" s="2">
        <f t="shared" si="14"/>
        <v>-0.52246305252576009</v>
      </c>
    </row>
    <row r="126" spans="1:10" x14ac:dyDescent="0.3">
      <c r="A126" s="4">
        <v>6.2592094924389996E-2</v>
      </c>
      <c r="C126" s="3"/>
      <c r="D126" s="1" t="s">
        <v>9</v>
      </c>
      <c r="H126" s="4">
        <v>6.3936518932354997E-2</v>
      </c>
      <c r="I126" s="2">
        <f t="shared" si="15"/>
        <v>0.36666666666666664</v>
      </c>
      <c r="J126" s="2">
        <f t="shared" si="14"/>
        <v>-0.33927638280750583</v>
      </c>
    </row>
    <row r="127" spans="1:10" x14ac:dyDescent="0.3">
      <c r="A127" s="4">
        <v>6.3936518932354997E-2</v>
      </c>
      <c r="C127" s="3" t="s">
        <v>10</v>
      </c>
      <c r="D127" s="2">
        <f>C121+E124*SQRT(D121)/(SQRT(15))</f>
        <v>6.5957654357326562E-2</v>
      </c>
      <c r="H127" s="4">
        <v>6.4032470747413001E-2</v>
      </c>
      <c r="I127" s="2">
        <f t="shared" si="15"/>
        <v>0.43333333333333329</v>
      </c>
      <c r="J127" s="2">
        <f t="shared" si="14"/>
        <v>-0.16715058832373922</v>
      </c>
    </row>
    <row r="128" spans="1:10" x14ac:dyDescent="0.3">
      <c r="A128" s="4">
        <v>6.5730486294993007E-2</v>
      </c>
      <c r="C128" s="3" t="s">
        <v>11</v>
      </c>
      <c r="D128" s="2">
        <f>C121-E124*SQRT(D121)/(SQRT(15))</f>
        <v>6.3791156873982763E-2</v>
      </c>
      <c r="H128" s="4">
        <v>6.4401621296240996E-2</v>
      </c>
      <c r="I128" s="2">
        <f t="shared" si="15"/>
        <v>0.49999999999999994</v>
      </c>
      <c r="J128" s="2">
        <f t="shared" si="14"/>
        <v>0</v>
      </c>
    </row>
    <row r="129" spans="1:10" x14ac:dyDescent="0.3">
      <c r="A129" s="4">
        <v>6.2768554744586993E-2</v>
      </c>
      <c r="H129" s="4">
        <v>6.5643213580360002E-2</v>
      </c>
      <c r="I129" s="2">
        <f t="shared" si="15"/>
        <v>0.56666666666666665</v>
      </c>
      <c r="J129" s="2">
        <f t="shared" si="14"/>
        <v>0.16715058832373922</v>
      </c>
    </row>
    <row r="130" spans="1:10" x14ac:dyDescent="0.3">
      <c r="A130" s="4">
        <v>6.5643213580360002E-2</v>
      </c>
      <c r="H130" s="4">
        <v>6.5730486294993007E-2</v>
      </c>
      <c r="I130" s="2">
        <f t="shared" si="15"/>
        <v>0.6333333333333333</v>
      </c>
      <c r="J130" s="2">
        <f t="shared" si="14"/>
        <v>0.33927638280750583</v>
      </c>
    </row>
    <row r="131" spans="1:10" x14ac:dyDescent="0.3">
      <c r="A131" s="4">
        <v>6.4032470747413001E-2</v>
      </c>
      <c r="H131" s="4">
        <v>6.6656370985907001E-2</v>
      </c>
      <c r="I131" s="2">
        <f t="shared" si="15"/>
        <v>0.7</v>
      </c>
      <c r="J131" s="2">
        <f t="shared" si="14"/>
        <v>0.52246305252576009</v>
      </c>
    </row>
    <row r="132" spans="1:10" x14ac:dyDescent="0.3">
      <c r="A132" s="4">
        <v>6.1921350609961998E-2</v>
      </c>
      <c r="H132" s="4">
        <v>6.6805469127174E-2</v>
      </c>
      <c r="I132" s="2">
        <f t="shared" si="15"/>
        <v>0.76666666666666661</v>
      </c>
      <c r="J132" s="2">
        <f t="shared" si="14"/>
        <v>0.72575040815577163</v>
      </c>
    </row>
    <row r="133" spans="1:10" x14ac:dyDescent="0.3">
      <c r="A133" s="4">
        <v>6.6805469127174E-2</v>
      </c>
      <c r="H133" s="4">
        <v>6.7083820069292005E-2</v>
      </c>
      <c r="I133" s="2">
        <f t="shared" si="15"/>
        <v>0.83333333333333326</v>
      </c>
      <c r="J133" s="2">
        <f t="shared" si="14"/>
        <v>0.96558119772402329</v>
      </c>
    </row>
    <row r="134" spans="1:10" x14ac:dyDescent="0.3">
      <c r="A134" s="4">
        <v>6.4401621296240996E-2</v>
      </c>
      <c r="H134" s="4">
        <v>6.7403142405481994E-2</v>
      </c>
      <c r="I134" s="2">
        <f t="shared" si="15"/>
        <v>0.89999999999999991</v>
      </c>
      <c r="J134" s="2">
        <f t="shared" si="14"/>
        <v>1.2811261510381207</v>
      </c>
    </row>
    <row r="135" spans="1:10" x14ac:dyDescent="0.3">
      <c r="A135" s="4">
        <v>6.7690051687771993E-2</v>
      </c>
      <c r="H135" s="4">
        <v>6.7690051687771993E-2</v>
      </c>
      <c r="I135" s="2">
        <f t="shared" si="15"/>
        <v>0.96666666666666656</v>
      </c>
      <c r="J135" s="2">
        <f t="shared" si="14"/>
        <v>1.8368588976886859</v>
      </c>
    </row>
    <row r="136" spans="1:10" s="6" customFormat="1" x14ac:dyDescent="0.3">
      <c r="C136" s="7"/>
    </row>
    <row r="137" spans="1:10" x14ac:dyDescent="0.3">
      <c r="A137" s="1" t="s">
        <v>19</v>
      </c>
      <c r="C137" s="3" t="s">
        <v>1</v>
      </c>
      <c r="D137" s="1" t="s">
        <v>2</v>
      </c>
      <c r="E137" s="1" t="s">
        <v>3</v>
      </c>
      <c r="F137" s="1"/>
      <c r="H137" s="1" t="s">
        <v>4</v>
      </c>
      <c r="I137" s="1" t="s">
        <v>5</v>
      </c>
      <c r="J137" s="1" t="s">
        <v>6</v>
      </c>
    </row>
    <row r="138" spans="1:10" x14ac:dyDescent="0.3">
      <c r="A138" s="4">
        <v>8.5018853042819004E-2</v>
      </c>
      <c r="C138" s="5">
        <f>AVERAGE(A138:A152)</f>
        <v>8.3134033309731917E-2</v>
      </c>
      <c r="D138" s="2">
        <f>_xlfn.VAR.S(A138:A152)</f>
        <v>7.5746927748162669E-6</v>
      </c>
      <c r="E138" s="2">
        <f>SQRT(D138)/C138</f>
        <v>3.3105767466710533E-2</v>
      </c>
      <c r="H138" s="4">
        <v>7.9052741398548995E-2</v>
      </c>
      <c r="I138" s="2">
        <f>1/15 - 0.5/15</f>
        <v>3.3333333333333333E-2</v>
      </c>
      <c r="J138" s="2">
        <f t="shared" ref="J138:J152" si="16">4.91*(I138^0.14-(1-I138)^0.14)</f>
        <v>-1.836858897688687</v>
      </c>
    </row>
    <row r="139" spans="1:10" x14ac:dyDescent="0.3">
      <c r="A139" s="4">
        <v>8.5654654719372003E-2</v>
      </c>
      <c r="H139" s="4">
        <v>8.0092566179843006E-2</v>
      </c>
      <c r="I139" s="2">
        <f t="shared" ref="I139:I152" si="17">I138+1/15</f>
        <v>0.1</v>
      </c>
      <c r="J139" s="2">
        <f t="shared" si="16"/>
        <v>-1.2811261510381207</v>
      </c>
    </row>
    <row r="140" spans="1:10" x14ac:dyDescent="0.3">
      <c r="A140" s="4">
        <v>8.0459832869804002E-2</v>
      </c>
      <c r="C140" s="3" t="s">
        <v>7</v>
      </c>
      <c r="E140" s="1" t="s">
        <v>8</v>
      </c>
      <c r="H140" s="4">
        <v>8.0459832869804002E-2</v>
      </c>
      <c r="I140" s="2">
        <f t="shared" si="17"/>
        <v>0.16666666666666669</v>
      </c>
      <c r="J140" s="2">
        <f t="shared" si="16"/>
        <v>-0.96558119772402384</v>
      </c>
    </row>
    <row r="141" spans="1:10" x14ac:dyDescent="0.3">
      <c r="A141" s="4">
        <v>8.1878700065425997E-2</v>
      </c>
      <c r="C141" s="5">
        <f>MEDIAN(A138:A152)</f>
        <v>8.2369553757113995E-2</v>
      </c>
      <c r="E141" s="2">
        <v>2.145</v>
      </c>
      <c r="H141" s="4">
        <v>8.0523279160167993E-2</v>
      </c>
      <c r="I141" s="2">
        <f t="shared" si="17"/>
        <v>0.23333333333333334</v>
      </c>
      <c r="J141" s="2">
        <f t="shared" si="16"/>
        <v>-0.72575040815577163</v>
      </c>
    </row>
    <row r="142" spans="1:10" x14ac:dyDescent="0.3">
      <c r="A142" s="4">
        <v>8.0092566179843006E-2</v>
      </c>
      <c r="H142" s="4">
        <v>8.1130970735732999E-2</v>
      </c>
      <c r="I142" s="2">
        <f t="shared" si="17"/>
        <v>0.3</v>
      </c>
      <c r="J142" s="2">
        <f t="shared" si="16"/>
        <v>-0.52246305252576009</v>
      </c>
    </row>
    <row r="143" spans="1:10" x14ac:dyDescent="0.3">
      <c r="A143" s="4">
        <v>8.2369553757113995E-2</v>
      </c>
      <c r="C143" s="3"/>
      <c r="D143" s="1" t="s">
        <v>9</v>
      </c>
      <c r="H143" s="4">
        <v>8.1878700065425997E-2</v>
      </c>
      <c r="I143" s="2">
        <f t="shared" si="17"/>
        <v>0.36666666666666664</v>
      </c>
      <c r="J143" s="2">
        <f t="shared" si="16"/>
        <v>-0.33927638280750583</v>
      </c>
    </row>
    <row r="144" spans="1:10" x14ac:dyDescent="0.3">
      <c r="A144" s="4">
        <v>8.7225150819225994E-2</v>
      </c>
      <c r="C144" s="3" t="s">
        <v>10</v>
      </c>
      <c r="D144" s="2">
        <f>C138+E141*SQRT(D138)/(SQRT(15))</f>
        <v>8.4658311298906885E-2</v>
      </c>
      <c r="H144" s="4">
        <v>8.1905672725229001E-2</v>
      </c>
      <c r="I144" s="2">
        <f t="shared" si="17"/>
        <v>0.43333333333333329</v>
      </c>
      <c r="J144" s="2">
        <f t="shared" si="16"/>
        <v>-0.16715058832373922</v>
      </c>
    </row>
    <row r="145" spans="1:10" x14ac:dyDescent="0.3">
      <c r="A145" s="4">
        <v>8.1130970735732999E-2</v>
      </c>
      <c r="C145" s="3" t="s">
        <v>11</v>
      </c>
      <c r="D145" s="2">
        <f>C138-E141*SQRT(D138)/(SQRT(15))</f>
        <v>8.1609755320556948E-2</v>
      </c>
      <c r="H145" s="4">
        <v>8.2369553757113995E-2</v>
      </c>
      <c r="I145" s="2">
        <f t="shared" si="17"/>
        <v>0.49999999999999994</v>
      </c>
      <c r="J145" s="2">
        <f t="shared" si="16"/>
        <v>0</v>
      </c>
    </row>
    <row r="146" spans="1:10" x14ac:dyDescent="0.3">
      <c r="A146" s="4">
        <v>8.8110659293132998E-2</v>
      </c>
      <c r="H146" s="4">
        <v>8.3633799883648996E-2</v>
      </c>
      <c r="I146" s="2">
        <f t="shared" si="17"/>
        <v>0.56666666666666665</v>
      </c>
      <c r="J146" s="2">
        <f t="shared" si="16"/>
        <v>0.16715058832373922</v>
      </c>
    </row>
    <row r="147" spans="1:10" x14ac:dyDescent="0.3">
      <c r="A147" s="4">
        <v>7.9052741398548995E-2</v>
      </c>
      <c r="H147" s="4">
        <v>8.4842416932549E-2</v>
      </c>
      <c r="I147" s="2">
        <f t="shared" si="17"/>
        <v>0.6333333333333333</v>
      </c>
      <c r="J147" s="2">
        <f t="shared" si="16"/>
        <v>0.33927638280750583</v>
      </c>
    </row>
    <row r="148" spans="1:10" x14ac:dyDescent="0.3">
      <c r="A148" s="4">
        <v>8.1905672725229001E-2</v>
      </c>
      <c r="H148" s="4">
        <v>8.5018853042819004E-2</v>
      </c>
      <c r="I148" s="2">
        <f t="shared" si="17"/>
        <v>0.7</v>
      </c>
      <c r="J148" s="2">
        <f t="shared" si="16"/>
        <v>0.52246305252576009</v>
      </c>
    </row>
    <row r="149" spans="1:10" x14ac:dyDescent="0.3">
      <c r="A149" s="4">
        <v>8.4842416932549E-2</v>
      </c>
      <c r="H149" s="4">
        <v>8.5111648063365006E-2</v>
      </c>
      <c r="I149" s="2">
        <f t="shared" si="17"/>
        <v>0.76666666666666661</v>
      </c>
      <c r="J149" s="2">
        <f t="shared" si="16"/>
        <v>0.72575040815577163</v>
      </c>
    </row>
    <row r="150" spans="1:10" x14ac:dyDescent="0.3">
      <c r="A150" s="4">
        <v>8.0523279160167993E-2</v>
      </c>
      <c r="H150" s="4">
        <v>8.5654654719372003E-2</v>
      </c>
      <c r="I150" s="2">
        <f t="shared" si="17"/>
        <v>0.83333333333333326</v>
      </c>
      <c r="J150" s="2">
        <f t="shared" si="16"/>
        <v>0.96558119772402329</v>
      </c>
    </row>
    <row r="151" spans="1:10" x14ac:dyDescent="0.3">
      <c r="A151" s="4">
        <v>8.5111648063365006E-2</v>
      </c>
      <c r="H151" s="4">
        <v>8.7225150819225994E-2</v>
      </c>
      <c r="I151" s="2">
        <f t="shared" si="17"/>
        <v>0.89999999999999991</v>
      </c>
      <c r="J151" s="2">
        <f t="shared" si="16"/>
        <v>1.2811261510381207</v>
      </c>
    </row>
    <row r="152" spans="1:10" x14ac:dyDescent="0.3">
      <c r="A152" s="4">
        <v>8.3633799883648996E-2</v>
      </c>
      <c r="H152" s="4">
        <v>8.8110659293132998E-2</v>
      </c>
      <c r="I152" s="2">
        <f t="shared" si="17"/>
        <v>0.96666666666666656</v>
      </c>
      <c r="J152" s="2">
        <f t="shared" si="16"/>
        <v>1.8368588976886859</v>
      </c>
    </row>
    <row r="153" spans="1:10" s="6" customFormat="1" x14ac:dyDescent="0.3">
      <c r="C153" s="7"/>
    </row>
    <row r="155" spans="1:10" x14ac:dyDescent="0.3">
      <c r="A155" s="1"/>
      <c r="C155" s="1"/>
      <c r="D155" s="1"/>
      <c r="E155" s="1"/>
    </row>
    <row r="156" spans="1:10" x14ac:dyDescent="0.3">
      <c r="A156" s="13" t="s">
        <v>20</v>
      </c>
      <c r="B156" s="13"/>
      <c r="C156" s="13"/>
    </row>
    <row r="157" spans="1:10" x14ac:dyDescent="0.3">
      <c r="A157" s="1" t="s">
        <v>21</v>
      </c>
      <c r="B157" s="1" t="s">
        <v>22</v>
      </c>
      <c r="C157" s="1" t="s">
        <v>23</v>
      </c>
    </row>
    <row r="158" spans="1:10" x14ac:dyDescent="0.3">
      <c r="A158" s="1" t="s">
        <v>24</v>
      </c>
      <c r="B158" s="2">
        <f>1*0.001</f>
        <v>1E-3</v>
      </c>
      <c r="C158" s="2">
        <f>C2</f>
        <v>1.58865081133268E-2</v>
      </c>
    </row>
    <row r="159" spans="1:10" x14ac:dyDescent="0.3">
      <c r="A159" s="1" t="s">
        <v>25</v>
      </c>
      <c r="B159" s="2">
        <f>1.5*0.001</f>
        <v>1.5E-3</v>
      </c>
      <c r="C159" s="2">
        <f>C19</f>
        <v>1.9381841298132599E-2</v>
      </c>
    </row>
    <row r="160" spans="1:10" x14ac:dyDescent="0.3">
      <c r="A160" s="1" t="s">
        <v>26</v>
      </c>
      <c r="B160" s="2">
        <f>2*0.001</f>
        <v>2E-3</v>
      </c>
      <c r="C160" s="2">
        <f>C36</f>
        <v>2.3519283859341201E-2</v>
      </c>
    </row>
    <row r="161" spans="1:7" x14ac:dyDescent="0.3">
      <c r="A161" s="1" t="s">
        <v>27</v>
      </c>
      <c r="B161" s="2">
        <f>2.5*0.001</f>
        <v>2.5000000000000001E-3</v>
      </c>
      <c r="C161" s="2">
        <f>C53</f>
        <v>2.847242927604313E-2</v>
      </c>
    </row>
    <row r="162" spans="1:7" x14ac:dyDescent="0.3">
      <c r="A162" s="1" t="s">
        <v>28</v>
      </c>
      <c r="B162" s="2">
        <f>3*0.001</f>
        <v>3.0000000000000001E-3</v>
      </c>
      <c r="C162" s="2">
        <f>C70</f>
        <v>3.4487731337890938E-2</v>
      </c>
    </row>
    <row r="163" spans="1:7" x14ac:dyDescent="0.3">
      <c r="A163" s="1" t="s">
        <v>29</v>
      </c>
      <c r="B163" s="2">
        <f>3.5*0.001</f>
        <v>3.5000000000000001E-3</v>
      </c>
      <c r="C163" s="2">
        <f>C87</f>
        <v>4.2027558294839805E-2</v>
      </c>
    </row>
    <row r="164" spans="1:7" x14ac:dyDescent="0.3">
      <c r="A164" s="1" t="s">
        <v>30</v>
      </c>
      <c r="B164" s="2">
        <f>4*0.001</f>
        <v>4.0000000000000001E-3</v>
      </c>
      <c r="C164" s="2">
        <f>C104</f>
        <v>5.1680248287280933E-2</v>
      </c>
    </row>
    <row r="165" spans="1:7" x14ac:dyDescent="0.3">
      <c r="A165" s="1" t="s">
        <v>31</v>
      </c>
      <c r="B165" s="2">
        <f>4.5*0.001</f>
        <v>4.5000000000000005E-3</v>
      </c>
      <c r="C165" s="2">
        <f>C121</f>
        <v>6.4874405615654662E-2</v>
      </c>
    </row>
    <row r="166" spans="1:7" x14ac:dyDescent="0.3">
      <c r="A166" s="1" t="s">
        <v>32</v>
      </c>
      <c r="B166" s="2">
        <f>6*0.001</f>
        <v>6.0000000000000001E-3</v>
      </c>
      <c r="C166" s="2">
        <f>C138</f>
        <v>8.3134033309731917E-2</v>
      </c>
    </row>
    <row r="167" spans="1:7" x14ac:dyDescent="0.3">
      <c r="C167" s="2"/>
    </row>
    <row r="171" spans="1:7" x14ac:dyDescent="0.3">
      <c r="A171" s="13" t="s">
        <v>33</v>
      </c>
      <c r="B171" s="13"/>
      <c r="C171" s="13"/>
      <c r="D171" s="13"/>
    </row>
    <row r="172" spans="1:7" x14ac:dyDescent="0.3">
      <c r="A172" s="1" t="s">
        <v>21</v>
      </c>
      <c r="B172" s="1" t="s">
        <v>22</v>
      </c>
      <c r="C172" s="1" t="s">
        <v>34</v>
      </c>
      <c r="D172" s="1" t="s">
        <v>35</v>
      </c>
      <c r="F172" s="3"/>
      <c r="G172" s="3"/>
    </row>
    <row r="173" spans="1:7" x14ac:dyDescent="0.3">
      <c r="A173" s="11" t="s">
        <v>24</v>
      </c>
      <c r="B173" s="2">
        <f>1*0.001</f>
        <v>1E-3</v>
      </c>
      <c r="C173" s="2">
        <f t="shared" ref="C173:C181" si="18">LN(C158)</f>
        <v>-4.1422850763068269</v>
      </c>
      <c r="D173" s="2">
        <f t="shared" ref="D173:D181" si="19">C173-B173*$C$185-$D$185</f>
        <v>-5.6885076306826932E-2</v>
      </c>
    </row>
    <row r="174" spans="1:7" x14ac:dyDescent="0.3">
      <c r="A174" s="11" t="s">
        <v>25</v>
      </c>
      <c r="B174" s="2">
        <f>1.5*0.001</f>
        <v>1.5E-3</v>
      </c>
      <c r="C174" s="2">
        <f t="shared" si="18"/>
        <v>-3.943418666809142</v>
      </c>
      <c r="D174" s="2">
        <f t="shared" si="19"/>
        <v>-3.3068666809142222E-2</v>
      </c>
    </row>
    <row r="175" spans="1:7" x14ac:dyDescent="0.3">
      <c r="A175" s="11" t="s">
        <v>26</v>
      </c>
      <c r="B175" s="2">
        <f>2*0.001</f>
        <v>2E-3</v>
      </c>
      <c r="C175" s="2">
        <f t="shared" si="18"/>
        <v>-3.7499346045725273</v>
      </c>
      <c r="D175" s="2">
        <f t="shared" si="19"/>
        <v>-1.4634604572527188E-2</v>
      </c>
    </row>
    <row r="176" spans="1:7" x14ac:dyDescent="0.3">
      <c r="A176" s="11" t="s">
        <v>27</v>
      </c>
      <c r="B176" s="2">
        <f>2.5*0.001</f>
        <v>2.5000000000000001E-3</v>
      </c>
      <c r="C176" s="2">
        <f t="shared" si="18"/>
        <v>-3.5588190537579827</v>
      </c>
      <c r="D176" s="2">
        <f t="shared" si="19"/>
        <v>1.4309462420172281E-3</v>
      </c>
    </row>
    <row r="177" spans="1:4" x14ac:dyDescent="0.3">
      <c r="A177" s="11" t="s">
        <v>28</v>
      </c>
      <c r="B177" s="2">
        <f>3*0.001</f>
        <v>3.0000000000000001E-3</v>
      </c>
      <c r="C177" s="2">
        <f t="shared" si="18"/>
        <v>-3.3671516315847261</v>
      </c>
      <c r="D177" s="2">
        <f t="shared" si="19"/>
        <v>1.8048368415274574E-2</v>
      </c>
    </row>
    <row r="178" spans="1:4" x14ac:dyDescent="0.3">
      <c r="A178" s="11" t="s">
        <v>29</v>
      </c>
      <c r="B178" s="2">
        <f>3.5*0.001</f>
        <v>3.5000000000000001E-3</v>
      </c>
      <c r="C178" s="2">
        <f t="shared" si="18"/>
        <v>-3.1694297259938429</v>
      </c>
      <c r="D178" s="2">
        <f t="shared" si="19"/>
        <v>4.0720274006157631E-2</v>
      </c>
    </row>
    <row r="179" spans="1:4" x14ac:dyDescent="0.3">
      <c r="A179" s="11" t="s">
        <v>30</v>
      </c>
      <c r="B179" s="2">
        <f>4*0.001</f>
        <v>4.0000000000000001E-3</v>
      </c>
      <c r="C179" s="2">
        <f t="shared" si="18"/>
        <v>-2.9626796151988799</v>
      </c>
      <c r="D179" s="2">
        <f t="shared" si="19"/>
        <v>7.2420384801120008E-2</v>
      </c>
    </row>
    <row r="180" spans="1:4" x14ac:dyDescent="0.3">
      <c r="A180" s="11" t="s">
        <v>31</v>
      </c>
      <c r="B180" s="2">
        <f>4.5*0.001</f>
        <v>4.5000000000000005E-3</v>
      </c>
      <c r="C180" s="2">
        <f t="shared" si="18"/>
        <v>-2.7353020995318182</v>
      </c>
      <c r="D180" s="2">
        <f t="shared" si="19"/>
        <v>0.12474790046818196</v>
      </c>
    </row>
    <row r="181" spans="1:4" x14ac:dyDescent="0.3">
      <c r="A181" s="1" t="s">
        <v>32</v>
      </c>
      <c r="B181" s="2">
        <f>6*0.001</f>
        <v>6.0000000000000001E-3</v>
      </c>
      <c r="C181" s="2">
        <f t="shared" si="18"/>
        <v>-2.487301114515156</v>
      </c>
      <c r="D181" s="2">
        <f t="shared" si="19"/>
        <v>-0.15240111451515581</v>
      </c>
    </row>
    <row r="182" spans="1:4" x14ac:dyDescent="0.3">
      <c r="A182" s="1"/>
      <c r="C182" s="2"/>
    </row>
    <row r="183" spans="1:4" x14ac:dyDescent="0.3">
      <c r="A183" s="1"/>
      <c r="C183" s="13" t="s">
        <v>36</v>
      </c>
      <c r="D183" s="13"/>
    </row>
    <row r="184" spans="1:4" x14ac:dyDescent="0.3">
      <c r="A184" s="1"/>
      <c r="C184" s="1" t="s">
        <v>37</v>
      </c>
      <c r="D184" s="1" t="s">
        <v>38</v>
      </c>
    </row>
    <row r="185" spans="1:4" x14ac:dyDescent="0.3">
      <c r="A185" s="1"/>
      <c r="C185" s="2">
        <v>350.1</v>
      </c>
      <c r="D185" s="2">
        <v>-4.4355000000000002</v>
      </c>
    </row>
    <row r="186" spans="1:4" x14ac:dyDescent="0.3">
      <c r="A186" s="1"/>
      <c r="C186" s="2"/>
    </row>
    <row r="187" spans="1:4" x14ac:dyDescent="0.3">
      <c r="A187" s="13" t="s">
        <v>39</v>
      </c>
      <c r="B187" s="13"/>
      <c r="C187" s="13"/>
    </row>
    <row r="188" spans="1:4" x14ac:dyDescent="0.3">
      <c r="A188" s="1" t="s">
        <v>35</v>
      </c>
      <c r="B188" s="1" t="s">
        <v>5</v>
      </c>
      <c r="C188" s="1" t="s">
        <v>40</v>
      </c>
    </row>
    <row r="189" spans="1:4" x14ac:dyDescent="0.3">
      <c r="A189" s="2">
        <v>-0.15240111451515581</v>
      </c>
      <c r="B189" s="2">
        <f>1/9-0.5/9</f>
        <v>5.5555555555555552E-2</v>
      </c>
      <c r="C189" s="2">
        <f t="shared" ref="C189:C197" si="20">4.91*(B189^0.14-(1-B189)^0.14)</f>
        <v>-1.5948702548629692</v>
      </c>
    </row>
    <row r="190" spans="1:4" x14ac:dyDescent="0.3">
      <c r="A190" s="2">
        <v>-5.6885076306826932E-2</v>
      </c>
      <c r="B190" s="2">
        <f t="shared" ref="B190:B197" si="21">B189+1/9</f>
        <v>0.16666666666666666</v>
      </c>
      <c r="C190" s="2">
        <f t="shared" si="20"/>
        <v>-0.96558119772402384</v>
      </c>
    </row>
    <row r="191" spans="1:4" x14ac:dyDescent="0.3">
      <c r="A191" s="2">
        <v>-3.3068666809142222E-2</v>
      </c>
      <c r="B191" s="2">
        <f t="shared" si="21"/>
        <v>0.27777777777777779</v>
      </c>
      <c r="C191" s="2">
        <f t="shared" si="20"/>
        <v>-0.58740139704861805</v>
      </c>
    </row>
    <row r="192" spans="1:4" x14ac:dyDescent="0.3">
      <c r="A192" s="2">
        <v>-1.4634604572527188E-2</v>
      </c>
      <c r="B192" s="2">
        <f t="shared" si="21"/>
        <v>0.3888888888888889</v>
      </c>
      <c r="C192" s="2">
        <f t="shared" si="20"/>
        <v>-0.28101035460789436</v>
      </c>
    </row>
    <row r="193" spans="1:3" x14ac:dyDescent="0.3">
      <c r="A193" s="2">
        <v>1.4309462420172281E-3</v>
      </c>
      <c r="B193" s="2">
        <f t="shared" si="21"/>
        <v>0.5</v>
      </c>
      <c r="C193" s="2">
        <f t="shared" si="20"/>
        <v>0</v>
      </c>
    </row>
    <row r="194" spans="1:3" x14ac:dyDescent="0.3">
      <c r="A194" s="2">
        <v>1.8048368415274574E-2</v>
      </c>
      <c r="B194" s="2">
        <f t="shared" si="21"/>
        <v>0.61111111111111116</v>
      </c>
      <c r="C194" s="2">
        <f t="shared" si="20"/>
        <v>0.28101035460789436</v>
      </c>
    </row>
    <row r="195" spans="1:3" x14ac:dyDescent="0.3">
      <c r="A195" s="2">
        <v>4.0720274006157631E-2</v>
      </c>
      <c r="B195" s="2">
        <f t="shared" si="21"/>
        <v>0.72222222222222232</v>
      </c>
      <c r="C195" s="2">
        <f t="shared" si="20"/>
        <v>0.5874013970486186</v>
      </c>
    </row>
    <row r="196" spans="1:3" x14ac:dyDescent="0.3">
      <c r="A196" s="2">
        <v>7.2420384801120008E-2</v>
      </c>
      <c r="B196" s="2">
        <f t="shared" si="21"/>
        <v>0.83333333333333348</v>
      </c>
      <c r="C196" s="2">
        <f t="shared" si="20"/>
        <v>0.96558119772402384</v>
      </c>
    </row>
    <row r="197" spans="1:3" x14ac:dyDescent="0.3">
      <c r="A197" s="2">
        <v>0.12474790046818196</v>
      </c>
      <c r="B197" s="2">
        <f t="shared" si="21"/>
        <v>0.94444444444444464</v>
      </c>
      <c r="C197" s="2">
        <f t="shared" si="20"/>
        <v>1.5948702548629707</v>
      </c>
    </row>
    <row r="199" spans="1:3" x14ac:dyDescent="0.3">
      <c r="A199" s="13" t="s">
        <v>41</v>
      </c>
      <c r="B199" s="13"/>
    </row>
    <row r="200" spans="1:3" x14ac:dyDescent="0.3">
      <c r="A200" s="1" t="s">
        <v>35</v>
      </c>
      <c r="B200" s="1" t="s">
        <v>42</v>
      </c>
    </row>
    <row r="201" spans="1:3" x14ac:dyDescent="0.3">
      <c r="A201" s="2">
        <v>-5.6885076306826932E-2</v>
      </c>
      <c r="B201" s="2">
        <f t="shared" ref="B201:B209" si="22">B173*$C$185+$D$185</f>
        <v>-4.0853999999999999</v>
      </c>
    </row>
    <row r="202" spans="1:3" x14ac:dyDescent="0.3">
      <c r="A202" s="2">
        <v>-3.3068666809142222E-2</v>
      </c>
      <c r="B202" s="2">
        <f t="shared" si="22"/>
        <v>-3.9103500000000002</v>
      </c>
    </row>
    <row r="203" spans="1:3" x14ac:dyDescent="0.3">
      <c r="A203" s="2">
        <v>-1.4634604572527188E-2</v>
      </c>
      <c r="B203" s="2">
        <f t="shared" si="22"/>
        <v>-3.7353000000000001</v>
      </c>
    </row>
    <row r="204" spans="1:3" x14ac:dyDescent="0.3">
      <c r="A204" s="2">
        <v>1.4309462420172281E-3</v>
      </c>
      <c r="B204" s="2">
        <f t="shared" si="22"/>
        <v>-3.5602499999999999</v>
      </c>
    </row>
    <row r="205" spans="1:3" x14ac:dyDescent="0.3">
      <c r="A205" s="2">
        <v>1.8048368415274574E-2</v>
      </c>
      <c r="B205" s="2">
        <f t="shared" si="22"/>
        <v>-3.3852000000000002</v>
      </c>
    </row>
    <row r="206" spans="1:3" x14ac:dyDescent="0.3">
      <c r="A206" s="2">
        <v>4.0720274006157631E-2</v>
      </c>
      <c r="B206" s="2">
        <f t="shared" si="22"/>
        <v>-3.2101500000000001</v>
      </c>
    </row>
    <row r="207" spans="1:3" x14ac:dyDescent="0.3">
      <c r="A207" s="2">
        <v>7.2420384801120008E-2</v>
      </c>
      <c r="B207" s="2">
        <f t="shared" si="22"/>
        <v>-3.0350999999999999</v>
      </c>
    </row>
    <row r="208" spans="1:3" x14ac:dyDescent="0.3">
      <c r="A208" s="2">
        <v>0.12474790046818196</v>
      </c>
      <c r="B208" s="2">
        <f t="shared" si="22"/>
        <v>-2.8600500000000002</v>
      </c>
    </row>
    <row r="209" spans="1:12" x14ac:dyDescent="0.3">
      <c r="A209" s="2">
        <v>-0.15240111451515581</v>
      </c>
      <c r="B209" s="2">
        <f t="shared" si="22"/>
        <v>-2.3349000000000002</v>
      </c>
    </row>
    <row r="211" spans="1:12" x14ac:dyDescent="0.3">
      <c r="A211" s="13" t="s">
        <v>43</v>
      </c>
      <c r="B211" s="13"/>
    </row>
    <row r="212" spans="1:12" x14ac:dyDescent="0.3">
      <c r="A212" s="1" t="s">
        <v>35</v>
      </c>
      <c r="B212" s="1" t="s">
        <v>44</v>
      </c>
    </row>
    <row r="213" spans="1:12" x14ac:dyDescent="0.3">
      <c r="A213" s="2">
        <v>-5.6885076306826932E-2</v>
      </c>
      <c r="B213" s="2">
        <v>1</v>
      </c>
    </row>
    <row r="214" spans="1:12" x14ac:dyDescent="0.3">
      <c r="A214" s="2">
        <v>-3.3068666809142222E-2</v>
      </c>
      <c r="B214" s="2">
        <v>2</v>
      </c>
    </row>
    <row r="215" spans="1:12" x14ac:dyDescent="0.3">
      <c r="A215" s="2">
        <v>-1.4634604572527188E-2</v>
      </c>
      <c r="B215" s="2">
        <v>3</v>
      </c>
    </row>
    <row r="216" spans="1:12" x14ac:dyDescent="0.3">
      <c r="A216" s="2">
        <v>1.4309462420172281E-3</v>
      </c>
      <c r="B216" s="2">
        <v>4</v>
      </c>
    </row>
    <row r="217" spans="1:12" x14ac:dyDescent="0.3">
      <c r="A217" s="2">
        <v>1.8048368415274574E-2</v>
      </c>
      <c r="B217" s="2">
        <v>5</v>
      </c>
    </row>
    <row r="218" spans="1:12" x14ac:dyDescent="0.3">
      <c r="A218" s="2">
        <v>4.0720274006157631E-2</v>
      </c>
      <c r="B218" s="2">
        <v>6</v>
      </c>
    </row>
    <row r="219" spans="1:12" x14ac:dyDescent="0.3">
      <c r="A219" s="2">
        <v>7.2420384801120008E-2</v>
      </c>
      <c r="B219" s="2">
        <v>7</v>
      </c>
    </row>
    <row r="220" spans="1:12" x14ac:dyDescent="0.3">
      <c r="A220" s="2">
        <v>0.12474790046818196</v>
      </c>
      <c r="B220" s="2">
        <v>8</v>
      </c>
    </row>
    <row r="221" spans="1:12" x14ac:dyDescent="0.3">
      <c r="A221" s="2">
        <v>-0.15240111451515581</v>
      </c>
      <c r="B221" s="2">
        <v>9</v>
      </c>
    </row>
    <row r="224" spans="1:12" x14ac:dyDescent="0.3">
      <c r="A224" s="13" t="s">
        <v>45</v>
      </c>
      <c r="B224" s="13"/>
      <c r="C224" s="13"/>
      <c r="E224" s="1" t="s">
        <v>46</v>
      </c>
      <c r="F224" s="1" t="s">
        <v>47</v>
      </c>
      <c r="G224" s="1" t="s">
        <v>48</v>
      </c>
      <c r="H224" s="1" t="s">
        <v>49</v>
      </c>
      <c r="L224" s="1" t="s">
        <v>50</v>
      </c>
    </row>
    <row r="225" spans="1:12" x14ac:dyDescent="0.3">
      <c r="A225" s="1"/>
      <c r="B225" s="1" t="s">
        <v>37</v>
      </c>
      <c r="C225" s="1" t="s">
        <v>38</v>
      </c>
      <c r="E225" s="2">
        <v>2.3650000000000002</v>
      </c>
      <c r="F225" s="2">
        <f>SUM(D173*D173,D174*D174,D175*D175,D176*D176,D177*D177,D178*D178,D179*D179,D180*D180,D181*D181)</f>
        <v>5.0562402718122762E-2</v>
      </c>
      <c r="G225" s="2">
        <f>SUM(C173:C181)/9</f>
        <v>-3.3462579542523225</v>
      </c>
      <c r="H225" s="2">
        <f>SUM(C173*C173,C174*C174,C175*C175,C176*C176,C177*C177,C178*C178,C179*C179,C180*C180,C181*C181)-9*G225*G225</f>
        <v>2.4883081739055655</v>
      </c>
      <c r="L225" s="2">
        <f t="shared" ref="L225:L233" si="23">(C173-G$225)^2</f>
        <v>0.6336591790463767</v>
      </c>
    </row>
    <row r="226" spans="1:12" x14ac:dyDescent="0.3">
      <c r="A226" s="1" t="s">
        <v>51</v>
      </c>
      <c r="B226" s="2">
        <f>$C$185+$E$225*SQRT(($F$225/7)*(1/$H$225))</f>
        <v>350.22742184632574</v>
      </c>
      <c r="C226" s="2">
        <f>$D$185+$E$225*SQRT(($F$225/(9*7))*(($G$225^2)/$H$225))</f>
        <v>-4.2933712110623432</v>
      </c>
      <c r="L226" s="2">
        <f t="shared" si="23"/>
        <v>0.35660091662136834</v>
      </c>
    </row>
    <row r="227" spans="1:12" x14ac:dyDescent="0.3">
      <c r="A227" s="1" t="s">
        <v>52</v>
      </c>
      <c r="B227" s="2">
        <f>$C$185-$E$225*SQRT(($F$225/7)*(1/$H$225))</f>
        <v>349.97257815367431</v>
      </c>
      <c r="C227" s="2">
        <f>$D$185-$E$225*SQRT(($F$225/(9*7))*(($G$225^2)/$H$225))</f>
        <v>-4.5776287889376572</v>
      </c>
      <c r="E227" s="1" t="s">
        <v>53</v>
      </c>
      <c r="F227" s="1" t="s">
        <v>54</v>
      </c>
      <c r="L227" s="2">
        <f t="shared" si="23"/>
        <v>0.16295483801374083</v>
      </c>
    </row>
    <row r="228" spans="1:12" x14ac:dyDescent="0.3">
      <c r="E228" s="2">
        <f>SUM(L225:L233)</f>
        <v>2.488308173905565</v>
      </c>
      <c r="F228" s="2">
        <f>($E$228 - $F$225)/$E$228</f>
        <v>0.97968000778667153</v>
      </c>
      <c r="L228" s="2">
        <f t="shared" si="23"/>
        <v>4.5182221023055157E-2</v>
      </c>
    </row>
    <row r="229" spans="1:12" x14ac:dyDescent="0.3">
      <c r="A229" s="13" t="s">
        <v>55</v>
      </c>
      <c r="B229" s="13"/>
      <c r="C229" s="13"/>
      <c r="L229" s="2">
        <f t="shared" si="23"/>
        <v>4.3654575247059385E-4</v>
      </c>
    </row>
    <row r="230" spans="1:12" x14ac:dyDescent="0.3">
      <c r="A230" s="1" t="s">
        <v>42</v>
      </c>
      <c r="B230" s="1" t="s">
        <v>11</v>
      </c>
      <c r="C230" s="1" t="s">
        <v>10</v>
      </c>
      <c r="L230" s="2">
        <f t="shared" si="23"/>
        <v>3.1268222309032985E-2</v>
      </c>
    </row>
    <row r="231" spans="1:12" x14ac:dyDescent="0.3">
      <c r="A231" s="2">
        <f>B201</f>
        <v>-4.0853999999999999</v>
      </c>
      <c r="B231" s="2">
        <f t="shared" ref="B231:B239" si="24">$A231-$E$225*SQRT(($F$225/7)*(1 + 1/9+(($B173-$G$225)^2)/$H$225))</f>
        <v>-4.5616394305817227</v>
      </c>
      <c r="C231" s="2">
        <f t="shared" ref="C231:C239" si="25">$A231+$E$225*SQRT(($F$225/7)*(1 + 1/9+(($B173-$G$225)^2)/$H$225))</f>
        <v>-3.6091605694182771</v>
      </c>
      <c r="L231" s="2">
        <f t="shared" si="23"/>
        <v>0.1471323421909978</v>
      </c>
    </row>
    <row r="232" spans="1:12" x14ac:dyDescent="0.3">
      <c r="A232" s="2">
        <f t="shared" ref="A232:A239" si="26">B202</f>
        <v>-3.9103500000000002</v>
      </c>
      <c r="B232" s="2">
        <f t="shared" si="24"/>
        <v>-4.3866464900923789</v>
      </c>
      <c r="C232" s="2">
        <f t="shared" si="25"/>
        <v>-3.4340535099076215</v>
      </c>
      <c r="L232" s="2">
        <f t="shared" si="23"/>
        <v>0.37326705641726193</v>
      </c>
    </row>
    <row r="233" spans="1:12" x14ac:dyDescent="0.3">
      <c r="A233" s="2">
        <f t="shared" si="26"/>
        <v>-3.7353000000000001</v>
      </c>
      <c r="B233" s="2">
        <f t="shared" si="24"/>
        <v>-4.2116535512893751</v>
      </c>
      <c r="C233" s="2">
        <f t="shared" si="25"/>
        <v>-3.258946448710625</v>
      </c>
      <c r="L233" s="2">
        <f t="shared" si="23"/>
        <v>0.73780685253126033</v>
      </c>
    </row>
    <row r="234" spans="1:12" x14ac:dyDescent="0.3">
      <c r="A234" s="2">
        <f t="shared" si="26"/>
        <v>-3.5602499999999999</v>
      </c>
      <c r="B234" s="2">
        <f t="shared" si="24"/>
        <v>-4.0366606141721046</v>
      </c>
      <c r="C234" s="2">
        <f t="shared" si="25"/>
        <v>-3.0838393858278952</v>
      </c>
    </row>
    <row r="235" spans="1:12" x14ac:dyDescent="0.3">
      <c r="A235" s="2">
        <f t="shared" si="26"/>
        <v>-3.3852000000000002</v>
      </c>
      <c r="B235" s="2">
        <f t="shared" si="24"/>
        <v>-3.8616676787399631</v>
      </c>
      <c r="C235" s="2">
        <f t="shared" si="25"/>
        <v>-2.9087323212600373</v>
      </c>
    </row>
    <row r="236" spans="1:12" x14ac:dyDescent="0.3">
      <c r="A236" s="2">
        <f t="shared" si="26"/>
        <v>-3.2101500000000001</v>
      </c>
      <c r="B236" s="2">
        <f t="shared" si="24"/>
        <v>-3.6866747449923443</v>
      </c>
      <c r="C236" s="2">
        <f t="shared" si="25"/>
        <v>-2.7336252550076559</v>
      </c>
    </row>
    <row r="237" spans="1:12" x14ac:dyDescent="0.3">
      <c r="A237" s="2">
        <f t="shared" si="26"/>
        <v>-3.0350999999999999</v>
      </c>
      <c r="B237" s="2">
        <f t="shared" si="24"/>
        <v>-3.5116818129286425</v>
      </c>
      <c r="C237" s="2">
        <f t="shared" si="25"/>
        <v>-2.5585181870713574</v>
      </c>
    </row>
    <row r="238" spans="1:12" x14ac:dyDescent="0.3">
      <c r="A238" s="2">
        <f t="shared" si="26"/>
        <v>-2.8600500000000002</v>
      </c>
      <c r="B238" s="2">
        <f t="shared" si="24"/>
        <v>-3.3366888825482546</v>
      </c>
      <c r="C238" s="2">
        <f t="shared" si="25"/>
        <v>-2.3834111174517458</v>
      </c>
    </row>
    <row r="239" spans="1:12" x14ac:dyDescent="0.3">
      <c r="A239" s="2">
        <f t="shared" si="26"/>
        <v>-2.3349000000000002</v>
      </c>
      <c r="B239" s="2">
        <f t="shared" si="24"/>
        <v>-2.8117101015009225</v>
      </c>
      <c r="C239" s="2">
        <f t="shared" si="25"/>
        <v>-1.8580898984990779</v>
      </c>
    </row>
    <row r="240" spans="1:12" x14ac:dyDescent="0.3">
      <c r="C240" s="2"/>
    </row>
    <row r="241" spans="1:7" x14ac:dyDescent="0.3">
      <c r="A241" s="1"/>
      <c r="B241" s="1"/>
      <c r="C241" s="1"/>
      <c r="D241" s="1"/>
      <c r="F241" s="3"/>
      <c r="G241" s="3"/>
    </row>
    <row r="242" spans="1:7" x14ac:dyDescent="0.3">
      <c r="A242" s="1"/>
      <c r="C242" s="2"/>
      <c r="F242" s="1"/>
      <c r="G242" s="1"/>
    </row>
    <row r="243" spans="1:7" x14ac:dyDescent="0.3">
      <c r="A243" s="10"/>
      <c r="C243" s="2"/>
    </row>
    <row r="244" spans="1:7" x14ac:dyDescent="0.3">
      <c r="A244" s="10"/>
      <c r="C244" s="2"/>
    </row>
    <row r="245" spans="1:7" x14ac:dyDescent="0.3">
      <c r="A245" s="10"/>
      <c r="C245" s="2"/>
    </row>
    <row r="246" spans="1:7" x14ac:dyDescent="0.3">
      <c r="A246" s="10"/>
      <c r="C246" s="2"/>
    </row>
    <row r="247" spans="1:7" x14ac:dyDescent="0.3">
      <c r="A247" s="10"/>
      <c r="C247" s="2"/>
    </row>
    <row r="248" spans="1:7" x14ac:dyDescent="0.3">
      <c r="A248" s="10"/>
      <c r="C248" s="2"/>
    </row>
    <row r="249" spans="1:7" x14ac:dyDescent="0.3">
      <c r="A249" s="10"/>
      <c r="C249" s="2"/>
    </row>
    <row r="250" spans="1:7" x14ac:dyDescent="0.3">
      <c r="A250" s="10"/>
      <c r="C250" s="2"/>
    </row>
    <row r="251" spans="1:7" x14ac:dyDescent="0.3">
      <c r="C251" s="2"/>
    </row>
    <row r="252" spans="1:7" x14ac:dyDescent="0.3">
      <c r="A252" s="1"/>
      <c r="C252" s="2"/>
    </row>
    <row r="253" spans="1:7" x14ac:dyDescent="0.3">
      <c r="A253" s="1"/>
      <c r="C253" s="12"/>
      <c r="D253" s="12"/>
    </row>
    <row r="254" spans="1:7" x14ac:dyDescent="0.3">
      <c r="A254" s="1"/>
      <c r="C254" s="1"/>
      <c r="D254" s="1"/>
    </row>
    <row r="255" spans="1:7" x14ac:dyDescent="0.3">
      <c r="A255" s="1"/>
      <c r="C255" s="2"/>
    </row>
    <row r="256" spans="1:7" x14ac:dyDescent="0.3">
      <c r="A256" s="1"/>
      <c r="C256" s="2"/>
    </row>
    <row r="257" spans="1:3" x14ac:dyDescent="0.3">
      <c r="A257" s="3"/>
      <c r="B257" s="3"/>
      <c r="C257" s="3"/>
    </row>
    <row r="258" spans="1:3" x14ac:dyDescent="0.3">
      <c r="A258" s="1"/>
      <c r="B258" s="1"/>
      <c r="C258" s="1"/>
    </row>
    <row r="259" spans="1:3" x14ac:dyDescent="0.3">
      <c r="C259" s="2"/>
    </row>
    <row r="260" spans="1:3" x14ac:dyDescent="0.3">
      <c r="C260" s="2"/>
    </row>
    <row r="261" spans="1:3" x14ac:dyDescent="0.3">
      <c r="C261" s="2"/>
    </row>
    <row r="262" spans="1:3" x14ac:dyDescent="0.3">
      <c r="C262" s="2"/>
    </row>
    <row r="263" spans="1:3" x14ac:dyDescent="0.3">
      <c r="C263" s="2"/>
    </row>
    <row r="264" spans="1:3" x14ac:dyDescent="0.3">
      <c r="C264" s="2"/>
    </row>
    <row r="265" spans="1:3" x14ac:dyDescent="0.3">
      <c r="C265" s="2"/>
    </row>
    <row r="266" spans="1:3" x14ac:dyDescent="0.3">
      <c r="C266" s="2"/>
    </row>
    <row r="267" spans="1:3" x14ac:dyDescent="0.3">
      <c r="C267" s="2"/>
    </row>
    <row r="268" spans="1:3" x14ac:dyDescent="0.3">
      <c r="C268" s="2"/>
    </row>
    <row r="270" spans="1:3" x14ac:dyDescent="0.3">
      <c r="A270" s="12"/>
      <c r="B270" s="12"/>
    </row>
    <row r="271" spans="1:3" x14ac:dyDescent="0.3">
      <c r="A271" s="1"/>
      <c r="B271" s="1"/>
    </row>
    <row r="283" spans="1:2" x14ac:dyDescent="0.3">
      <c r="A283" s="12"/>
      <c r="B283" s="12"/>
    </row>
    <row r="284" spans="1:2" x14ac:dyDescent="0.3">
      <c r="A284" s="1"/>
      <c r="B284" s="1"/>
    </row>
    <row r="297" spans="1:3" x14ac:dyDescent="0.3">
      <c r="A297" s="12"/>
      <c r="B297" s="12"/>
      <c r="C297" s="12"/>
    </row>
    <row r="298" spans="1:3" x14ac:dyDescent="0.3">
      <c r="A298" s="1"/>
      <c r="B298" s="1"/>
      <c r="C298" s="1"/>
    </row>
    <row r="299" spans="1:3" x14ac:dyDescent="0.3">
      <c r="A299" s="1"/>
    </row>
    <row r="300" spans="1:3" x14ac:dyDescent="0.3">
      <c r="A300" s="1"/>
    </row>
  </sheetData>
  <sortState xmlns:xlrd2="http://schemas.microsoft.com/office/spreadsheetml/2017/richdata2" ref="A189:A197">
    <sortCondition ref="A189:A197"/>
  </sortState>
  <mergeCells count="12">
    <mergeCell ref="A297:C297"/>
    <mergeCell ref="A156:C156"/>
    <mergeCell ref="A171:D171"/>
    <mergeCell ref="C183:D183"/>
    <mergeCell ref="A187:C187"/>
    <mergeCell ref="A199:B199"/>
    <mergeCell ref="A211:B211"/>
    <mergeCell ref="A224:C224"/>
    <mergeCell ref="A229:C229"/>
    <mergeCell ref="C253:D253"/>
    <mergeCell ref="A270:B270"/>
    <mergeCell ref="A283:B28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9D8249050D244AB3291E25E44E9E61" ma:contentTypeVersion="8" ma:contentTypeDescription="Create a new document." ma:contentTypeScope="" ma:versionID="de66317dd7ce282fecab2c27c9f14507">
  <xsd:schema xmlns:xsd="http://www.w3.org/2001/XMLSchema" xmlns:xs="http://www.w3.org/2001/XMLSchema" xmlns:p="http://schemas.microsoft.com/office/2006/metadata/properties" xmlns:ns2="66de5014-e8da-4796-bdfb-c10b0cfdf816" xmlns:ns3="a004e035-50b8-418f-b096-b0421c71bc5c" targetNamespace="http://schemas.microsoft.com/office/2006/metadata/properties" ma:root="true" ma:fieldsID="1fbdb41caee633568256cb29b570d179" ns2:_="" ns3:_="">
    <xsd:import namespace="66de5014-e8da-4796-bdfb-c10b0cfdf816"/>
    <xsd:import namespace="a004e035-50b8-418f-b096-b0421c71bc5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e5014-e8da-4796-bdfb-c10b0cfdf8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4e035-50b8-418f-b096-b0421c71b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94C690-FB97-41B7-9793-E97DD7EE47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274CB0-9013-436B-8067-56789D4C6E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e5014-e8da-4796-bdfb-c10b0cfdf816"/>
    <ds:schemaRef ds:uri="a004e035-50b8-418f-b096-b0421c71b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1B1F89-60DC-400B-AFEA-68C95207DFF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004e035-50b8-418f-b096-b0421c71bc5c"/>
    <ds:schemaRef ds:uri="66de5014-e8da-4796-bdfb-c10b0cfdf81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Linear regression 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Marta Sanguinetti</cp:lastModifiedBy>
  <cp:revision/>
  <dcterms:created xsi:type="dcterms:W3CDTF">2022-01-05T17:21:57Z</dcterms:created>
  <dcterms:modified xsi:type="dcterms:W3CDTF">2022-01-08T15:30:40Z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0x0101008A9D8249050D244AB3291E25E44E9E61</vt:lpwstr>
  </property>
</Properties>
</file>