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https://unipiit.sharepoint.com/sites/Project4/Shared Documents/General/Data_Analysis/"/>
    </mc:Choice>
  </mc:AlternateContent>
  <xr:revisionPtr revIDLastSave="2050" documentId="11_12CEB5D4EB997F2630BF426009E1A4865450FBFF" xr6:coauthVersionLast="47" xr6:coauthVersionMax="47" xr10:uidLastSave="{B32B6357-DDF2-498A-ABB4-5B197BD03EB2}"/>
  <bookViews>
    <workbookView xWindow="-108" yWindow="-108" windowWidth="23256" windowHeight="12720" activeTab="2" xr2:uid="{00000000-000D-0000-FFFF-FFFF00000000}"/>
  </bookViews>
  <sheets>
    <sheet name="Linear Regression for δ" sheetId="1" r:id="rId1"/>
    <sheet name="Linear Regression for μ" sheetId="4" r:id="rId2"/>
    <sheet name="Linear Regression for δμ" sheetId="5" r:id="rId3"/>
    <sheet name="_56F9DC9755BA473782653E2940F9" sheetId="2" state="veryHidden" r:id="rId4"/>
  </sheets>
  <definedNames>
    <definedName name="_56F9DC9755BA473782653E2940F9FormId">"MWtFxyCi9Ue-Ukc4KGcKoS2itNxxH-FDgbbM8u1d7VxUMlFMWUZUTjFENkxVV000MEdNTEhHTzRLMCQlQCN0PWcu"</definedName>
    <definedName name="_56F9DC9755BA473782653E2940F9ResponseSheet">"Form1"</definedName>
    <definedName name="_56F9DC9755BA473782653E2940F9SourceDocId">"{d3ae7907-6657-4d50-8195-d3383cf3a4f0}"</definedName>
    <definedName name="_xlcn.WorksheetConnection_LinearRegressionforμA243C2461" hidden="1">'Linear Regression for μ'!$A$243:$C$246</definedName>
  </definedNames>
  <calcPr calcId="191028"/>
  <extLst>
    <ext xmlns:x15="http://schemas.microsoft.com/office/spreadsheetml/2010/11/main" uri="{FCE2AD5D-F65C-4FA6-A056-5C36A1767C68}">
      <x15:dataModel>
        <x15:modelTables>
          <x15:modelTable id="Intervallo" name="Intervallo" connection="WorksheetConnection_Linear Regression for μ!$A$243:$C$24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4" i="5" l="1"/>
  <c r="D247" i="5"/>
  <c r="D230" i="5"/>
  <c r="D213" i="5"/>
  <c r="D196" i="5"/>
  <c r="D179" i="5"/>
  <c r="D162" i="5"/>
  <c r="D145" i="5"/>
  <c r="D128" i="5"/>
  <c r="D111" i="5"/>
  <c r="D94" i="5"/>
  <c r="D77" i="5"/>
  <c r="D60" i="5"/>
  <c r="D43" i="5"/>
  <c r="D26" i="5"/>
  <c r="D9" i="5"/>
  <c r="D145" i="4"/>
  <c r="D128" i="4"/>
  <c r="D111" i="4"/>
  <c r="D94" i="4"/>
  <c r="D77" i="4"/>
  <c r="D60" i="4"/>
  <c r="D43" i="4"/>
  <c r="D26" i="4"/>
  <c r="D9" i="4"/>
  <c r="D145" i="1"/>
  <c r="D111" i="1"/>
  <c r="D128" i="1"/>
  <c r="D94" i="1"/>
  <c r="D77" i="1"/>
  <c r="D60" i="1"/>
  <c r="D43" i="1"/>
  <c r="D26" i="1"/>
  <c r="D9" i="1"/>
  <c r="G225" i="4"/>
  <c r="E384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387" i="5"/>
  <c r="H381" i="5"/>
  <c r="B388" i="5" s="1"/>
  <c r="B390" i="5"/>
  <c r="B391" i="5"/>
  <c r="B394" i="5"/>
  <c r="B395" i="5"/>
  <c r="B396" i="5"/>
  <c r="B398" i="5"/>
  <c r="B399" i="5"/>
  <c r="B400" i="5"/>
  <c r="B402" i="5"/>
  <c r="B382" i="5"/>
  <c r="C383" i="5"/>
  <c r="G381" i="5"/>
  <c r="L385" i="5" s="1"/>
  <c r="A402" i="5"/>
  <c r="A397" i="5"/>
  <c r="A398" i="5"/>
  <c r="A399" i="5"/>
  <c r="A400" i="5"/>
  <c r="A401" i="5"/>
  <c r="L388" i="5"/>
  <c r="L392" i="5"/>
  <c r="F381" i="5"/>
  <c r="B352" i="5"/>
  <c r="B353" i="5"/>
  <c r="B354" i="5"/>
  <c r="B355" i="5"/>
  <c r="B356" i="5"/>
  <c r="B357" i="5"/>
  <c r="B323" i="5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00" i="5"/>
  <c r="A388" i="5" s="1"/>
  <c r="B301" i="5"/>
  <c r="B302" i="5"/>
  <c r="A390" i="5" s="1"/>
  <c r="B303" i="5"/>
  <c r="A391" i="5" s="1"/>
  <c r="B304" i="5"/>
  <c r="B347" i="5" s="1"/>
  <c r="B305" i="5"/>
  <c r="B348" i="5" s="1"/>
  <c r="B306" i="5"/>
  <c r="A394" i="5" s="1"/>
  <c r="B307" i="5"/>
  <c r="A395" i="5" s="1"/>
  <c r="B308" i="5"/>
  <c r="B351" i="5" s="1"/>
  <c r="B309" i="5"/>
  <c r="B310" i="5"/>
  <c r="B311" i="5"/>
  <c r="B312" i="5"/>
  <c r="B313" i="5"/>
  <c r="B314" i="5"/>
  <c r="B315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C257" i="5"/>
  <c r="C292" i="5" s="1"/>
  <c r="C315" i="5" s="1"/>
  <c r="D257" i="5"/>
  <c r="I257" i="5"/>
  <c r="J257" i="5" s="1"/>
  <c r="C260" i="5"/>
  <c r="C240" i="5"/>
  <c r="C291" i="5" s="1"/>
  <c r="C314" i="5" s="1"/>
  <c r="D240" i="5"/>
  <c r="I240" i="5"/>
  <c r="J240" i="5" s="1"/>
  <c r="C243" i="5"/>
  <c r="C223" i="5"/>
  <c r="C290" i="5" s="1"/>
  <c r="C313" i="5" s="1"/>
  <c r="D223" i="5"/>
  <c r="I223" i="5"/>
  <c r="J223" i="5" s="1"/>
  <c r="C226" i="5"/>
  <c r="C206" i="5"/>
  <c r="C289" i="5" s="1"/>
  <c r="C312" i="5" s="1"/>
  <c r="D206" i="5"/>
  <c r="I206" i="5"/>
  <c r="J206" i="5" s="1"/>
  <c r="C209" i="5"/>
  <c r="C189" i="5"/>
  <c r="C288" i="5" s="1"/>
  <c r="C311" i="5" s="1"/>
  <c r="D189" i="5"/>
  <c r="I189" i="5"/>
  <c r="J189" i="5" s="1"/>
  <c r="C192" i="5"/>
  <c r="C172" i="5"/>
  <c r="C287" i="5" s="1"/>
  <c r="C310" i="5" s="1"/>
  <c r="D172" i="5"/>
  <c r="I172" i="5"/>
  <c r="J172" i="5" s="1"/>
  <c r="C175" i="5"/>
  <c r="C155" i="5"/>
  <c r="C286" i="5" s="1"/>
  <c r="C309" i="5" s="1"/>
  <c r="D155" i="5"/>
  <c r="I155" i="5"/>
  <c r="J155" i="5" s="1"/>
  <c r="C158" i="5"/>
  <c r="A387" i="5"/>
  <c r="C141" i="5"/>
  <c r="I138" i="5"/>
  <c r="I139" i="5" s="1"/>
  <c r="D138" i="5"/>
  <c r="C138" i="5"/>
  <c r="C285" i="5" s="1"/>
  <c r="C308" i="5" s="1"/>
  <c r="C124" i="5"/>
  <c r="I121" i="5"/>
  <c r="J121" i="5" s="1"/>
  <c r="D121" i="5"/>
  <c r="C121" i="5"/>
  <c r="C284" i="5" s="1"/>
  <c r="C307" i="5" s="1"/>
  <c r="C107" i="5"/>
  <c r="I104" i="5"/>
  <c r="J104" i="5" s="1"/>
  <c r="D104" i="5"/>
  <c r="C104" i="5"/>
  <c r="C283" i="5" s="1"/>
  <c r="C306" i="5" s="1"/>
  <c r="C90" i="5"/>
  <c r="I87" i="5"/>
  <c r="I88" i="5" s="1"/>
  <c r="D87" i="5"/>
  <c r="C87" i="5"/>
  <c r="C73" i="5"/>
  <c r="I70" i="5"/>
  <c r="J70" i="5" s="1"/>
  <c r="D70" i="5"/>
  <c r="C70" i="5"/>
  <c r="C281" i="5" s="1"/>
  <c r="C304" i="5" s="1"/>
  <c r="C56" i="5"/>
  <c r="I53" i="5"/>
  <c r="J53" i="5" s="1"/>
  <c r="D53" i="5"/>
  <c r="C53" i="5"/>
  <c r="C280" i="5" s="1"/>
  <c r="C303" i="5" s="1"/>
  <c r="C39" i="5"/>
  <c r="I36" i="5"/>
  <c r="I37" i="5" s="1"/>
  <c r="I38" i="5" s="1"/>
  <c r="J38" i="5" s="1"/>
  <c r="D36" i="5"/>
  <c r="C36" i="5"/>
  <c r="C279" i="5" s="1"/>
  <c r="C302" i="5" s="1"/>
  <c r="C22" i="5"/>
  <c r="I19" i="5"/>
  <c r="I20" i="5" s="1"/>
  <c r="I21" i="5" s="1"/>
  <c r="J21" i="5" s="1"/>
  <c r="D19" i="5"/>
  <c r="C19" i="5"/>
  <c r="C5" i="5"/>
  <c r="I2" i="5"/>
  <c r="I3" i="5" s="1"/>
  <c r="I4" i="5" s="1"/>
  <c r="J4" i="5" s="1"/>
  <c r="D2" i="5"/>
  <c r="C2" i="5"/>
  <c r="C277" i="5" s="1"/>
  <c r="B401" i="5" l="1"/>
  <c r="B397" i="5"/>
  <c r="B393" i="5"/>
  <c r="B389" i="5"/>
  <c r="B392" i="5"/>
  <c r="B387" i="5"/>
  <c r="C382" i="5"/>
  <c r="B383" i="5"/>
  <c r="L381" i="5"/>
  <c r="L390" i="5"/>
  <c r="L386" i="5"/>
  <c r="L382" i="5"/>
  <c r="L394" i="5"/>
  <c r="L384" i="5"/>
  <c r="L396" i="5"/>
  <c r="L391" i="5"/>
  <c r="L387" i="5"/>
  <c r="L383" i="5"/>
  <c r="L395" i="5"/>
  <c r="L393" i="5"/>
  <c r="L389" i="5"/>
  <c r="D310" i="5"/>
  <c r="D314" i="5"/>
  <c r="E189" i="5"/>
  <c r="E240" i="5"/>
  <c r="E257" i="5"/>
  <c r="D311" i="5"/>
  <c r="D315" i="5"/>
  <c r="D309" i="5"/>
  <c r="D312" i="5"/>
  <c r="D313" i="5"/>
  <c r="E223" i="5"/>
  <c r="D229" i="5"/>
  <c r="D263" i="5"/>
  <c r="D246" i="5"/>
  <c r="I258" i="5"/>
  <c r="D195" i="5"/>
  <c r="E206" i="5"/>
  <c r="I241" i="5"/>
  <c r="D161" i="5"/>
  <c r="D212" i="5"/>
  <c r="I224" i="5"/>
  <c r="E155" i="5"/>
  <c r="I207" i="5"/>
  <c r="E2" i="5"/>
  <c r="E172" i="5"/>
  <c r="I190" i="5"/>
  <c r="I54" i="5"/>
  <c r="I55" i="5" s="1"/>
  <c r="D25" i="5"/>
  <c r="D178" i="5"/>
  <c r="C282" i="5"/>
  <c r="C305" i="5" s="1"/>
  <c r="D303" i="5"/>
  <c r="C278" i="5"/>
  <c r="C300" i="5"/>
  <c r="D300" i="5" s="1"/>
  <c r="B350" i="5"/>
  <c r="E19" i="5"/>
  <c r="E36" i="5"/>
  <c r="J87" i="5"/>
  <c r="E138" i="5"/>
  <c r="I173" i="5"/>
  <c r="I5" i="5"/>
  <c r="I6" i="5" s="1"/>
  <c r="E70" i="5"/>
  <c r="I122" i="5"/>
  <c r="J122" i="5" s="1"/>
  <c r="B346" i="5"/>
  <c r="J37" i="5"/>
  <c r="J138" i="5"/>
  <c r="J3" i="5"/>
  <c r="D76" i="5"/>
  <c r="I71" i="5"/>
  <c r="I72" i="5" s="1"/>
  <c r="D110" i="5"/>
  <c r="I105" i="5"/>
  <c r="I106" i="5" s="1"/>
  <c r="D144" i="5"/>
  <c r="B342" i="5"/>
  <c r="A392" i="5"/>
  <c r="I156" i="5"/>
  <c r="I39" i="5"/>
  <c r="I40" i="5" s="1"/>
  <c r="B345" i="5"/>
  <c r="A396" i="5"/>
  <c r="D59" i="5"/>
  <c r="J20" i="5"/>
  <c r="D127" i="5"/>
  <c r="I22" i="5"/>
  <c r="D302" i="5"/>
  <c r="E121" i="5"/>
  <c r="C323" i="5"/>
  <c r="J2" i="5"/>
  <c r="D8" i="5"/>
  <c r="J19" i="5"/>
  <c r="J36" i="5"/>
  <c r="D42" i="5"/>
  <c r="I89" i="5"/>
  <c r="J88" i="5"/>
  <c r="E104" i="5"/>
  <c r="B349" i="5"/>
  <c r="A393" i="5"/>
  <c r="E53" i="5"/>
  <c r="B344" i="5"/>
  <c r="A389" i="5"/>
  <c r="E87" i="5"/>
  <c r="D93" i="5"/>
  <c r="I140" i="5"/>
  <c r="J139" i="5"/>
  <c r="B343" i="5"/>
  <c r="L226" i="4"/>
  <c r="L227" i="4"/>
  <c r="L228" i="4"/>
  <c r="L229" i="4"/>
  <c r="L230" i="4"/>
  <c r="L231" i="4"/>
  <c r="L232" i="4"/>
  <c r="L233" i="4"/>
  <c r="L225" i="4"/>
  <c r="E228" i="4" s="1"/>
  <c r="F228" i="4" s="1"/>
  <c r="B166" i="4"/>
  <c r="B165" i="4"/>
  <c r="B164" i="4"/>
  <c r="B181" i="4"/>
  <c r="B163" i="4"/>
  <c r="B180" i="4"/>
  <c r="B179" i="4"/>
  <c r="B162" i="4"/>
  <c r="B178" i="4"/>
  <c r="B177" i="4"/>
  <c r="B161" i="4"/>
  <c r="B176" i="4"/>
  <c r="B175" i="4"/>
  <c r="B160" i="4"/>
  <c r="B174" i="4"/>
  <c r="B173" i="4"/>
  <c r="B159" i="4"/>
  <c r="B158" i="4"/>
  <c r="B231" i="1"/>
  <c r="B183" i="1"/>
  <c r="B182" i="1"/>
  <c r="B181" i="1"/>
  <c r="B180" i="1"/>
  <c r="D177" i="1"/>
  <c r="D178" i="1"/>
  <c r="B179" i="1"/>
  <c r="B178" i="1"/>
  <c r="B177" i="1"/>
  <c r="B176" i="1"/>
  <c r="B175" i="1"/>
  <c r="B174" i="1"/>
  <c r="B167" i="1"/>
  <c r="B166" i="1"/>
  <c r="B165" i="1"/>
  <c r="B164" i="1"/>
  <c r="B163" i="1"/>
  <c r="B162" i="1"/>
  <c r="B161" i="1"/>
  <c r="B160" i="1"/>
  <c r="B159" i="1"/>
  <c r="B158" i="1"/>
  <c r="H225" i="4"/>
  <c r="B201" i="4"/>
  <c r="A231" i="4" s="1"/>
  <c r="B189" i="4"/>
  <c r="B190" i="4"/>
  <c r="B191" i="4" s="1"/>
  <c r="B192" i="4" s="1"/>
  <c r="B193" i="4" s="1"/>
  <c r="B194" i="4" s="1"/>
  <c r="B195" i="4" s="1"/>
  <c r="B196" i="4" s="1"/>
  <c r="B197" i="4" s="1"/>
  <c r="B191" i="1"/>
  <c r="C177" i="4"/>
  <c r="C174" i="4"/>
  <c r="D173" i="4"/>
  <c r="C173" i="4"/>
  <c r="C166" i="4"/>
  <c r="C165" i="4"/>
  <c r="C164" i="4"/>
  <c r="C163" i="4"/>
  <c r="C162" i="4"/>
  <c r="C161" i="4"/>
  <c r="C160" i="4"/>
  <c r="C159" i="4"/>
  <c r="C158" i="4"/>
  <c r="B209" i="4"/>
  <c r="A239" i="4" s="1"/>
  <c r="B208" i="4"/>
  <c r="A238" i="4" s="1"/>
  <c r="B207" i="4"/>
  <c r="A237" i="4" s="1"/>
  <c r="B206" i="4"/>
  <c r="A236" i="4" s="1"/>
  <c r="B205" i="4"/>
  <c r="A235" i="4" s="1"/>
  <c r="B204" i="4"/>
  <c r="A234" i="4" s="1"/>
  <c r="B203" i="4"/>
  <c r="A233" i="4" s="1"/>
  <c r="B202" i="4"/>
  <c r="A232" i="4" s="1"/>
  <c r="A238" i="1"/>
  <c r="A237" i="1"/>
  <c r="A239" i="1"/>
  <c r="A240" i="1"/>
  <c r="A241" i="1"/>
  <c r="A242" i="1"/>
  <c r="A243" i="1"/>
  <c r="A244" i="1"/>
  <c r="A245" i="1"/>
  <c r="A236" i="1"/>
  <c r="C138" i="4"/>
  <c r="D138" i="4"/>
  <c r="I138" i="4"/>
  <c r="I139" i="4" s="1"/>
  <c r="J139" i="4" s="1"/>
  <c r="C141" i="4"/>
  <c r="C121" i="4"/>
  <c r="D121" i="4"/>
  <c r="I121" i="4"/>
  <c r="I122" i="4" s="1"/>
  <c r="J122" i="4" s="1"/>
  <c r="C124" i="4"/>
  <c r="C104" i="4"/>
  <c r="D104" i="4"/>
  <c r="I104" i="4"/>
  <c r="J104" i="4" s="1"/>
  <c r="C107" i="4"/>
  <c r="C87" i="4"/>
  <c r="D87" i="4"/>
  <c r="I87" i="4"/>
  <c r="I88" i="4" s="1"/>
  <c r="C90" i="4"/>
  <c r="C70" i="4"/>
  <c r="D70" i="4"/>
  <c r="I70" i="4"/>
  <c r="J70" i="4" s="1"/>
  <c r="C73" i="4"/>
  <c r="C53" i="4"/>
  <c r="D53" i="4"/>
  <c r="I53" i="4"/>
  <c r="J53" i="4" s="1"/>
  <c r="C56" i="4"/>
  <c r="C36" i="4"/>
  <c r="C175" i="4" s="1"/>
  <c r="D175" i="4" s="1"/>
  <c r="D36" i="4"/>
  <c r="I36" i="4"/>
  <c r="C39" i="4"/>
  <c r="C19" i="4"/>
  <c r="D19" i="4"/>
  <c r="I19" i="4"/>
  <c r="I20" i="4" s="1"/>
  <c r="C22" i="4"/>
  <c r="C2" i="4"/>
  <c r="D2" i="4"/>
  <c r="I2" i="4"/>
  <c r="J2" i="4" s="1"/>
  <c r="C5" i="4"/>
  <c r="B205" i="1"/>
  <c r="B206" i="1"/>
  <c r="B207" i="1"/>
  <c r="B208" i="1"/>
  <c r="B209" i="1"/>
  <c r="B210" i="1"/>
  <c r="B211" i="1"/>
  <c r="B212" i="1"/>
  <c r="B213" i="1"/>
  <c r="B204" i="1"/>
  <c r="D175" i="1"/>
  <c r="C191" i="1"/>
  <c r="C174" i="1"/>
  <c r="C138" i="1"/>
  <c r="C167" i="1" s="1"/>
  <c r="C183" i="1" s="1"/>
  <c r="D183" i="1" s="1"/>
  <c r="D138" i="1"/>
  <c r="I138" i="1"/>
  <c r="J138" i="1" s="1"/>
  <c r="C141" i="1"/>
  <c r="C121" i="1"/>
  <c r="C166" i="1" s="1"/>
  <c r="C182" i="1" s="1"/>
  <c r="D182" i="1" s="1"/>
  <c r="D121" i="1"/>
  <c r="I121" i="1"/>
  <c r="J121" i="1" s="1"/>
  <c r="C124" i="1"/>
  <c r="C104" i="1"/>
  <c r="C165" i="1" s="1"/>
  <c r="C181" i="1" s="1"/>
  <c r="D181" i="1" s="1"/>
  <c r="D104" i="1"/>
  <c r="I104" i="1"/>
  <c r="J104" i="1" s="1"/>
  <c r="C107" i="1"/>
  <c r="C87" i="1"/>
  <c r="C164" i="1" s="1"/>
  <c r="C180" i="1" s="1"/>
  <c r="D180" i="1" s="1"/>
  <c r="D87" i="1"/>
  <c r="I87" i="1"/>
  <c r="J87" i="1" s="1"/>
  <c r="C90" i="1"/>
  <c r="C70" i="1"/>
  <c r="C163" i="1" s="1"/>
  <c r="C179" i="1" s="1"/>
  <c r="D179" i="1" s="1"/>
  <c r="D70" i="1"/>
  <c r="I70" i="1"/>
  <c r="J70" i="1" s="1"/>
  <c r="C73" i="1"/>
  <c r="C53" i="1"/>
  <c r="C162" i="1" s="1"/>
  <c r="C178" i="1" s="1"/>
  <c r="D53" i="1"/>
  <c r="I53" i="1"/>
  <c r="J53" i="1" s="1"/>
  <c r="C56" i="1"/>
  <c r="I36" i="1"/>
  <c r="I19" i="1"/>
  <c r="J19" i="1" s="1"/>
  <c r="C39" i="1"/>
  <c r="C36" i="1"/>
  <c r="C161" i="1" s="1"/>
  <c r="C177" i="1" s="1"/>
  <c r="D36" i="1"/>
  <c r="C19" i="1"/>
  <c r="C160" i="1" s="1"/>
  <c r="C176" i="1" s="1"/>
  <c r="D176" i="1" s="1"/>
  <c r="C22" i="1"/>
  <c r="D19" i="1"/>
  <c r="C5" i="1"/>
  <c r="D2" i="1"/>
  <c r="C2" i="1"/>
  <c r="C159" i="1" s="1"/>
  <c r="C175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C301" i="5" l="1"/>
  <c r="D301" i="5" s="1"/>
  <c r="I259" i="5"/>
  <c r="J258" i="5"/>
  <c r="I123" i="5"/>
  <c r="I124" i="5" s="1"/>
  <c r="J54" i="5"/>
  <c r="J241" i="5"/>
  <c r="I242" i="5"/>
  <c r="J71" i="5"/>
  <c r="J39" i="5"/>
  <c r="J224" i="5"/>
  <c r="I225" i="5"/>
  <c r="J207" i="5"/>
  <c r="I208" i="5"/>
  <c r="J190" i="5"/>
  <c r="I191" i="5"/>
  <c r="J5" i="5"/>
  <c r="J173" i="5"/>
  <c r="I174" i="5"/>
  <c r="J156" i="5"/>
  <c r="I157" i="5"/>
  <c r="J105" i="5"/>
  <c r="I141" i="5"/>
  <c r="J140" i="5"/>
  <c r="D306" i="5"/>
  <c r="D308" i="5"/>
  <c r="J6" i="5"/>
  <c r="I7" i="5"/>
  <c r="D305" i="5"/>
  <c r="I73" i="5"/>
  <c r="J72" i="5"/>
  <c r="I107" i="5"/>
  <c r="J106" i="5"/>
  <c r="J22" i="5"/>
  <c r="I23" i="5"/>
  <c r="I90" i="5"/>
  <c r="J89" i="5"/>
  <c r="J40" i="5"/>
  <c r="I41" i="5"/>
  <c r="I56" i="5"/>
  <c r="J55" i="5"/>
  <c r="D304" i="5"/>
  <c r="C324" i="5"/>
  <c r="D307" i="5"/>
  <c r="D174" i="1"/>
  <c r="F230" i="1"/>
  <c r="G230" i="1"/>
  <c r="D93" i="1"/>
  <c r="E138" i="1"/>
  <c r="C180" i="4"/>
  <c r="D180" i="4" s="1"/>
  <c r="C179" i="4"/>
  <c r="D179" i="4" s="1"/>
  <c r="C178" i="4"/>
  <c r="D178" i="4" s="1"/>
  <c r="D177" i="4"/>
  <c r="C176" i="4"/>
  <c r="D176" i="4" s="1"/>
  <c r="D174" i="4"/>
  <c r="C181" i="4"/>
  <c r="D181" i="4" s="1"/>
  <c r="I3" i="4"/>
  <c r="D110" i="4"/>
  <c r="D127" i="4"/>
  <c r="D144" i="4"/>
  <c r="C190" i="4"/>
  <c r="J87" i="4"/>
  <c r="I54" i="4"/>
  <c r="J54" i="4" s="1"/>
  <c r="J19" i="4"/>
  <c r="I71" i="4"/>
  <c r="J71" i="4" s="1"/>
  <c r="I55" i="4"/>
  <c r="I56" i="4" s="1"/>
  <c r="D76" i="4"/>
  <c r="E138" i="4"/>
  <c r="E121" i="4"/>
  <c r="E104" i="4"/>
  <c r="E87" i="4"/>
  <c r="E36" i="4"/>
  <c r="E19" i="4"/>
  <c r="D8" i="4"/>
  <c r="J20" i="4"/>
  <c r="I21" i="4"/>
  <c r="J36" i="4"/>
  <c r="I37" i="4"/>
  <c r="J88" i="4"/>
  <c r="I89" i="4"/>
  <c r="J3" i="4"/>
  <c r="I4" i="4"/>
  <c r="E53" i="4"/>
  <c r="D59" i="4"/>
  <c r="I72" i="4"/>
  <c r="D42" i="4"/>
  <c r="I105" i="4"/>
  <c r="I123" i="4"/>
  <c r="I140" i="4"/>
  <c r="E2" i="4"/>
  <c r="D25" i="4"/>
  <c r="E70" i="4"/>
  <c r="D93" i="4"/>
  <c r="J121" i="4"/>
  <c r="J138" i="4"/>
  <c r="B192" i="1"/>
  <c r="B193" i="1" s="1"/>
  <c r="B194" i="1" s="1"/>
  <c r="B195" i="1" s="1"/>
  <c r="B196" i="1" s="1"/>
  <c r="B197" i="1" s="1"/>
  <c r="B198" i="1" s="1"/>
  <c r="B199" i="1" s="1"/>
  <c r="B200" i="1" s="1"/>
  <c r="C200" i="1" s="1"/>
  <c r="E104" i="1"/>
  <c r="E121" i="1"/>
  <c r="E53" i="1"/>
  <c r="D59" i="1"/>
  <c r="D110" i="1"/>
  <c r="E36" i="1"/>
  <c r="D25" i="1"/>
  <c r="J36" i="1"/>
  <c r="I37" i="1"/>
  <c r="I38" i="1" s="1"/>
  <c r="J38" i="1" s="1"/>
  <c r="D76" i="1"/>
  <c r="D144" i="1"/>
  <c r="D127" i="1"/>
  <c r="E70" i="1"/>
  <c r="D42" i="1"/>
  <c r="E19" i="1"/>
  <c r="D8" i="1"/>
  <c r="I139" i="1"/>
  <c r="I122" i="1"/>
  <c r="I105" i="1"/>
  <c r="E87" i="1"/>
  <c r="I88" i="1"/>
  <c r="I71" i="1"/>
  <c r="I54" i="1"/>
  <c r="I20" i="1"/>
  <c r="I13" i="1"/>
  <c r="J12" i="1"/>
  <c r="J2" i="1"/>
  <c r="J3" i="1"/>
  <c r="J123" i="5" l="1"/>
  <c r="J259" i="5"/>
  <c r="I260" i="5"/>
  <c r="J242" i="5"/>
  <c r="I243" i="5"/>
  <c r="J225" i="5"/>
  <c r="I226" i="5"/>
  <c r="J208" i="5"/>
  <c r="I209" i="5"/>
  <c r="J191" i="5"/>
  <c r="I192" i="5"/>
  <c r="J174" i="5"/>
  <c r="I175" i="5"/>
  <c r="J157" i="5"/>
  <c r="I158" i="5"/>
  <c r="J124" i="5"/>
  <c r="I125" i="5"/>
  <c r="C325" i="5"/>
  <c r="J56" i="5"/>
  <c r="I57" i="5"/>
  <c r="J23" i="5"/>
  <c r="I24" i="5"/>
  <c r="I8" i="5"/>
  <c r="J7" i="5"/>
  <c r="J141" i="5"/>
  <c r="I142" i="5"/>
  <c r="J107" i="5"/>
  <c r="I108" i="5"/>
  <c r="I42" i="5"/>
  <c r="J41" i="5"/>
  <c r="J90" i="5"/>
  <c r="I91" i="5"/>
  <c r="J73" i="5"/>
  <c r="I74" i="5"/>
  <c r="F225" i="4"/>
  <c r="B226" i="4"/>
  <c r="B227" i="4"/>
  <c r="C227" i="4"/>
  <c r="C226" i="4"/>
  <c r="C232" i="4"/>
  <c r="C233" i="4"/>
  <c r="C234" i="4"/>
  <c r="C235" i="4"/>
  <c r="C236" i="4"/>
  <c r="C237" i="4"/>
  <c r="C238" i="4"/>
  <c r="C239" i="4"/>
  <c r="B232" i="4"/>
  <c r="B233" i="4"/>
  <c r="B234" i="4"/>
  <c r="B235" i="4"/>
  <c r="B236" i="4"/>
  <c r="B237" i="4"/>
  <c r="B238" i="4"/>
  <c r="B239" i="4"/>
  <c r="C231" i="4"/>
  <c r="B231" i="4"/>
  <c r="H230" i="1"/>
  <c r="L239" i="1"/>
  <c r="L238" i="1"/>
  <c r="L237" i="1"/>
  <c r="L236" i="1"/>
  <c r="L235" i="1"/>
  <c r="L234" i="1"/>
  <c r="L233" i="1"/>
  <c r="L232" i="1"/>
  <c r="L231" i="1"/>
  <c r="L230" i="1"/>
  <c r="E233" i="1" s="1"/>
  <c r="F233" i="1" s="1"/>
  <c r="C237" i="1"/>
  <c r="B237" i="1"/>
  <c r="B239" i="1"/>
  <c r="C241" i="1"/>
  <c r="C245" i="1"/>
  <c r="B242" i="1"/>
  <c r="B243" i="1"/>
  <c r="B238" i="1"/>
  <c r="C238" i="1"/>
  <c r="B236" i="1"/>
  <c r="C236" i="1"/>
  <c r="C240" i="1"/>
  <c r="B241" i="1"/>
  <c r="C239" i="1"/>
  <c r="C243" i="1"/>
  <c r="B232" i="1"/>
  <c r="B244" i="1"/>
  <c r="C232" i="1"/>
  <c r="C242" i="1"/>
  <c r="B240" i="1"/>
  <c r="C231" i="1"/>
  <c r="C244" i="1"/>
  <c r="B245" i="1"/>
  <c r="C189" i="4"/>
  <c r="J55" i="4"/>
  <c r="I141" i="4"/>
  <c r="J140" i="4"/>
  <c r="J4" i="4"/>
  <c r="I5" i="4"/>
  <c r="J37" i="4"/>
  <c r="I38" i="4"/>
  <c r="J56" i="4"/>
  <c r="I57" i="4"/>
  <c r="I124" i="4"/>
  <c r="J123" i="4"/>
  <c r="J105" i="4"/>
  <c r="I106" i="4"/>
  <c r="I73" i="4"/>
  <c r="J72" i="4"/>
  <c r="I90" i="4"/>
  <c r="J89" i="4"/>
  <c r="I22" i="4"/>
  <c r="J21" i="4"/>
  <c r="J37" i="1"/>
  <c r="I39" i="1"/>
  <c r="C192" i="1"/>
  <c r="I140" i="1"/>
  <c r="J139" i="1"/>
  <c r="I123" i="1"/>
  <c r="J122" i="1"/>
  <c r="I106" i="1"/>
  <c r="J105" i="1"/>
  <c r="J88" i="1"/>
  <c r="I89" i="1"/>
  <c r="I72" i="1"/>
  <c r="J71" i="1"/>
  <c r="J54" i="1"/>
  <c r="I55" i="1"/>
  <c r="I40" i="1"/>
  <c r="J39" i="1"/>
  <c r="I21" i="1"/>
  <c r="J20" i="1"/>
  <c r="I14" i="1"/>
  <c r="J13" i="1"/>
  <c r="J4" i="1"/>
  <c r="I261" i="5" l="1"/>
  <c r="J260" i="5"/>
  <c r="I244" i="5"/>
  <c r="J243" i="5"/>
  <c r="I227" i="5"/>
  <c r="J226" i="5"/>
  <c r="I210" i="5"/>
  <c r="J209" i="5"/>
  <c r="I193" i="5"/>
  <c r="J192" i="5"/>
  <c r="I176" i="5"/>
  <c r="J175" i="5"/>
  <c r="I159" i="5"/>
  <c r="J158" i="5"/>
  <c r="C326" i="5"/>
  <c r="I43" i="5"/>
  <c r="J42" i="5"/>
  <c r="I143" i="5"/>
  <c r="J142" i="5"/>
  <c r="I9" i="5"/>
  <c r="J8" i="5"/>
  <c r="I92" i="5"/>
  <c r="J91" i="5"/>
  <c r="I25" i="5"/>
  <c r="J24" i="5"/>
  <c r="F384" i="5"/>
  <c r="I126" i="5"/>
  <c r="J125" i="5"/>
  <c r="I75" i="5"/>
  <c r="J74" i="5"/>
  <c r="I58" i="5"/>
  <c r="J57" i="5"/>
  <c r="I109" i="5"/>
  <c r="J108" i="5"/>
  <c r="C191" i="4"/>
  <c r="C192" i="4"/>
  <c r="J5" i="4"/>
  <c r="I6" i="4"/>
  <c r="J22" i="4"/>
  <c r="I23" i="4"/>
  <c r="I74" i="4"/>
  <c r="J73" i="4"/>
  <c r="J124" i="4"/>
  <c r="I125" i="4"/>
  <c r="I58" i="4"/>
  <c r="J57" i="4"/>
  <c r="I107" i="4"/>
  <c r="J106" i="4"/>
  <c r="I39" i="4"/>
  <c r="J38" i="4"/>
  <c r="J90" i="4"/>
  <c r="I91" i="4"/>
  <c r="J141" i="4"/>
  <c r="I142" i="4"/>
  <c r="C193" i="1"/>
  <c r="J140" i="1"/>
  <c r="I141" i="1"/>
  <c r="J123" i="1"/>
  <c r="I124" i="1"/>
  <c r="J106" i="1"/>
  <c r="I107" i="1"/>
  <c r="J89" i="1"/>
  <c r="I90" i="1"/>
  <c r="J72" i="1"/>
  <c r="I73" i="1"/>
  <c r="J55" i="1"/>
  <c r="I56" i="1"/>
  <c r="J40" i="1"/>
  <c r="I41" i="1"/>
  <c r="J21" i="1"/>
  <c r="I22" i="1"/>
  <c r="I15" i="1"/>
  <c r="J14" i="1"/>
  <c r="J5" i="1"/>
  <c r="J261" i="5" l="1"/>
  <c r="I262" i="5"/>
  <c r="I245" i="5"/>
  <c r="J244" i="5"/>
  <c r="J227" i="5"/>
  <c r="I228" i="5"/>
  <c r="J210" i="5"/>
  <c r="I211" i="5"/>
  <c r="I194" i="5"/>
  <c r="J193" i="5"/>
  <c r="J176" i="5"/>
  <c r="I177" i="5"/>
  <c r="I160" i="5"/>
  <c r="J159" i="5"/>
  <c r="J75" i="5"/>
  <c r="I76" i="5"/>
  <c r="I26" i="5"/>
  <c r="J25" i="5"/>
  <c r="J43" i="5"/>
  <c r="I44" i="5"/>
  <c r="J58" i="5"/>
  <c r="I59" i="5"/>
  <c r="J126" i="5"/>
  <c r="I127" i="5"/>
  <c r="C327" i="5"/>
  <c r="J109" i="5"/>
  <c r="I110" i="5"/>
  <c r="J9" i="5"/>
  <c r="I10" i="5"/>
  <c r="J92" i="5"/>
  <c r="I93" i="5"/>
  <c r="J143" i="5"/>
  <c r="I144" i="5"/>
  <c r="C193" i="4"/>
  <c r="J39" i="4"/>
  <c r="I40" i="4"/>
  <c r="J58" i="4"/>
  <c r="I59" i="4"/>
  <c r="I75" i="4"/>
  <c r="J74" i="4"/>
  <c r="J142" i="4"/>
  <c r="I143" i="4"/>
  <c r="I92" i="4"/>
  <c r="J91" i="4"/>
  <c r="J125" i="4"/>
  <c r="I126" i="4"/>
  <c r="I24" i="4"/>
  <c r="J23" i="4"/>
  <c r="J107" i="4"/>
  <c r="I108" i="4"/>
  <c r="J6" i="4"/>
  <c r="I7" i="4"/>
  <c r="C194" i="1"/>
  <c r="I142" i="1"/>
  <c r="J141" i="1"/>
  <c r="I125" i="1"/>
  <c r="J124" i="1"/>
  <c r="I108" i="1"/>
  <c r="J107" i="1"/>
  <c r="I91" i="1"/>
  <c r="J90" i="1"/>
  <c r="I74" i="1"/>
  <c r="J73" i="1"/>
  <c r="I57" i="1"/>
  <c r="J56" i="1"/>
  <c r="I42" i="1"/>
  <c r="J41" i="1"/>
  <c r="I23" i="1"/>
  <c r="J22" i="1"/>
  <c r="I16" i="1"/>
  <c r="J16" i="1" s="1"/>
  <c r="J15" i="1"/>
  <c r="J6" i="1"/>
  <c r="I263" i="5" l="1"/>
  <c r="J262" i="5"/>
  <c r="I246" i="5"/>
  <c r="J245" i="5"/>
  <c r="I229" i="5"/>
  <c r="J228" i="5"/>
  <c r="I212" i="5"/>
  <c r="J211" i="5"/>
  <c r="J194" i="5"/>
  <c r="I195" i="5"/>
  <c r="I178" i="5"/>
  <c r="J177" i="5"/>
  <c r="I161" i="5"/>
  <c r="J160" i="5"/>
  <c r="J59" i="5"/>
  <c r="I60" i="5"/>
  <c r="C328" i="5"/>
  <c r="J26" i="5"/>
  <c r="I27" i="5"/>
  <c r="J93" i="5"/>
  <c r="I94" i="5"/>
  <c r="J110" i="5"/>
  <c r="I111" i="5"/>
  <c r="J127" i="5"/>
  <c r="I128" i="5"/>
  <c r="J44" i="5"/>
  <c r="I45" i="5"/>
  <c r="J76" i="5"/>
  <c r="I77" i="5"/>
  <c r="J144" i="5"/>
  <c r="I145" i="5"/>
  <c r="I11" i="5"/>
  <c r="J10" i="5"/>
  <c r="C194" i="4"/>
  <c r="I109" i="4"/>
  <c r="J108" i="4"/>
  <c r="I144" i="4"/>
  <c r="J143" i="4"/>
  <c r="J59" i="4"/>
  <c r="I60" i="4"/>
  <c r="I41" i="4"/>
  <c r="J40" i="4"/>
  <c r="J7" i="4"/>
  <c r="I8" i="4"/>
  <c r="I127" i="4"/>
  <c r="J126" i="4"/>
  <c r="I25" i="4"/>
  <c r="J24" i="4"/>
  <c r="J92" i="4"/>
  <c r="I93" i="4"/>
  <c r="I76" i="4"/>
  <c r="J75" i="4"/>
  <c r="C195" i="1"/>
  <c r="J142" i="1"/>
  <c r="I143" i="1"/>
  <c r="J125" i="1"/>
  <c r="I126" i="1"/>
  <c r="J108" i="1"/>
  <c r="I109" i="1"/>
  <c r="J91" i="1"/>
  <c r="I92" i="1"/>
  <c r="J74" i="1"/>
  <c r="I75" i="1"/>
  <c r="J57" i="1"/>
  <c r="I58" i="1"/>
  <c r="J42" i="1"/>
  <c r="I43" i="1"/>
  <c r="J23" i="1"/>
  <c r="I24" i="1"/>
  <c r="J7" i="1"/>
  <c r="I264" i="5" l="1"/>
  <c r="J263" i="5"/>
  <c r="I247" i="5"/>
  <c r="J246" i="5"/>
  <c r="I230" i="5"/>
  <c r="J229" i="5"/>
  <c r="I213" i="5"/>
  <c r="J212" i="5"/>
  <c r="I196" i="5"/>
  <c r="J195" i="5"/>
  <c r="I179" i="5"/>
  <c r="J178" i="5"/>
  <c r="I162" i="5"/>
  <c r="J161" i="5"/>
  <c r="I129" i="5"/>
  <c r="J128" i="5"/>
  <c r="I95" i="5"/>
  <c r="J94" i="5"/>
  <c r="J11" i="5"/>
  <c r="I12" i="5"/>
  <c r="C329" i="5"/>
  <c r="I146" i="5"/>
  <c r="J145" i="5"/>
  <c r="J45" i="5"/>
  <c r="I46" i="5"/>
  <c r="I112" i="5"/>
  <c r="J111" i="5"/>
  <c r="J27" i="5"/>
  <c r="I28" i="5"/>
  <c r="I61" i="5"/>
  <c r="J60" i="5"/>
  <c r="I78" i="5"/>
  <c r="J77" i="5"/>
  <c r="C195" i="4"/>
  <c r="J25" i="4"/>
  <c r="I26" i="4"/>
  <c r="J41" i="4"/>
  <c r="I42" i="4"/>
  <c r="J93" i="4"/>
  <c r="I94" i="4"/>
  <c r="I9" i="4"/>
  <c r="J8" i="4"/>
  <c r="I61" i="4"/>
  <c r="J60" i="4"/>
  <c r="J76" i="4"/>
  <c r="I77" i="4"/>
  <c r="J127" i="4"/>
  <c r="I128" i="4"/>
  <c r="J144" i="4"/>
  <c r="I145" i="4"/>
  <c r="J109" i="4"/>
  <c r="I110" i="4"/>
  <c r="C196" i="1"/>
  <c r="I144" i="1"/>
  <c r="J143" i="1"/>
  <c r="I127" i="1"/>
  <c r="J126" i="1"/>
  <c r="J109" i="1"/>
  <c r="I110" i="1"/>
  <c r="I93" i="1"/>
  <c r="J92" i="1"/>
  <c r="J75" i="1"/>
  <c r="I76" i="1"/>
  <c r="I59" i="1"/>
  <c r="J58" i="1"/>
  <c r="I44" i="1"/>
  <c r="J43" i="1"/>
  <c r="I25" i="1"/>
  <c r="J24" i="1"/>
  <c r="J8" i="1"/>
  <c r="J264" i="5" l="1"/>
  <c r="I265" i="5"/>
  <c r="I248" i="5"/>
  <c r="J247" i="5"/>
  <c r="J230" i="5"/>
  <c r="I231" i="5"/>
  <c r="J213" i="5"/>
  <c r="I214" i="5"/>
  <c r="I197" i="5"/>
  <c r="J196" i="5"/>
  <c r="J179" i="5"/>
  <c r="I180" i="5"/>
  <c r="J162" i="5"/>
  <c r="I163" i="5"/>
  <c r="J95" i="5"/>
  <c r="I96" i="5"/>
  <c r="J12" i="5"/>
  <c r="I13" i="5"/>
  <c r="J28" i="5"/>
  <c r="I29" i="5"/>
  <c r="J46" i="5"/>
  <c r="I47" i="5"/>
  <c r="J78" i="5"/>
  <c r="I79" i="5"/>
  <c r="C330" i="5"/>
  <c r="J61" i="5"/>
  <c r="I62" i="5"/>
  <c r="J112" i="5"/>
  <c r="I113" i="5"/>
  <c r="J146" i="5"/>
  <c r="I147" i="5"/>
  <c r="J129" i="5"/>
  <c r="I130" i="5"/>
  <c r="C196" i="4"/>
  <c r="C197" i="4"/>
  <c r="J42" i="4"/>
  <c r="I43" i="4"/>
  <c r="I95" i="4"/>
  <c r="J94" i="4"/>
  <c r="I27" i="4"/>
  <c r="J26" i="4"/>
  <c r="J110" i="4"/>
  <c r="I111" i="4"/>
  <c r="J145" i="4"/>
  <c r="I146" i="4"/>
  <c r="I78" i="4"/>
  <c r="J77" i="4"/>
  <c r="J9" i="4"/>
  <c r="I10" i="4"/>
  <c r="J128" i="4"/>
  <c r="I129" i="4"/>
  <c r="I62" i="4"/>
  <c r="J61" i="4"/>
  <c r="C197" i="1"/>
  <c r="I145" i="1"/>
  <c r="J144" i="1"/>
  <c r="I128" i="1"/>
  <c r="J127" i="1"/>
  <c r="I111" i="1"/>
  <c r="J110" i="1"/>
  <c r="I94" i="1"/>
  <c r="J93" i="1"/>
  <c r="I77" i="1"/>
  <c r="J76" i="1"/>
  <c r="I60" i="1"/>
  <c r="J59" i="1"/>
  <c r="J44" i="1"/>
  <c r="I45" i="1"/>
  <c r="J25" i="1"/>
  <c r="I26" i="1"/>
  <c r="J9" i="1"/>
  <c r="I266" i="5" l="1"/>
  <c r="J265" i="5"/>
  <c r="I249" i="5"/>
  <c r="J248" i="5"/>
  <c r="I232" i="5"/>
  <c r="J231" i="5"/>
  <c r="I215" i="5"/>
  <c r="J214" i="5"/>
  <c r="I198" i="5"/>
  <c r="J197" i="5"/>
  <c r="I181" i="5"/>
  <c r="J180" i="5"/>
  <c r="I164" i="5"/>
  <c r="J163" i="5"/>
  <c r="I48" i="5"/>
  <c r="J47" i="5"/>
  <c r="J13" i="5"/>
  <c r="I14" i="5"/>
  <c r="I148" i="5"/>
  <c r="J147" i="5"/>
  <c r="I63" i="5"/>
  <c r="J62" i="5"/>
  <c r="I80" i="5"/>
  <c r="J79" i="5"/>
  <c r="I30" i="5"/>
  <c r="J29" i="5"/>
  <c r="I97" i="5"/>
  <c r="J96" i="5"/>
  <c r="I131" i="5"/>
  <c r="J130" i="5"/>
  <c r="I114" i="5"/>
  <c r="J113" i="5"/>
  <c r="C331" i="5"/>
  <c r="J129" i="4"/>
  <c r="I130" i="4"/>
  <c r="I112" i="4"/>
  <c r="J111" i="4"/>
  <c r="I96" i="4"/>
  <c r="J95" i="4"/>
  <c r="J10" i="4"/>
  <c r="I11" i="4"/>
  <c r="J146" i="4"/>
  <c r="I147" i="4"/>
  <c r="I44" i="4"/>
  <c r="J43" i="4"/>
  <c r="I63" i="4"/>
  <c r="J62" i="4"/>
  <c r="J78" i="4"/>
  <c r="I79" i="4"/>
  <c r="J27" i="4"/>
  <c r="I28" i="4"/>
  <c r="C199" i="1"/>
  <c r="C198" i="1"/>
  <c r="J145" i="1"/>
  <c r="I146" i="1"/>
  <c r="J128" i="1"/>
  <c r="I129" i="1"/>
  <c r="J111" i="1"/>
  <c r="I112" i="1"/>
  <c r="J94" i="1"/>
  <c r="I95" i="1"/>
  <c r="J77" i="1"/>
  <c r="I78" i="1"/>
  <c r="J60" i="1"/>
  <c r="I61" i="1"/>
  <c r="I46" i="1"/>
  <c r="J45" i="1"/>
  <c r="I27" i="1"/>
  <c r="J26" i="1"/>
  <c r="J11" i="1"/>
  <c r="J10" i="1"/>
  <c r="C332" i="5" l="1"/>
  <c r="J266" i="5"/>
  <c r="I267" i="5"/>
  <c r="J249" i="5"/>
  <c r="I250" i="5"/>
  <c r="J232" i="5"/>
  <c r="I233" i="5"/>
  <c r="J215" i="5"/>
  <c r="I216" i="5"/>
  <c r="J198" i="5"/>
  <c r="I199" i="5"/>
  <c r="J181" i="5"/>
  <c r="I182" i="5"/>
  <c r="I165" i="5"/>
  <c r="J164" i="5"/>
  <c r="J14" i="5"/>
  <c r="I15" i="5"/>
  <c r="J131" i="5"/>
  <c r="I132" i="5"/>
  <c r="J30" i="5"/>
  <c r="I31" i="5"/>
  <c r="J63" i="5"/>
  <c r="I64" i="5"/>
  <c r="J114" i="5"/>
  <c r="I115" i="5"/>
  <c r="J97" i="5"/>
  <c r="I98" i="5"/>
  <c r="J80" i="5"/>
  <c r="I81" i="5"/>
  <c r="J148" i="5"/>
  <c r="I149" i="5"/>
  <c r="I49" i="5"/>
  <c r="J48" i="5"/>
  <c r="I80" i="4"/>
  <c r="J79" i="4"/>
  <c r="J130" i="4"/>
  <c r="I131" i="4"/>
  <c r="J11" i="4"/>
  <c r="I12" i="4"/>
  <c r="J44" i="4"/>
  <c r="I45" i="4"/>
  <c r="I113" i="4"/>
  <c r="J112" i="4"/>
  <c r="I29" i="4"/>
  <c r="J28" i="4"/>
  <c r="J147" i="4"/>
  <c r="I148" i="4"/>
  <c r="J63" i="4"/>
  <c r="I64" i="4"/>
  <c r="I97" i="4"/>
  <c r="J96" i="4"/>
  <c r="I147" i="1"/>
  <c r="J146" i="1"/>
  <c r="I130" i="1"/>
  <c r="J129" i="1"/>
  <c r="I113" i="1"/>
  <c r="J112" i="1"/>
  <c r="I96" i="1"/>
  <c r="J95" i="1"/>
  <c r="I79" i="1"/>
  <c r="J78" i="1"/>
  <c r="I62" i="1"/>
  <c r="J61" i="1"/>
  <c r="J46" i="1"/>
  <c r="I47" i="1"/>
  <c r="J27" i="1"/>
  <c r="I28" i="1"/>
  <c r="C333" i="5" l="1"/>
  <c r="I268" i="5"/>
  <c r="J267" i="5"/>
  <c r="I251" i="5"/>
  <c r="J250" i="5"/>
  <c r="I234" i="5"/>
  <c r="J233" i="5"/>
  <c r="I217" i="5"/>
  <c r="J216" i="5"/>
  <c r="I200" i="5"/>
  <c r="J199" i="5"/>
  <c r="I183" i="5"/>
  <c r="J182" i="5"/>
  <c r="I166" i="5"/>
  <c r="J165" i="5"/>
  <c r="I150" i="5"/>
  <c r="J149" i="5"/>
  <c r="I65" i="5"/>
  <c r="J64" i="5"/>
  <c r="I82" i="5"/>
  <c r="J81" i="5"/>
  <c r="I116" i="5"/>
  <c r="J115" i="5"/>
  <c r="J31" i="5"/>
  <c r="I32" i="5"/>
  <c r="J15" i="5"/>
  <c r="I16" i="5"/>
  <c r="J16" i="5" s="1"/>
  <c r="I99" i="5"/>
  <c r="J98" i="5"/>
  <c r="I133" i="5"/>
  <c r="J132" i="5"/>
  <c r="I50" i="5"/>
  <c r="J50" i="5" s="1"/>
  <c r="J49" i="5"/>
  <c r="I46" i="4"/>
  <c r="J45" i="4"/>
  <c r="J131" i="4"/>
  <c r="I132" i="4"/>
  <c r="J29" i="4"/>
  <c r="I30" i="4"/>
  <c r="I65" i="4"/>
  <c r="J64" i="4"/>
  <c r="J148" i="4"/>
  <c r="I149" i="4"/>
  <c r="J12" i="4"/>
  <c r="I13" i="4"/>
  <c r="J97" i="4"/>
  <c r="I98" i="4"/>
  <c r="I114" i="4"/>
  <c r="J113" i="4"/>
  <c r="I81" i="4"/>
  <c r="J80" i="4"/>
  <c r="J147" i="1"/>
  <c r="I148" i="1"/>
  <c r="J130" i="1"/>
  <c r="I131" i="1"/>
  <c r="J113" i="1"/>
  <c r="I114" i="1"/>
  <c r="J96" i="1"/>
  <c r="I97" i="1"/>
  <c r="J79" i="1"/>
  <c r="I80" i="1"/>
  <c r="J62" i="1"/>
  <c r="I63" i="1"/>
  <c r="I48" i="1"/>
  <c r="J47" i="1"/>
  <c r="I29" i="1"/>
  <c r="J28" i="1"/>
  <c r="C334" i="5" l="1"/>
  <c r="J268" i="5"/>
  <c r="I269" i="5"/>
  <c r="I252" i="5"/>
  <c r="J251" i="5"/>
  <c r="J234" i="5"/>
  <c r="I235" i="5"/>
  <c r="J217" i="5"/>
  <c r="I218" i="5"/>
  <c r="J200" i="5"/>
  <c r="I201" i="5"/>
  <c r="J183" i="5"/>
  <c r="I184" i="5"/>
  <c r="J166" i="5"/>
  <c r="I167" i="5"/>
  <c r="J133" i="5"/>
  <c r="I134" i="5"/>
  <c r="J65" i="5"/>
  <c r="I66" i="5"/>
  <c r="J32" i="5"/>
  <c r="I33" i="5"/>
  <c r="J33" i="5" s="1"/>
  <c r="J116" i="5"/>
  <c r="I117" i="5"/>
  <c r="J99" i="5"/>
  <c r="I100" i="5"/>
  <c r="J82" i="5"/>
  <c r="I83" i="5"/>
  <c r="J150" i="5"/>
  <c r="I151" i="5"/>
  <c r="J13" i="4"/>
  <c r="I14" i="4"/>
  <c r="J132" i="4"/>
  <c r="I133" i="4"/>
  <c r="J114" i="4"/>
  <c r="I115" i="4"/>
  <c r="J65" i="4"/>
  <c r="I66" i="4"/>
  <c r="I99" i="4"/>
  <c r="J98" i="4"/>
  <c r="J149" i="4"/>
  <c r="I150" i="4"/>
  <c r="I31" i="4"/>
  <c r="J30" i="4"/>
  <c r="I82" i="4"/>
  <c r="J81" i="4"/>
  <c r="J46" i="4"/>
  <c r="I47" i="4"/>
  <c r="I149" i="1"/>
  <c r="J148" i="1"/>
  <c r="I132" i="1"/>
  <c r="J131" i="1"/>
  <c r="I115" i="1"/>
  <c r="J114" i="1"/>
  <c r="I98" i="1"/>
  <c r="J97" i="1"/>
  <c r="I81" i="1"/>
  <c r="J80" i="1"/>
  <c r="I64" i="1"/>
  <c r="J63" i="1"/>
  <c r="J48" i="1"/>
  <c r="I49" i="1"/>
  <c r="J29" i="1"/>
  <c r="I30" i="1"/>
  <c r="C335" i="5" l="1"/>
  <c r="I270" i="5"/>
  <c r="J269" i="5"/>
  <c r="I253" i="5"/>
  <c r="J252" i="5"/>
  <c r="I236" i="5"/>
  <c r="J235" i="5"/>
  <c r="I219" i="5"/>
  <c r="J218" i="5"/>
  <c r="J201" i="5"/>
  <c r="I202" i="5"/>
  <c r="I185" i="5"/>
  <c r="J184" i="5"/>
  <c r="I168" i="5"/>
  <c r="J167" i="5"/>
  <c r="I84" i="5"/>
  <c r="J84" i="5" s="1"/>
  <c r="J83" i="5"/>
  <c r="I118" i="5"/>
  <c r="J118" i="5" s="1"/>
  <c r="J117" i="5"/>
  <c r="I67" i="5"/>
  <c r="J67" i="5" s="1"/>
  <c r="J66" i="5"/>
  <c r="I152" i="5"/>
  <c r="J152" i="5" s="1"/>
  <c r="J151" i="5"/>
  <c r="I101" i="5"/>
  <c r="J101" i="5" s="1"/>
  <c r="J100" i="5"/>
  <c r="I135" i="5"/>
  <c r="J135" i="5" s="1"/>
  <c r="J134" i="5"/>
  <c r="J150" i="4"/>
  <c r="I151" i="4"/>
  <c r="I67" i="4"/>
  <c r="J67" i="4" s="1"/>
  <c r="J66" i="4"/>
  <c r="J133" i="4"/>
  <c r="I134" i="4"/>
  <c r="J82" i="4"/>
  <c r="I83" i="4"/>
  <c r="I48" i="4"/>
  <c r="J47" i="4"/>
  <c r="I116" i="4"/>
  <c r="J115" i="4"/>
  <c r="J14" i="4"/>
  <c r="I15" i="4"/>
  <c r="I32" i="4"/>
  <c r="J31" i="4"/>
  <c r="I100" i="4"/>
  <c r="J99" i="4"/>
  <c r="J149" i="1"/>
  <c r="I150" i="1"/>
  <c r="J132" i="1"/>
  <c r="I133" i="1"/>
  <c r="J115" i="1"/>
  <c r="I116" i="1"/>
  <c r="J98" i="1"/>
  <c r="I99" i="1"/>
  <c r="J81" i="1"/>
  <c r="I82" i="1"/>
  <c r="J64" i="1"/>
  <c r="I65" i="1"/>
  <c r="I50" i="1"/>
  <c r="J50" i="1" s="1"/>
  <c r="J49" i="1"/>
  <c r="I31" i="1"/>
  <c r="J30" i="1"/>
  <c r="C336" i="5" l="1"/>
  <c r="J270" i="5"/>
  <c r="I271" i="5"/>
  <c r="J271" i="5" s="1"/>
  <c r="J253" i="5"/>
  <c r="I254" i="5"/>
  <c r="J254" i="5" s="1"/>
  <c r="I237" i="5"/>
  <c r="J237" i="5" s="1"/>
  <c r="J236" i="5"/>
  <c r="J219" i="5"/>
  <c r="I220" i="5"/>
  <c r="J220" i="5" s="1"/>
  <c r="I203" i="5"/>
  <c r="J203" i="5" s="1"/>
  <c r="J202" i="5"/>
  <c r="J185" i="5"/>
  <c r="I186" i="5"/>
  <c r="J186" i="5" s="1"/>
  <c r="I169" i="5"/>
  <c r="J169" i="5" s="1"/>
  <c r="J168" i="5"/>
  <c r="I33" i="4"/>
  <c r="J33" i="4" s="1"/>
  <c r="J32" i="4"/>
  <c r="J116" i="4"/>
  <c r="I117" i="4"/>
  <c r="I84" i="4"/>
  <c r="J84" i="4" s="1"/>
  <c r="J83" i="4"/>
  <c r="J15" i="4"/>
  <c r="I16" i="4"/>
  <c r="J16" i="4" s="1"/>
  <c r="J134" i="4"/>
  <c r="I135" i="4"/>
  <c r="J135" i="4" s="1"/>
  <c r="J151" i="4"/>
  <c r="I152" i="4"/>
  <c r="J152" i="4" s="1"/>
  <c r="I101" i="4"/>
  <c r="J101" i="4" s="1"/>
  <c r="J100" i="4"/>
  <c r="J48" i="4"/>
  <c r="I49" i="4"/>
  <c r="I151" i="1"/>
  <c r="J150" i="1"/>
  <c r="I134" i="1"/>
  <c r="J133" i="1"/>
  <c r="I117" i="1"/>
  <c r="J116" i="1"/>
  <c r="I100" i="1"/>
  <c r="J99" i="1"/>
  <c r="I83" i="1"/>
  <c r="J82" i="1"/>
  <c r="I66" i="1"/>
  <c r="J65" i="1"/>
  <c r="J31" i="1"/>
  <c r="I32" i="1"/>
  <c r="C337" i="5" l="1"/>
  <c r="C338" i="5"/>
  <c r="I118" i="4"/>
  <c r="J118" i="4" s="1"/>
  <c r="J117" i="4"/>
  <c r="I50" i="4"/>
  <c r="J50" i="4" s="1"/>
  <c r="J49" i="4"/>
  <c r="I101" i="1"/>
  <c r="J101" i="1" s="1"/>
  <c r="J100" i="1"/>
  <c r="J151" i="1"/>
  <c r="I152" i="1"/>
  <c r="J152" i="1" s="1"/>
  <c r="J134" i="1"/>
  <c r="I135" i="1"/>
  <c r="J135" i="1" s="1"/>
  <c r="J117" i="1"/>
  <c r="I118" i="1"/>
  <c r="J118" i="1" s="1"/>
  <c r="J83" i="1"/>
  <c r="I84" i="1"/>
  <c r="J84" i="1" s="1"/>
  <c r="J66" i="1"/>
  <c r="I67" i="1"/>
  <c r="J67" i="1" s="1"/>
  <c r="I33" i="1"/>
  <c r="J33" i="1" s="1"/>
  <c r="J32" i="1"/>
  <c r="E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40ECA3-FB9A-4BA6-A906-265780F46FCC}" keepAlive="1" name="ThisWorkbookDataModel" description="Modello di dati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A88E4F7-2259-4A9A-8303-D2E34C16D780}" name="WorksheetConnection_Linear Regression for μ!$A$243:$C$246" type="102" refreshedVersion="7" minRefreshableVersion="5">
    <extLst>
      <ext xmlns:x15="http://schemas.microsoft.com/office/spreadsheetml/2010/11/main" uri="{DE250136-89BD-433C-8126-D09CA5730AF9}">
        <x15:connection id="Intervallo">
          <x15:rangePr sourceName="_xlcn.WorksheetConnection_LinearRegressionforμA243C2461"/>
        </x15:connection>
      </ext>
    </extLst>
  </connection>
</connections>
</file>

<file path=xl/sharedStrings.xml><?xml version="1.0" encoding="utf-8"?>
<sst xmlns="http://schemas.openxmlformats.org/spreadsheetml/2006/main" count="595" uniqueCount="96">
  <si>
    <t>Observations δ = 1, μ = 7, λ = 16</t>
  </si>
  <si>
    <t>Sample Mean</t>
  </si>
  <si>
    <t>Sample Variance</t>
  </si>
  <si>
    <t>CoV</t>
  </si>
  <si>
    <t>Ordered Observations</t>
  </si>
  <si>
    <t>Quartiles</t>
  </si>
  <si>
    <t>normal values</t>
  </si>
  <si>
    <t>Sample Median</t>
  </si>
  <si>
    <t>Students Quantile</t>
  </si>
  <si>
    <t>Confidence Interval, 95% confidence</t>
  </si>
  <si>
    <t>Upper Limit</t>
  </si>
  <si>
    <t>Lower Limit</t>
  </si>
  <si>
    <t>Observations δ = 1.5, μ = 7, λ = 16</t>
  </si>
  <si>
    <t>Observations δ = 2, μ = 7, λ = 16</t>
  </si>
  <si>
    <t>Observations δ = 2.5, μ = 7, λ = 16</t>
  </si>
  <si>
    <t>Observations δ = 3, μ = 7, λ = 16</t>
  </si>
  <si>
    <t>Observations δ = 3.5, μ = 7, λ = 16</t>
  </si>
  <si>
    <t>Observations δ = 4, μ = 7, λ = 16</t>
  </si>
  <si>
    <t>Observations δ = 4.5, μ = 7, λ = 16</t>
  </si>
  <si>
    <t>Observations δ = 5, μ = 7, λ = 16</t>
  </si>
  <si>
    <t>Exponential fitting of Q1</t>
  </si>
  <si>
    <t>Factors</t>
  </si>
  <si>
    <t>δ</t>
  </si>
  <si>
    <t>Observations</t>
  </si>
  <si>
    <t>Theoretical</t>
  </si>
  <si>
    <t>δ = 1, μ = 7, λ = 16</t>
  </si>
  <si>
    <t>δ = 1.5, μ = 7, λ = 16</t>
  </si>
  <si>
    <t>δ = 2, μ = 7, λ = 16</t>
  </si>
  <si>
    <t>δ = 2.5, μ = 7, λ = 16</t>
  </si>
  <si>
    <t>δ = 3, μ = 7, λ = 16</t>
  </si>
  <si>
    <t>δ = 3.5, μ = 7, λ = 16</t>
  </si>
  <si>
    <t>δ = 4, μ = 7, λ = 16</t>
  </si>
  <si>
    <t>δ = 4.5, μ = 7, λ = 16</t>
  </si>
  <si>
    <t>δ = 5, μ = 7, λ = 16</t>
  </si>
  <si>
    <t>Linear Fitting of the transformation of Q1</t>
  </si>
  <si>
    <t>log(observations)</t>
  </si>
  <si>
    <t>Residuals</t>
  </si>
  <si>
    <t>Linear regression</t>
  </si>
  <si>
    <t>Slope</t>
  </si>
  <si>
    <t>Offset</t>
  </si>
  <si>
    <t>Testing Normal Residuals</t>
  </si>
  <si>
    <t>Normal Quantiles</t>
  </si>
  <si>
    <t>Testing Constant Std</t>
  </si>
  <si>
    <t>Predicted Response</t>
  </si>
  <si>
    <t>Testing independence</t>
  </si>
  <si>
    <t>Observation ID</t>
  </si>
  <si>
    <t>CI for parameters of Linear regression</t>
  </si>
  <si>
    <t>Students Quantiles</t>
  </si>
  <si>
    <t>SSE</t>
  </si>
  <si>
    <t>Mean</t>
  </si>
  <si>
    <t>Sum Den b1 Confidence</t>
  </si>
  <si>
    <t>Squared Total</t>
  </si>
  <si>
    <t>Upper limit</t>
  </si>
  <si>
    <t>Lower limit</t>
  </si>
  <si>
    <t>SST</t>
  </si>
  <si>
    <t>Coefficent of Determination</t>
  </si>
  <si>
    <t>CI for Predicted response</t>
  </si>
  <si>
    <t>Observations δ = 5, μ = 3, λ = 16</t>
  </si>
  <si>
    <t>Observations δ = 5, μ = 3.5, λ = 16</t>
  </si>
  <si>
    <t>Observations δ = 5, μ = 4, λ = 16</t>
  </si>
  <si>
    <t>Observations δ = 5, μ = 4.5, λ = 16</t>
  </si>
  <si>
    <t>Observations δ = 5, μ = 5, λ = 16</t>
  </si>
  <si>
    <t>Observations δ = 5, μ = 5.5, λ = 16</t>
  </si>
  <si>
    <t>Observations δ = 5, μ = 6, λ = 16</t>
  </si>
  <si>
    <t>Observations δ = 5, μ = 6.5, λ = 16</t>
  </si>
  <si>
    <t>μ</t>
  </si>
  <si>
    <t>δ = 5, μ = 3, λ = 16</t>
  </si>
  <si>
    <t>δ = 5, μ = 3.5, λ = 16</t>
  </si>
  <si>
    <t>δ = 5, μ = 4, λ = 16</t>
  </si>
  <si>
    <t>δ = 5, μ = 4.5, λ = 16</t>
  </si>
  <si>
    <t>δ = 5, μ = 5, λ = 16</t>
  </si>
  <si>
    <t>δ = 5, μ = 5.5, λ = 16</t>
  </si>
  <si>
    <t>δ = 5, μ = 6, λ = 16</t>
  </si>
  <si>
    <t>δ = 5, μ = 6.5, λ = 16</t>
  </si>
  <si>
    <t>Observations δ = 1, μ = 3, λ = 16</t>
  </si>
  <si>
    <t>Observations δ = 2, μ = 3, λ = 16</t>
  </si>
  <si>
    <t>Observations δ = 4, μ = 3, λ = 16</t>
  </si>
  <si>
    <t>Observations δ = 1, μ = 4, λ = 16</t>
  </si>
  <si>
    <t>Observations δ = 2, μ = 4, λ = 16</t>
  </si>
  <si>
    <t>Observations δ = 4, μ = 4, λ = 16</t>
  </si>
  <si>
    <t>Observations δ = 1, μ = 6, λ = 16</t>
  </si>
  <si>
    <t>Observations δ = 2, μ = 6, λ = 16</t>
  </si>
  <si>
    <t>Observations δ = 4, μ = 6, λ = 16</t>
  </si>
  <si>
    <t>δ+μ</t>
  </si>
  <si>
    <t>δ = 1, μ = 3, λ = 16</t>
  </si>
  <si>
    <t>δ = 2, μ = 3, λ = 16</t>
  </si>
  <si>
    <t>δ = 4, μ = 3, λ = 16</t>
  </si>
  <si>
    <t>δ = 1, μ = 4, λ = 16</t>
  </si>
  <si>
    <t>δ = 2, μ = 4, λ = 16</t>
  </si>
  <si>
    <t>δ = 4, μ = 4, λ = 16</t>
  </si>
  <si>
    <t>δ = 1, μ = 6, λ = 16</t>
  </si>
  <si>
    <t>δ = 2, μ = 6, λ = 16</t>
  </si>
  <si>
    <t>δ = 4, μ = 6, λ = 16</t>
  </si>
  <si>
    <t>MWtFxyCi9Ue-Ukc4KGcKoS2itNxxH-FDgbbM8u1d7VxUMlFMWUZUTjFENkxVV000MEdNTEhHTzRLMCQlQCN0PWcu</t>
  </si>
  <si>
    <t>Form1</t>
  </si>
  <si>
    <t>{d3ae7907-6657-4d50-8195-d3383cf3a4f0}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</si>
</sst>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6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3">
    <cellStyle name="Normale" xfId="0" builtinId="0"/>
    <cellStyle name="Normale 2" xfId="1" xr:uid="{8E71B470-63D5-48B2-BDF1-4FC1776B67D5}"/>
    <cellStyle name="Normale 3" xfId="2" xr:uid="{892D0B5B-C599-4922-82D3-3BBD60FDAD44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δ'!$J$2:$J$16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δ'!$H$2:$H$16</c:f>
              <c:numCache>
                <c:formatCode>General</c:formatCode>
                <c:ptCount val="15"/>
                <c:pt idx="0">
                  <c:v>1.6320649617893E-2</c:v>
                </c:pt>
                <c:pt idx="1">
                  <c:v>1.6366951162037999E-2</c:v>
                </c:pt>
                <c:pt idx="2">
                  <c:v>1.6399044507836E-2</c:v>
                </c:pt>
                <c:pt idx="3">
                  <c:v>1.6569913313339998E-2</c:v>
                </c:pt>
                <c:pt idx="4">
                  <c:v>1.6578428317708001E-2</c:v>
                </c:pt>
                <c:pt idx="5">
                  <c:v>1.6605436831945999E-2</c:v>
                </c:pt>
                <c:pt idx="6">
                  <c:v>1.6621592700548998E-2</c:v>
                </c:pt>
                <c:pt idx="7">
                  <c:v>1.6624437236143999E-2</c:v>
                </c:pt>
                <c:pt idx="8">
                  <c:v>1.6634915464653999E-2</c:v>
                </c:pt>
                <c:pt idx="9">
                  <c:v>1.664795091949E-2</c:v>
                </c:pt>
                <c:pt idx="10">
                  <c:v>1.6650887939671E-2</c:v>
                </c:pt>
                <c:pt idx="11">
                  <c:v>1.6706821000998E-2</c:v>
                </c:pt>
                <c:pt idx="12">
                  <c:v>1.6712381942976001E-2</c:v>
                </c:pt>
                <c:pt idx="13">
                  <c:v>1.6731786707302E-2</c:v>
                </c:pt>
                <c:pt idx="14">
                  <c:v>1.6737214160376001E-2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8-48F3-BF73-D28102F79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Exponential</a:t>
            </a:r>
            <a:r>
              <a:rPr lang="it-IT" sz="1800" baseline="0"/>
              <a:t> f</a:t>
            </a:r>
            <a:r>
              <a:rPr lang="it-IT" sz="1800"/>
              <a:t>itting of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5615320252456127"/>
                  <c:y val="0.568494360502234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0,0121e</a:t>
                    </a:r>
                    <a:r>
                      <a:rPr lang="en-US" sz="1600" baseline="30000"/>
                      <a:t>293,65x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δ'!$B$158:$B$167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4.5000000000000005E-3</c:v>
                </c:pt>
                <c:pt idx="9">
                  <c:v>5.0000000000000001E-3</c:v>
                </c:pt>
              </c:numCache>
            </c:numRef>
          </c:xVal>
          <c:yVal>
            <c:numRef>
              <c:f>'Linear Regression for δ'!$C$158:$C$167</c:f>
              <c:numCache>
                <c:formatCode>General</c:formatCode>
                <c:ptCount val="10"/>
                <c:pt idx="0">
                  <c:v>1.2E-2</c:v>
                </c:pt>
                <c:pt idx="1">
                  <c:v>1.6593894121528067E-2</c:v>
                </c:pt>
                <c:pt idx="2">
                  <c:v>1.9076697528669799E-2</c:v>
                </c:pt>
                <c:pt idx="3">
                  <c:v>2.1893523264155935E-2</c:v>
                </c:pt>
                <c:pt idx="4">
                  <c:v>2.51472499688946E-2</c:v>
                </c:pt>
                <c:pt idx="5">
                  <c:v>2.8994171753865535E-2</c:v>
                </c:pt>
                <c:pt idx="6">
                  <c:v>3.3410938260204727E-2</c:v>
                </c:pt>
                <c:pt idx="7">
                  <c:v>3.889313619420761E-2</c:v>
                </c:pt>
                <c:pt idx="8">
                  <c:v>4.5543848159903332E-2</c:v>
                </c:pt>
                <c:pt idx="9">
                  <c:v>5.3688778105251064E-2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4-44AC-ADBF-DDA4D543B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4904"/>
        <c:axId val="326189000"/>
      </c:scatterChart>
      <c:valAx>
        <c:axId val="3261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89000"/>
        <c:crosses val="autoZero"/>
        <c:crossBetween val="midCat"/>
      </c:valAx>
      <c:valAx>
        <c:axId val="3261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Linear Fitting of the transformation of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796136760247107"/>
                  <c:y val="-0.171268277021695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72057483345356"/>
                  <c:y val="0.272233293544878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293,65x - 4,4114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δ'!$B$174:$B$183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4.5000000000000005E-3</c:v>
                </c:pt>
                <c:pt idx="9">
                  <c:v>5.0000000000000001E-3</c:v>
                </c:pt>
              </c:numCache>
            </c:numRef>
          </c:xVal>
          <c:yVal>
            <c:numRef>
              <c:f>'Linear Regression for δ'!$C$174:$C$183</c:f>
              <c:numCache>
                <c:formatCode>General</c:formatCode>
                <c:ptCount val="10"/>
                <c:pt idx="0">
                  <c:v>-4.4228486291941369</c:v>
                </c:pt>
                <c:pt idx="1">
                  <c:v>-4.0987204752878146</c:v>
                </c:pt>
                <c:pt idx="2">
                  <c:v>-3.9592877134425066</c:v>
                </c:pt>
                <c:pt idx="3">
                  <c:v>-3.8215644272625253</c:v>
                </c:pt>
                <c:pt idx="4">
                  <c:v>-3.6830067335881851</c:v>
                </c:pt>
                <c:pt idx="5">
                  <c:v>-3.5406604431982811</c:v>
                </c:pt>
                <c:pt idx="6">
                  <c:v>-3.3988719397930502</c:v>
                </c:pt>
                <c:pt idx="7">
                  <c:v>-3.2469374913760949</c:v>
                </c:pt>
                <c:pt idx="8">
                  <c:v>-3.0890797212598842</c:v>
                </c:pt>
                <c:pt idx="9">
                  <c:v>-2.924551273136843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C0-4E09-9D61-8CA0B105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4904"/>
        <c:axId val="326189000"/>
      </c:scatterChart>
      <c:valAx>
        <c:axId val="3261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89000"/>
        <c:crosses val="autoZero"/>
        <c:crossBetween val="midCat"/>
      </c:valAx>
      <c:valAx>
        <c:axId val="3261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δ'!$C$191:$C$200</c:f>
              <c:numCache>
                <c:formatCode>General</c:formatCode>
                <c:ptCount val="10"/>
                <c:pt idx="0">
                  <c:v>-1.646839288608541</c:v>
                </c:pt>
                <c:pt idx="1">
                  <c:v>-1.0348120568824539</c:v>
                </c:pt>
                <c:pt idx="2">
                  <c:v>-0.67234481227438181</c:v>
                </c:pt>
                <c:pt idx="3">
                  <c:v>-0.38375344638642911</c:v>
                </c:pt>
                <c:pt idx="4">
                  <c:v>-0.12510020748818707</c:v>
                </c:pt>
                <c:pt idx="5">
                  <c:v>0.12510020748818651</c:v>
                </c:pt>
                <c:pt idx="6">
                  <c:v>0.383753446386428</c:v>
                </c:pt>
                <c:pt idx="7">
                  <c:v>0.67234481227438181</c:v>
                </c:pt>
                <c:pt idx="8">
                  <c:v>1.0348120568824539</c:v>
                </c:pt>
                <c:pt idx="9">
                  <c:v>1.6468392886085399</c:v>
                </c:pt>
              </c:numCache>
            </c:numRef>
          </c:xVal>
          <c:yVal>
            <c:numRef>
              <c:f>'Linear Regression for δ'!$A$191:$A$200</c:f>
              <c:numCache>
                <c:formatCode>General</c:formatCode>
                <c:ptCount val="10"/>
                <c:pt idx="0">
                  <c:v>-1.5071939793049438E-2</c:v>
                </c:pt>
                <c:pt idx="1">
                  <c:v>-1.1448629194136473E-2</c:v>
                </c:pt>
                <c:pt idx="2">
                  <c:v>-1.0060443198280922E-2</c:v>
                </c:pt>
                <c:pt idx="3">
                  <c:v>-9.9374913760943429E-3</c:v>
                </c:pt>
                <c:pt idx="4">
                  <c:v>-5.6067335881850866E-3</c:v>
                </c:pt>
                <c:pt idx="5">
                  <c:v>1.1202787401156655E-3</c:v>
                </c:pt>
                <c:pt idx="6">
                  <c:v>2.6355727374749449E-3</c:v>
                </c:pt>
                <c:pt idx="7">
                  <c:v>1.1712286557493456E-2</c:v>
                </c:pt>
                <c:pt idx="8">
                  <c:v>1.8848726863157417E-2</c:v>
                </c:pt>
                <c:pt idx="9">
                  <c:v>1.9079524712186213E-2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3-4D4B-8D73-EEEA910F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52328"/>
        <c:axId val="796255608"/>
      </c:scatterChart>
      <c:valAx>
        <c:axId val="79625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6255608"/>
        <c:crosses val="autoZero"/>
        <c:crossBetween val="midCat"/>
      </c:valAx>
      <c:valAx>
        <c:axId val="79625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625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Testing constant 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 for δ'!$B$204:$B$213</c:f>
              <c:numCache>
                <c:formatCode>General</c:formatCode>
                <c:ptCount val="10"/>
                <c:pt idx="0">
                  <c:v>-4.4114000000000004</c:v>
                </c:pt>
                <c:pt idx="1">
                  <c:v>-4.1177500000000009</c:v>
                </c:pt>
                <c:pt idx="2">
                  <c:v>-3.9709250000000003</c:v>
                </c:pt>
                <c:pt idx="3">
                  <c:v>-3.8241000000000005</c:v>
                </c:pt>
                <c:pt idx="4">
                  <c:v>-3.6772750000000007</c:v>
                </c:pt>
                <c:pt idx="5">
                  <c:v>-3.5304500000000005</c:v>
                </c:pt>
                <c:pt idx="6">
                  <c:v>-3.3836250000000003</c:v>
                </c:pt>
                <c:pt idx="7">
                  <c:v>-3.2368000000000006</c:v>
                </c:pt>
                <c:pt idx="8">
                  <c:v>-3.0899750000000004</c:v>
                </c:pt>
                <c:pt idx="9">
                  <c:v>-2.9431500000000006</c:v>
                </c:pt>
              </c:numCache>
            </c:numRef>
          </c:xVal>
          <c:yVal>
            <c:numRef>
              <c:f>'Linear Regression for δ'!$A$204:$A$213</c:f>
              <c:numCache>
                <c:formatCode>General</c:formatCode>
                <c:ptCount val="10"/>
                <c:pt idx="0">
                  <c:v>-1.1448629194136473E-2</c:v>
                </c:pt>
                <c:pt idx="1">
                  <c:v>1.9079524712186213E-2</c:v>
                </c:pt>
                <c:pt idx="2">
                  <c:v>1.1712286557493456E-2</c:v>
                </c:pt>
                <c:pt idx="3">
                  <c:v>2.6355727374749449E-3</c:v>
                </c:pt>
                <c:pt idx="4">
                  <c:v>-5.6067335881850866E-3</c:v>
                </c:pt>
                <c:pt idx="5">
                  <c:v>-1.0060443198280922E-2</c:v>
                </c:pt>
                <c:pt idx="6">
                  <c:v>-1.5071939793049438E-2</c:v>
                </c:pt>
                <c:pt idx="7">
                  <c:v>-9.9374913760943429E-3</c:v>
                </c:pt>
                <c:pt idx="8">
                  <c:v>1.1202787401156655E-3</c:v>
                </c:pt>
                <c:pt idx="9">
                  <c:v>1.8848726863157417E-2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0-489E-A859-D4019DD17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01632"/>
        <c:axId val="437902288"/>
      </c:scatterChart>
      <c:valAx>
        <c:axId val="4379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902288"/>
        <c:crosses val="autoZero"/>
        <c:crossBetween val="midCat"/>
      </c:valAx>
      <c:valAx>
        <c:axId val="4379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90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Testing Independence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 for δ'!$B$217:$B$226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'Linear Regression for δ'!$A$217:$A$226</c:f>
              <c:numCache>
                <c:formatCode>General</c:formatCode>
                <c:ptCount val="10"/>
                <c:pt idx="0">
                  <c:v>-1.1448629194136473E-2</c:v>
                </c:pt>
                <c:pt idx="1">
                  <c:v>1.9079524712186213E-2</c:v>
                </c:pt>
                <c:pt idx="2">
                  <c:v>1.1712286557493456E-2</c:v>
                </c:pt>
                <c:pt idx="3">
                  <c:v>2.6355727374749449E-3</c:v>
                </c:pt>
                <c:pt idx="4">
                  <c:v>-5.6067335881850866E-3</c:v>
                </c:pt>
                <c:pt idx="5">
                  <c:v>-1.0060443198280922E-2</c:v>
                </c:pt>
                <c:pt idx="6">
                  <c:v>-1.5071939793049438E-2</c:v>
                </c:pt>
                <c:pt idx="7">
                  <c:v>-9.9374913760943429E-3</c:v>
                </c:pt>
                <c:pt idx="8">
                  <c:v>1.1202787401156655E-3</c:v>
                </c:pt>
                <c:pt idx="9">
                  <c:v>1.8848726863157417E-2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A4-42A7-8372-E14BE9859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42304"/>
        <c:axId val="756741320"/>
      </c:scatterChart>
      <c:valAx>
        <c:axId val="7567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741320"/>
        <c:crosses val="autoZero"/>
        <c:crossBetween val="midCat"/>
      </c:valAx>
      <c:valAx>
        <c:axId val="7567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7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μ'!$J$2:$J$16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μ'!$H$2:$H$16</c:f>
              <c:numCache>
                <c:formatCode>General</c:formatCode>
                <c:ptCount val="15"/>
                <c:pt idx="0">
                  <c:v>1.9701354047665001E-2</c:v>
                </c:pt>
                <c:pt idx="1">
                  <c:v>2.0176779764380998E-2</c:v>
                </c:pt>
                <c:pt idx="2">
                  <c:v>2.0192187051539998E-2</c:v>
                </c:pt>
                <c:pt idx="3">
                  <c:v>2.0226648444156E-2</c:v>
                </c:pt>
                <c:pt idx="4">
                  <c:v>2.0254957835305998E-2</c:v>
                </c:pt>
                <c:pt idx="5">
                  <c:v>2.0305062851719999E-2</c:v>
                </c:pt>
                <c:pt idx="6">
                  <c:v>2.0306227426320999E-2</c:v>
                </c:pt>
                <c:pt idx="7">
                  <c:v>2.0340437182820002E-2</c:v>
                </c:pt>
                <c:pt idx="8">
                  <c:v>2.0402853824802E-2</c:v>
                </c:pt>
                <c:pt idx="9">
                  <c:v>2.0423499236159E-2</c:v>
                </c:pt>
                <c:pt idx="10">
                  <c:v>2.0468020701798002E-2</c:v>
                </c:pt>
                <c:pt idx="11">
                  <c:v>2.0470509059707001E-2</c:v>
                </c:pt>
                <c:pt idx="12">
                  <c:v>2.0482180796645998E-2</c:v>
                </c:pt>
                <c:pt idx="13">
                  <c:v>2.0566467702479E-2</c:v>
                </c:pt>
                <c:pt idx="14">
                  <c:v>2.0581195821886E-2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7A-4DA0-9025-30E8B2B04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μ'!$J$19:$J$33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μ'!$H$19:$H$33</c:f>
              <c:numCache>
                <c:formatCode>General</c:formatCode>
                <c:ptCount val="15"/>
                <c:pt idx="0">
                  <c:v>2.2090385913780999E-2</c:v>
                </c:pt>
                <c:pt idx="1">
                  <c:v>2.2280054081655998E-2</c:v>
                </c:pt>
                <c:pt idx="2">
                  <c:v>2.2293744542803001E-2</c:v>
                </c:pt>
                <c:pt idx="3">
                  <c:v>2.2459024684342001E-2</c:v>
                </c:pt>
                <c:pt idx="4">
                  <c:v>2.2570107734837998E-2</c:v>
                </c:pt>
                <c:pt idx="5">
                  <c:v>2.2603117164767001E-2</c:v>
                </c:pt>
                <c:pt idx="6">
                  <c:v>2.2607155902906E-2</c:v>
                </c:pt>
                <c:pt idx="7">
                  <c:v>2.2627010850577001E-2</c:v>
                </c:pt>
                <c:pt idx="8">
                  <c:v>2.2715476757661002E-2</c:v>
                </c:pt>
                <c:pt idx="9">
                  <c:v>2.2768228142400999E-2</c:v>
                </c:pt>
                <c:pt idx="10">
                  <c:v>2.2775267762015002E-2</c:v>
                </c:pt>
                <c:pt idx="11">
                  <c:v>2.2786377464193E-2</c:v>
                </c:pt>
                <c:pt idx="12">
                  <c:v>2.2808905902568E-2</c:v>
                </c:pt>
                <c:pt idx="13">
                  <c:v>2.2928888233016E-2</c:v>
                </c:pt>
                <c:pt idx="14">
                  <c:v>2.2958811444168E-2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C-4516-AF81-911762D06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μ'!$J$36:$J$50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μ'!$H$36:$H$50</c:f>
              <c:numCache>
                <c:formatCode>General</c:formatCode>
                <c:ptCount val="15"/>
                <c:pt idx="0">
                  <c:v>2.447809973505E-2</c:v>
                </c:pt>
                <c:pt idx="1">
                  <c:v>2.4688255547183999E-2</c:v>
                </c:pt>
                <c:pt idx="2">
                  <c:v>2.4742532765240001E-2</c:v>
                </c:pt>
                <c:pt idx="3">
                  <c:v>2.4852332365122E-2</c:v>
                </c:pt>
                <c:pt idx="4">
                  <c:v>2.4972727986246002E-2</c:v>
                </c:pt>
                <c:pt idx="5">
                  <c:v>2.4977563120661E-2</c:v>
                </c:pt>
                <c:pt idx="6">
                  <c:v>2.5016953467381999E-2</c:v>
                </c:pt>
                <c:pt idx="7">
                  <c:v>2.5056280488970999E-2</c:v>
                </c:pt>
                <c:pt idx="8">
                  <c:v>2.5099011343112002E-2</c:v>
                </c:pt>
                <c:pt idx="9">
                  <c:v>2.5122312481092E-2</c:v>
                </c:pt>
                <c:pt idx="10">
                  <c:v>2.5124962532833001E-2</c:v>
                </c:pt>
                <c:pt idx="11">
                  <c:v>2.5231089369008999E-2</c:v>
                </c:pt>
                <c:pt idx="12">
                  <c:v>2.5258338143051E-2</c:v>
                </c:pt>
                <c:pt idx="13">
                  <c:v>2.5489613436552001E-2</c:v>
                </c:pt>
                <c:pt idx="14">
                  <c:v>2.5590398906987E-2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F3-4B81-88AB-9E020EE24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μ'!$J$53:$J$67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μ'!$H$53:$H$67</c:f>
              <c:numCache>
                <c:formatCode>General</c:formatCode>
                <c:ptCount val="15"/>
                <c:pt idx="0">
                  <c:v>2.7243135338163998E-2</c:v>
                </c:pt>
                <c:pt idx="1">
                  <c:v>2.7357397320508001E-2</c:v>
                </c:pt>
                <c:pt idx="2">
                  <c:v>2.7697989787692001E-2</c:v>
                </c:pt>
                <c:pt idx="3">
                  <c:v>2.7774184785303999E-2</c:v>
                </c:pt>
                <c:pt idx="4">
                  <c:v>2.7811832762651999E-2</c:v>
                </c:pt>
                <c:pt idx="5">
                  <c:v>2.8039967832840001E-2</c:v>
                </c:pt>
                <c:pt idx="6">
                  <c:v>2.8067489235124001E-2</c:v>
                </c:pt>
                <c:pt idx="7">
                  <c:v>2.8103203836958E-2</c:v>
                </c:pt>
                <c:pt idx="8">
                  <c:v>2.8111316863665001E-2</c:v>
                </c:pt>
                <c:pt idx="9">
                  <c:v>2.8112815006887001E-2</c:v>
                </c:pt>
                <c:pt idx="10">
                  <c:v>2.8130187323147E-2</c:v>
                </c:pt>
                <c:pt idx="11">
                  <c:v>2.8235019438829001E-2</c:v>
                </c:pt>
                <c:pt idx="12">
                  <c:v>2.8270322938056001E-2</c:v>
                </c:pt>
                <c:pt idx="13">
                  <c:v>2.8357641077529999E-2</c:v>
                </c:pt>
                <c:pt idx="14">
                  <c:v>2.8542442538564E-2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3-411F-940B-320ABCF6B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μ'!$J$70:$J$84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μ'!$H$70:$H$84</c:f>
              <c:numCache>
                <c:formatCode>General</c:formatCode>
                <c:ptCount val="15"/>
                <c:pt idx="0">
                  <c:v>3.0300328539005002E-2</c:v>
                </c:pt>
                <c:pt idx="1">
                  <c:v>3.055358147583E-2</c:v>
                </c:pt>
                <c:pt idx="2">
                  <c:v>3.0825995561397E-2</c:v>
                </c:pt>
                <c:pt idx="3">
                  <c:v>3.0975702446749E-2</c:v>
                </c:pt>
                <c:pt idx="4">
                  <c:v>3.1078979618423999E-2</c:v>
                </c:pt>
                <c:pt idx="5">
                  <c:v>3.1099425098568001E-2</c:v>
                </c:pt>
                <c:pt idx="6">
                  <c:v>3.1298050964283002E-2</c:v>
                </c:pt>
                <c:pt idx="7">
                  <c:v>3.1620401243906998E-2</c:v>
                </c:pt>
                <c:pt idx="8">
                  <c:v>3.1624888759099003E-2</c:v>
                </c:pt>
                <c:pt idx="9">
                  <c:v>3.1675257531659E-2</c:v>
                </c:pt>
                <c:pt idx="10">
                  <c:v>3.1710431494323003E-2</c:v>
                </c:pt>
                <c:pt idx="11">
                  <c:v>3.1718253568135998E-2</c:v>
                </c:pt>
                <c:pt idx="12">
                  <c:v>3.1833972378609E-2</c:v>
                </c:pt>
                <c:pt idx="13">
                  <c:v>3.1886574204877997E-2</c:v>
                </c:pt>
                <c:pt idx="14">
                  <c:v>3.1897522868897001E-2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F-4CFF-B096-78530377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δ'!$J$19:$J$33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δ'!$H$19:$H$33</c:f>
              <c:numCache>
                <c:formatCode>General</c:formatCode>
                <c:ptCount val="15"/>
                <c:pt idx="0">
                  <c:v>1.8636813237599002E-2</c:v>
                </c:pt>
                <c:pt idx="1">
                  <c:v>1.8774891816207999E-2</c:v>
                </c:pt>
                <c:pt idx="2">
                  <c:v>1.8865591169485999E-2</c:v>
                </c:pt>
                <c:pt idx="3">
                  <c:v>1.8977441113615E-2</c:v>
                </c:pt>
                <c:pt idx="4">
                  <c:v>1.9064594930087001E-2</c:v>
                </c:pt>
                <c:pt idx="5">
                  <c:v>1.9098836730524E-2</c:v>
                </c:pt>
                <c:pt idx="6">
                  <c:v>1.910822256025E-2</c:v>
                </c:pt>
                <c:pt idx="7">
                  <c:v>1.9123747882125001E-2</c:v>
                </c:pt>
                <c:pt idx="8">
                  <c:v>1.9128757720969999E-2</c:v>
                </c:pt>
                <c:pt idx="9">
                  <c:v>1.9136670028603999E-2</c:v>
                </c:pt>
                <c:pt idx="10">
                  <c:v>1.9148437442832001E-2</c:v>
                </c:pt>
                <c:pt idx="11">
                  <c:v>1.9246975039608E-2</c:v>
                </c:pt>
                <c:pt idx="12">
                  <c:v>1.9247771159270999E-2</c:v>
                </c:pt>
                <c:pt idx="13">
                  <c:v>1.9290707562725998E-2</c:v>
                </c:pt>
                <c:pt idx="14">
                  <c:v>1.9301004536141999E-2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2-4364-9799-1B61157C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μ'!$J$87:$J$101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μ'!$H$87:$H$101</c:f>
              <c:numCache>
                <c:formatCode>General</c:formatCode>
                <c:ptCount val="15"/>
                <c:pt idx="0">
                  <c:v>3.3640923051398E-2</c:v>
                </c:pt>
                <c:pt idx="1">
                  <c:v>3.4548527762173001E-2</c:v>
                </c:pt>
                <c:pt idx="2">
                  <c:v>3.4657192349296997E-2</c:v>
                </c:pt>
                <c:pt idx="3">
                  <c:v>3.4864519417476002E-2</c:v>
                </c:pt>
                <c:pt idx="4">
                  <c:v>3.5402900073208003E-2</c:v>
                </c:pt>
                <c:pt idx="5">
                  <c:v>3.5462525037686002E-2</c:v>
                </c:pt>
                <c:pt idx="6">
                  <c:v>3.5521278408535001E-2</c:v>
                </c:pt>
                <c:pt idx="7">
                  <c:v>3.5579050635712997E-2</c:v>
                </c:pt>
                <c:pt idx="8">
                  <c:v>3.5590346380151003E-2</c:v>
                </c:pt>
                <c:pt idx="9">
                  <c:v>3.5739108725675997E-2</c:v>
                </c:pt>
                <c:pt idx="10">
                  <c:v>3.5818619535211003E-2</c:v>
                </c:pt>
                <c:pt idx="11">
                  <c:v>3.5883582900061002E-2</c:v>
                </c:pt>
                <c:pt idx="12">
                  <c:v>3.5956749672589002E-2</c:v>
                </c:pt>
                <c:pt idx="13">
                  <c:v>3.6135338893678003E-2</c:v>
                </c:pt>
                <c:pt idx="14">
                  <c:v>3.6277683084762001E-2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B-4885-A29F-31F3BAD11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μ'!$J$104:$J$118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μ'!$H$104:$H$118</c:f>
              <c:numCache>
                <c:formatCode>General</c:formatCode>
                <c:ptCount val="15"/>
                <c:pt idx="0">
                  <c:v>3.9231322043880003E-2</c:v>
                </c:pt>
                <c:pt idx="1">
                  <c:v>3.9491063604585999E-2</c:v>
                </c:pt>
                <c:pt idx="2">
                  <c:v>3.9902903670934999E-2</c:v>
                </c:pt>
                <c:pt idx="3">
                  <c:v>4.0076206096890998E-2</c:v>
                </c:pt>
                <c:pt idx="4">
                  <c:v>4.0132646732727997E-2</c:v>
                </c:pt>
                <c:pt idx="5">
                  <c:v>4.0307464532859001E-2</c:v>
                </c:pt>
                <c:pt idx="6">
                  <c:v>4.0561849935469997E-2</c:v>
                </c:pt>
                <c:pt idx="7">
                  <c:v>4.0621822391529998E-2</c:v>
                </c:pt>
                <c:pt idx="8">
                  <c:v>4.0740171998302002E-2</c:v>
                </c:pt>
                <c:pt idx="9">
                  <c:v>4.0800628505589999E-2</c:v>
                </c:pt>
                <c:pt idx="10">
                  <c:v>4.0850605624959999E-2</c:v>
                </c:pt>
                <c:pt idx="11">
                  <c:v>4.0885490640035001E-2</c:v>
                </c:pt>
                <c:pt idx="12">
                  <c:v>4.0891087159034001E-2</c:v>
                </c:pt>
                <c:pt idx="13">
                  <c:v>4.1135883516084999E-2</c:v>
                </c:pt>
                <c:pt idx="14">
                  <c:v>4.1565002814020001E-2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60-4F26-AA64-4C90CEB3C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μ'!$J$121:$J$135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μ'!$H$121:$H$135</c:f>
              <c:numCache>
                <c:formatCode>General</c:formatCode>
                <c:ptCount val="15"/>
                <c:pt idx="0">
                  <c:v>4.4632720081178003E-2</c:v>
                </c:pt>
                <c:pt idx="1">
                  <c:v>4.4882842307169997E-2</c:v>
                </c:pt>
                <c:pt idx="2">
                  <c:v>4.5341437974616997E-2</c:v>
                </c:pt>
                <c:pt idx="3">
                  <c:v>4.5401462591468003E-2</c:v>
                </c:pt>
                <c:pt idx="4">
                  <c:v>4.5506574953766997E-2</c:v>
                </c:pt>
                <c:pt idx="5">
                  <c:v>4.5602364240119E-2</c:v>
                </c:pt>
                <c:pt idx="6">
                  <c:v>4.5901442820895998E-2</c:v>
                </c:pt>
                <c:pt idx="7">
                  <c:v>4.5908040598366E-2</c:v>
                </c:pt>
                <c:pt idx="8">
                  <c:v>4.6251305436987002E-2</c:v>
                </c:pt>
                <c:pt idx="9">
                  <c:v>4.6275565226653E-2</c:v>
                </c:pt>
                <c:pt idx="10">
                  <c:v>4.6325618055624997E-2</c:v>
                </c:pt>
                <c:pt idx="11">
                  <c:v>4.6360279291754999E-2</c:v>
                </c:pt>
                <c:pt idx="12">
                  <c:v>4.6569977281067002E-2</c:v>
                </c:pt>
                <c:pt idx="13">
                  <c:v>4.7690928906046003E-2</c:v>
                </c:pt>
                <c:pt idx="14">
                  <c:v>4.7916864394151E-2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2-48B0-9A7C-75858CE48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μ'!$J$138:$J$152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μ'!$H$138:$H$152</c:f>
              <c:numCache>
                <c:formatCode>General</c:formatCode>
                <c:ptCount val="15"/>
                <c:pt idx="0">
                  <c:v>5.1216482315226998E-2</c:v>
                </c:pt>
                <c:pt idx="1">
                  <c:v>5.1465253285807998E-2</c:v>
                </c:pt>
                <c:pt idx="2">
                  <c:v>5.3023438675764999E-2</c:v>
                </c:pt>
                <c:pt idx="3">
                  <c:v>5.3145477366407998E-2</c:v>
                </c:pt>
                <c:pt idx="4">
                  <c:v>5.3304457131086003E-2</c:v>
                </c:pt>
                <c:pt idx="5">
                  <c:v>5.3465775062067997E-2</c:v>
                </c:pt>
                <c:pt idx="6">
                  <c:v>5.3585320278143E-2</c:v>
                </c:pt>
                <c:pt idx="7">
                  <c:v>5.3611598159719998E-2</c:v>
                </c:pt>
                <c:pt idx="8">
                  <c:v>5.3684442692662003E-2</c:v>
                </c:pt>
                <c:pt idx="9">
                  <c:v>5.3998690654273998E-2</c:v>
                </c:pt>
                <c:pt idx="10">
                  <c:v>5.4089437411247998E-2</c:v>
                </c:pt>
                <c:pt idx="11">
                  <c:v>5.4184043511845997E-2</c:v>
                </c:pt>
                <c:pt idx="12">
                  <c:v>5.5195393417013003E-2</c:v>
                </c:pt>
                <c:pt idx="13">
                  <c:v>5.5538761306237999E-2</c:v>
                </c:pt>
                <c:pt idx="14">
                  <c:v>5.5823100311259997E-2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6-434C-BAF9-8B8183439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Exponential</a:t>
            </a:r>
            <a:r>
              <a:rPr lang="it-IT" sz="1800" baseline="0"/>
              <a:t> f</a:t>
            </a:r>
            <a:r>
              <a:rPr lang="it-IT" sz="1800"/>
              <a:t>itting of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1875544542439433"/>
                  <c:y val="0.529640586834160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0,0096e</a:t>
                    </a:r>
                    <a:r>
                      <a:rPr lang="en-US" sz="1600" baseline="30000"/>
                      <a:t>240,41x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μ'!$B$158:$B$167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3.5000000000000001E-3</c:v>
                </c:pt>
                <c:pt idx="2">
                  <c:v>4.0000000000000001E-3</c:v>
                </c:pt>
                <c:pt idx="3">
                  <c:v>4.5000000000000005E-3</c:v>
                </c:pt>
                <c:pt idx="4">
                  <c:v>5.0000000000000001E-3</c:v>
                </c:pt>
                <c:pt idx="5">
                  <c:v>5.4999999999999997E-3</c:v>
                </c:pt>
                <c:pt idx="6">
                  <c:v>6.0000000000000001E-3</c:v>
                </c:pt>
                <c:pt idx="7">
                  <c:v>6.5000000000000006E-3</c:v>
                </c:pt>
                <c:pt idx="8">
                  <c:v>7.0000000000000001E-3</c:v>
                </c:pt>
              </c:numCache>
            </c:numRef>
          </c:xVal>
          <c:yVal>
            <c:numRef>
              <c:f>'Linear Regression for μ'!$C$158:$C$167</c:f>
              <c:numCache>
                <c:formatCode>General</c:formatCode>
                <c:ptCount val="10"/>
                <c:pt idx="0">
                  <c:v>2.032655878315907E-2</c:v>
                </c:pt>
                <c:pt idx="1">
                  <c:v>2.2618170438779468E-2</c:v>
                </c:pt>
                <c:pt idx="2">
                  <c:v>2.5046698112566136E-2</c:v>
                </c:pt>
                <c:pt idx="3">
                  <c:v>2.7990329739061334E-2</c:v>
                </c:pt>
                <c:pt idx="4">
                  <c:v>3.1339957716917596E-2</c:v>
                </c:pt>
                <c:pt idx="5">
                  <c:v>3.5405223061840928E-2</c:v>
                </c:pt>
                <c:pt idx="6">
                  <c:v>4.0479609951126996E-2</c:v>
                </c:pt>
                <c:pt idx="7">
                  <c:v>4.6037828277324326E-2</c:v>
                </c:pt>
                <c:pt idx="8">
                  <c:v>5.3688778105251064E-2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0-48CA-A3A3-D95D9A539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4904"/>
        <c:axId val="326189000"/>
      </c:scatterChart>
      <c:valAx>
        <c:axId val="3261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89000"/>
        <c:crosses val="autoZero"/>
        <c:crossBetween val="midCat"/>
      </c:valAx>
      <c:valAx>
        <c:axId val="3261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Linear Fitting of the transformation of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796136760247107"/>
                  <c:y val="-0.171268277021695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49815590644291"/>
                  <c:y val="0.203477462610719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240,41x - 4,6422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μ'!$B$173:$B$181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3.5000000000000001E-3</c:v>
                </c:pt>
                <c:pt idx="2">
                  <c:v>4.0000000000000001E-3</c:v>
                </c:pt>
                <c:pt idx="3">
                  <c:v>4.5000000000000005E-3</c:v>
                </c:pt>
                <c:pt idx="4">
                  <c:v>5.0000000000000001E-3</c:v>
                </c:pt>
                <c:pt idx="5">
                  <c:v>5.4999999999999997E-3</c:v>
                </c:pt>
                <c:pt idx="6">
                  <c:v>6.0000000000000001E-3</c:v>
                </c:pt>
                <c:pt idx="7">
                  <c:v>6.5000000000000006E-3</c:v>
                </c:pt>
                <c:pt idx="8">
                  <c:v>7.0000000000000001E-3</c:v>
                </c:pt>
              </c:numCache>
            </c:numRef>
          </c:xVal>
          <c:yVal>
            <c:numRef>
              <c:f>'Linear Regression for μ'!$C$173:$C$181</c:f>
              <c:numCache>
                <c:formatCode>General</c:formatCode>
                <c:ptCount val="9"/>
                <c:pt idx="0">
                  <c:v>-3.8958269335906577</c:v>
                </c:pt>
                <c:pt idx="1">
                  <c:v>-3.7890016940242348</c:v>
                </c:pt>
                <c:pt idx="2">
                  <c:v>-3.6870132720128193</c:v>
                </c:pt>
                <c:pt idx="3">
                  <c:v>-3.5758961949217598</c:v>
                </c:pt>
                <c:pt idx="4">
                  <c:v>-3.4628613912281909</c:v>
                </c:pt>
                <c:pt idx="5">
                  <c:v>-3.340895925606171</c:v>
                </c:pt>
                <c:pt idx="6">
                  <c:v>-3.2069568896440384</c:v>
                </c:pt>
                <c:pt idx="7">
                  <c:v>-3.0782918665858343</c:v>
                </c:pt>
                <c:pt idx="8">
                  <c:v>-2.924551273136843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2E-490C-BC74-B60F45E0F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4904"/>
        <c:axId val="326189000"/>
      </c:scatterChart>
      <c:valAx>
        <c:axId val="3261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89000"/>
        <c:crosses val="autoZero"/>
        <c:crossBetween val="midCat"/>
      </c:valAx>
      <c:valAx>
        <c:axId val="3261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μ'!$C$189:$C$197</c:f>
              <c:numCache>
                <c:formatCode>General</c:formatCode>
                <c:ptCount val="9"/>
                <c:pt idx="0">
                  <c:v>-1.5948702548629692</c:v>
                </c:pt>
                <c:pt idx="1">
                  <c:v>-0.96558119772402384</c:v>
                </c:pt>
                <c:pt idx="2">
                  <c:v>-0.58740139704861805</c:v>
                </c:pt>
                <c:pt idx="3">
                  <c:v>-0.28101035460789436</c:v>
                </c:pt>
                <c:pt idx="4">
                  <c:v>0</c:v>
                </c:pt>
                <c:pt idx="5">
                  <c:v>0.28101035460789436</c:v>
                </c:pt>
                <c:pt idx="6">
                  <c:v>0.5874013970486186</c:v>
                </c:pt>
                <c:pt idx="7">
                  <c:v>0.96558119772402384</c:v>
                </c:pt>
                <c:pt idx="8">
                  <c:v>1.5948702548629707</c:v>
                </c:pt>
              </c:numCache>
            </c:numRef>
          </c:xVal>
          <c:yVal>
            <c:numRef>
              <c:f>'Linear Regression for μ'!$A$189:$A$197</c:f>
              <c:numCache>
                <c:formatCode>General</c:formatCode>
                <c:ptCount val="9"/>
                <c:pt idx="0">
                  <c:v>-2.2661391228191441E-2</c:v>
                </c:pt>
                <c:pt idx="1">
                  <c:v>-2.0895925606171595E-2</c:v>
                </c:pt>
                <c:pt idx="2">
                  <c:v>-1.5496194921760242E-2</c:v>
                </c:pt>
                <c:pt idx="3">
                  <c:v>-7.1568896440385998E-3</c:v>
                </c:pt>
                <c:pt idx="4">
                  <c:v>-6.4132720128196041E-3</c:v>
                </c:pt>
                <c:pt idx="5">
                  <c:v>1.3081334141658019E-3</c:v>
                </c:pt>
                <c:pt idx="6">
                  <c:v>1.1798305975765366E-2</c:v>
                </c:pt>
                <c:pt idx="7">
                  <c:v>2.5173066409341693E-2</c:v>
                </c:pt>
                <c:pt idx="8">
                  <c:v>3.4848726863156543E-2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E0-4899-B410-016BF6A6C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52328"/>
        <c:axId val="796255608"/>
      </c:scatterChart>
      <c:valAx>
        <c:axId val="79625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6255608"/>
        <c:crosses val="autoZero"/>
        <c:crossBetween val="midCat"/>
      </c:valAx>
      <c:valAx>
        <c:axId val="79625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625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Testing constant 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 for μ'!$B$201:$B$209</c:f>
              <c:numCache>
                <c:formatCode>General</c:formatCode>
                <c:ptCount val="9"/>
                <c:pt idx="0">
                  <c:v>-3.9209699999999996</c:v>
                </c:pt>
                <c:pt idx="1">
                  <c:v>-3.8007649999999997</c:v>
                </c:pt>
                <c:pt idx="2">
                  <c:v>-3.6805599999999998</c:v>
                </c:pt>
                <c:pt idx="3">
                  <c:v>-3.5603549999999995</c:v>
                </c:pt>
                <c:pt idx="4">
                  <c:v>-3.44015</c:v>
                </c:pt>
                <c:pt idx="5">
                  <c:v>-3.3199449999999997</c:v>
                </c:pt>
                <c:pt idx="6">
                  <c:v>-3.1997399999999998</c:v>
                </c:pt>
                <c:pt idx="7">
                  <c:v>-3.0795349999999999</c:v>
                </c:pt>
                <c:pt idx="8">
                  <c:v>-2.9593299999999996</c:v>
                </c:pt>
              </c:numCache>
            </c:numRef>
          </c:xVal>
          <c:yVal>
            <c:numRef>
              <c:f>'Linear Regression for μ'!$A$201:$A$209</c:f>
              <c:numCache>
                <c:formatCode>General</c:formatCode>
                <c:ptCount val="9"/>
                <c:pt idx="0">
                  <c:v>2.5173066409341693E-2</c:v>
                </c:pt>
                <c:pt idx="1">
                  <c:v>1.1798305975765366E-2</c:v>
                </c:pt>
                <c:pt idx="2">
                  <c:v>-6.4132720128196041E-3</c:v>
                </c:pt>
                <c:pt idx="3">
                  <c:v>-1.5496194921760242E-2</c:v>
                </c:pt>
                <c:pt idx="4">
                  <c:v>-2.2661391228191441E-2</c:v>
                </c:pt>
                <c:pt idx="5">
                  <c:v>-2.0895925606171595E-2</c:v>
                </c:pt>
                <c:pt idx="6">
                  <c:v>-7.1568896440385998E-3</c:v>
                </c:pt>
                <c:pt idx="7">
                  <c:v>1.3081334141658019E-3</c:v>
                </c:pt>
                <c:pt idx="8">
                  <c:v>3.4848726863156543E-2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6-4F8A-9213-32F726AB1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01632"/>
        <c:axId val="437902288"/>
      </c:scatterChart>
      <c:valAx>
        <c:axId val="4379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902288"/>
        <c:crosses val="autoZero"/>
        <c:crossBetween val="midCat"/>
      </c:valAx>
      <c:valAx>
        <c:axId val="4379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90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Testing Independence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 for μ'!$B$213:$B$221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'Linear Regression for μ'!$A$213:$A$221</c:f>
              <c:numCache>
                <c:formatCode>General</c:formatCode>
                <c:ptCount val="9"/>
                <c:pt idx="0">
                  <c:v>2.5173066409341693E-2</c:v>
                </c:pt>
                <c:pt idx="1">
                  <c:v>1.1798305975765366E-2</c:v>
                </c:pt>
                <c:pt idx="2">
                  <c:v>-6.4132720128196041E-3</c:v>
                </c:pt>
                <c:pt idx="3">
                  <c:v>-1.5496194921760242E-2</c:v>
                </c:pt>
                <c:pt idx="4">
                  <c:v>-2.2661391228191441E-2</c:v>
                </c:pt>
                <c:pt idx="5">
                  <c:v>-2.0895925606171595E-2</c:v>
                </c:pt>
                <c:pt idx="6">
                  <c:v>-7.1568896440385998E-3</c:v>
                </c:pt>
                <c:pt idx="7">
                  <c:v>1.3081334141658019E-3</c:v>
                </c:pt>
                <c:pt idx="8">
                  <c:v>3.4848726863156543E-2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B-427F-9491-55ADB4A7F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42304"/>
        <c:axId val="756741320"/>
      </c:scatterChart>
      <c:valAx>
        <c:axId val="7567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741320"/>
        <c:crosses val="autoZero"/>
        <c:crossBetween val="midCat"/>
      </c:valAx>
      <c:valAx>
        <c:axId val="7567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7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δμ'!$J$2:$J$16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δμ'!$H$2:$H$16</c:f>
              <c:numCache>
                <c:formatCode>General</c:formatCode>
                <c:ptCount val="15"/>
                <c:pt idx="0">
                  <c:v>5.9039510688023997E-3</c:v>
                </c:pt>
                <c:pt idx="1">
                  <c:v>5.9102327386237998E-3</c:v>
                </c:pt>
                <c:pt idx="2">
                  <c:v>5.9157349342697004E-3</c:v>
                </c:pt>
                <c:pt idx="3">
                  <c:v>5.9182073658740003E-3</c:v>
                </c:pt>
                <c:pt idx="4">
                  <c:v>5.9201713110768996E-3</c:v>
                </c:pt>
                <c:pt idx="5">
                  <c:v>5.9236366692217999E-3</c:v>
                </c:pt>
                <c:pt idx="6">
                  <c:v>5.9266758837765001E-3</c:v>
                </c:pt>
                <c:pt idx="7">
                  <c:v>5.9316881257201002E-3</c:v>
                </c:pt>
                <c:pt idx="8">
                  <c:v>5.9339739628575996E-3</c:v>
                </c:pt>
                <c:pt idx="9">
                  <c:v>5.9506190898324001E-3</c:v>
                </c:pt>
                <c:pt idx="10">
                  <c:v>5.9570088695799E-3</c:v>
                </c:pt>
                <c:pt idx="11">
                  <c:v>5.9603947717543002E-3</c:v>
                </c:pt>
                <c:pt idx="12">
                  <c:v>5.9647605797588004E-3</c:v>
                </c:pt>
                <c:pt idx="13">
                  <c:v>5.9678320422659002E-3</c:v>
                </c:pt>
                <c:pt idx="14">
                  <c:v>5.9864300560022003E-3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7-4C79-8BBE-44DCEC0A6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δ'!$J$36:$J$50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δ'!$H$36:$H$50</c:f>
              <c:numCache>
                <c:formatCode>General</c:formatCode>
                <c:ptCount val="15"/>
                <c:pt idx="0">
                  <c:v>2.1424732896605E-2</c:v>
                </c:pt>
                <c:pt idx="1">
                  <c:v>2.1562872863161001E-2</c:v>
                </c:pt>
                <c:pt idx="2">
                  <c:v>2.1594588519203001E-2</c:v>
                </c:pt>
                <c:pt idx="3">
                  <c:v>2.1770510883377999E-2</c:v>
                </c:pt>
                <c:pt idx="4">
                  <c:v>2.1874996795027E-2</c:v>
                </c:pt>
                <c:pt idx="5">
                  <c:v>2.1928896758872999E-2</c:v>
                </c:pt>
                <c:pt idx="6">
                  <c:v>2.1933521995107001E-2</c:v>
                </c:pt>
                <c:pt idx="7">
                  <c:v>2.1939573620125E-2</c:v>
                </c:pt>
                <c:pt idx="8">
                  <c:v>2.1945257373094999E-2</c:v>
                </c:pt>
                <c:pt idx="9">
                  <c:v>2.1970791125868E-2</c:v>
                </c:pt>
                <c:pt idx="10">
                  <c:v>2.1979465759240001E-2</c:v>
                </c:pt>
                <c:pt idx="11">
                  <c:v>2.2063544498851999E-2</c:v>
                </c:pt>
                <c:pt idx="12">
                  <c:v>2.2118766589286E-2</c:v>
                </c:pt>
                <c:pt idx="13">
                  <c:v>2.2143419977846999E-2</c:v>
                </c:pt>
                <c:pt idx="14">
                  <c:v>2.2151909306672001E-2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4-49DA-94B8-CDBD65C01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δμ'!$J$19:$J$33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δμ'!$H$19:$H$33</c:f>
              <c:numCache>
                <c:formatCode>General</c:formatCode>
                <c:ptCount val="15"/>
                <c:pt idx="0">
                  <c:v>8.4870919729432993E-3</c:v>
                </c:pt>
                <c:pt idx="1">
                  <c:v>8.5201793677645993E-3</c:v>
                </c:pt>
                <c:pt idx="2">
                  <c:v>8.5436515997604004E-3</c:v>
                </c:pt>
                <c:pt idx="3">
                  <c:v>8.5450858973268994E-3</c:v>
                </c:pt>
                <c:pt idx="4">
                  <c:v>8.5499490593693994E-3</c:v>
                </c:pt>
                <c:pt idx="5">
                  <c:v>8.5569240104246998E-3</c:v>
                </c:pt>
                <c:pt idx="6">
                  <c:v>8.5580215421429007E-3</c:v>
                </c:pt>
                <c:pt idx="7">
                  <c:v>8.5614002052148003E-3</c:v>
                </c:pt>
                <c:pt idx="8">
                  <c:v>8.5660817035499992E-3</c:v>
                </c:pt>
                <c:pt idx="9">
                  <c:v>8.5734874189341993E-3</c:v>
                </c:pt>
                <c:pt idx="10">
                  <c:v>8.6042044933048994E-3</c:v>
                </c:pt>
                <c:pt idx="11">
                  <c:v>8.6063691480970997E-3</c:v>
                </c:pt>
                <c:pt idx="12">
                  <c:v>8.6198762213279007E-3</c:v>
                </c:pt>
                <c:pt idx="13">
                  <c:v>8.6339301668779001E-3</c:v>
                </c:pt>
                <c:pt idx="14">
                  <c:v>8.6446183078333991E-3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A-4CD4-B8A3-B934513B3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δμ'!$J$36:$J$50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δμ'!$H$36:$H$50</c:f>
              <c:numCache>
                <c:formatCode>General</c:formatCode>
                <c:ptCount val="15"/>
                <c:pt idx="0">
                  <c:v>1.5272062684336001E-2</c:v>
                </c:pt>
                <c:pt idx="1">
                  <c:v>1.5446348829079E-2</c:v>
                </c:pt>
                <c:pt idx="2">
                  <c:v>1.5475967980257001E-2</c:v>
                </c:pt>
                <c:pt idx="3">
                  <c:v>1.5499485811812E-2</c:v>
                </c:pt>
                <c:pt idx="4">
                  <c:v>1.5529707238844E-2</c:v>
                </c:pt>
                <c:pt idx="5">
                  <c:v>1.5552619492685001E-2</c:v>
                </c:pt>
                <c:pt idx="6">
                  <c:v>1.5580051436815999E-2</c:v>
                </c:pt>
                <c:pt idx="7">
                  <c:v>1.5584345696722001E-2</c:v>
                </c:pt>
                <c:pt idx="8">
                  <c:v>1.5602187977434E-2</c:v>
                </c:pt>
                <c:pt idx="9">
                  <c:v>1.5618095340179E-2</c:v>
                </c:pt>
                <c:pt idx="10">
                  <c:v>1.5619176897755001E-2</c:v>
                </c:pt>
                <c:pt idx="11">
                  <c:v>1.5632223645246E-2</c:v>
                </c:pt>
                <c:pt idx="12">
                  <c:v>1.5680286216145999E-2</c:v>
                </c:pt>
                <c:pt idx="13">
                  <c:v>1.5722582606633999E-2</c:v>
                </c:pt>
                <c:pt idx="14">
                  <c:v>1.5806810552411E-2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0-4FAE-8215-F136B1B86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δμ'!$J$53:$J$67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δμ'!$H$53:$H$67</c:f>
              <c:numCache>
                <c:formatCode>General</c:formatCode>
                <c:ptCount val="15"/>
                <c:pt idx="0">
                  <c:v>1.9701354047665001E-2</c:v>
                </c:pt>
                <c:pt idx="1">
                  <c:v>2.0176779764380998E-2</c:v>
                </c:pt>
                <c:pt idx="2">
                  <c:v>2.0192187051539998E-2</c:v>
                </c:pt>
                <c:pt idx="3">
                  <c:v>2.0226648444156E-2</c:v>
                </c:pt>
                <c:pt idx="4">
                  <c:v>2.0254957835305998E-2</c:v>
                </c:pt>
                <c:pt idx="5">
                  <c:v>2.0305062851719999E-2</c:v>
                </c:pt>
                <c:pt idx="6">
                  <c:v>2.0306227426320999E-2</c:v>
                </c:pt>
                <c:pt idx="7">
                  <c:v>2.0340437182820002E-2</c:v>
                </c:pt>
                <c:pt idx="8">
                  <c:v>2.0402853824802E-2</c:v>
                </c:pt>
                <c:pt idx="9">
                  <c:v>2.0423499236159E-2</c:v>
                </c:pt>
                <c:pt idx="10">
                  <c:v>2.0468020701798002E-2</c:v>
                </c:pt>
                <c:pt idx="11">
                  <c:v>2.0470509059707001E-2</c:v>
                </c:pt>
                <c:pt idx="12">
                  <c:v>2.0482180796645998E-2</c:v>
                </c:pt>
                <c:pt idx="13">
                  <c:v>2.0566467702479E-2</c:v>
                </c:pt>
                <c:pt idx="14">
                  <c:v>2.0581195821886E-2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B-4649-AEE1-E349C5557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δμ'!$J$70:$J$84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δμ'!$H$70:$H$84</c:f>
              <c:numCache>
                <c:formatCode>General</c:formatCode>
                <c:ptCount val="15"/>
                <c:pt idx="0">
                  <c:v>7.8118268814695996E-3</c:v>
                </c:pt>
                <c:pt idx="1">
                  <c:v>7.8258444807650998E-3</c:v>
                </c:pt>
                <c:pt idx="2">
                  <c:v>7.8487917733959002E-3</c:v>
                </c:pt>
                <c:pt idx="3">
                  <c:v>7.8512525306030003E-3</c:v>
                </c:pt>
                <c:pt idx="4">
                  <c:v>7.8569021011867003E-3</c:v>
                </c:pt>
                <c:pt idx="5">
                  <c:v>7.8651935933884004E-3</c:v>
                </c:pt>
                <c:pt idx="6">
                  <c:v>7.8663703541090001E-3</c:v>
                </c:pt>
                <c:pt idx="7">
                  <c:v>7.8670133720369993E-3</c:v>
                </c:pt>
                <c:pt idx="8">
                  <c:v>7.8721808786533006E-3</c:v>
                </c:pt>
                <c:pt idx="9">
                  <c:v>7.8738884246278996E-3</c:v>
                </c:pt>
                <c:pt idx="10">
                  <c:v>7.9085281139326998E-3</c:v>
                </c:pt>
                <c:pt idx="11">
                  <c:v>7.9145039384810999E-3</c:v>
                </c:pt>
                <c:pt idx="12">
                  <c:v>7.9182521128140001E-3</c:v>
                </c:pt>
                <c:pt idx="13">
                  <c:v>7.9187570464681993E-3</c:v>
                </c:pt>
                <c:pt idx="14">
                  <c:v>7.9238569310005006E-3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0-46AB-A04A-EED72594E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δμ'!$J$87:$J$101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δμ'!$H$87:$H$101</c:f>
              <c:numCache>
                <c:formatCode>General</c:formatCode>
                <c:ptCount val="15"/>
                <c:pt idx="0">
                  <c:v>1.0769904611388E-2</c:v>
                </c:pt>
                <c:pt idx="1">
                  <c:v>1.0812745640542999E-2</c:v>
                </c:pt>
                <c:pt idx="2">
                  <c:v>1.0824088669727E-2</c:v>
                </c:pt>
                <c:pt idx="3">
                  <c:v>1.0897115781982001E-2</c:v>
                </c:pt>
                <c:pt idx="4">
                  <c:v>1.0902391896921999E-2</c:v>
                </c:pt>
                <c:pt idx="5">
                  <c:v>1.0905180531857E-2</c:v>
                </c:pt>
                <c:pt idx="6">
                  <c:v>1.0905383084248E-2</c:v>
                </c:pt>
                <c:pt idx="7">
                  <c:v>1.0907692097102999E-2</c:v>
                </c:pt>
                <c:pt idx="8">
                  <c:v>1.091400699231E-2</c:v>
                </c:pt>
                <c:pt idx="9">
                  <c:v>1.0914499132609E-2</c:v>
                </c:pt>
                <c:pt idx="10">
                  <c:v>1.0923233857668E-2</c:v>
                </c:pt>
                <c:pt idx="11">
                  <c:v>1.0933019126919999E-2</c:v>
                </c:pt>
                <c:pt idx="12">
                  <c:v>1.0971973455871E-2</c:v>
                </c:pt>
                <c:pt idx="13">
                  <c:v>1.0987265214092001E-2</c:v>
                </c:pt>
                <c:pt idx="14">
                  <c:v>1.1010851167939E-2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D8-45D2-864D-8BAD5316D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δμ'!$J$104:$J$118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δμ'!$H$104:$H$118</c:f>
              <c:numCache>
                <c:formatCode>General</c:formatCode>
                <c:ptCount val="15"/>
                <c:pt idx="0">
                  <c:v>1.8762890249324999E-2</c:v>
                </c:pt>
                <c:pt idx="1">
                  <c:v>1.9016396094972E-2</c:v>
                </c:pt>
                <c:pt idx="2">
                  <c:v>1.9040997803008001E-2</c:v>
                </c:pt>
                <c:pt idx="3">
                  <c:v>1.9151891414818999E-2</c:v>
                </c:pt>
                <c:pt idx="4">
                  <c:v>1.9209399513879E-2</c:v>
                </c:pt>
                <c:pt idx="5">
                  <c:v>1.9226270664912001E-2</c:v>
                </c:pt>
                <c:pt idx="6">
                  <c:v>1.9232959762312998E-2</c:v>
                </c:pt>
                <c:pt idx="7">
                  <c:v>1.9271729685989E-2</c:v>
                </c:pt>
                <c:pt idx="8">
                  <c:v>1.9308375059687001E-2</c:v>
                </c:pt>
                <c:pt idx="9">
                  <c:v>1.9335340482691001E-2</c:v>
                </c:pt>
                <c:pt idx="10">
                  <c:v>1.9335749688069E-2</c:v>
                </c:pt>
                <c:pt idx="11">
                  <c:v>1.9382379391227E-2</c:v>
                </c:pt>
                <c:pt idx="12">
                  <c:v>1.9409402523902001E-2</c:v>
                </c:pt>
                <c:pt idx="13">
                  <c:v>1.9413061148662002E-2</c:v>
                </c:pt>
                <c:pt idx="14">
                  <c:v>1.9615320223802E-2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2-45C5-86AC-5099E3F28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δμ'!$J$121:$J$135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δμ'!$H$121:$H$135</c:f>
              <c:numCache>
                <c:formatCode>General</c:formatCode>
                <c:ptCount val="15"/>
                <c:pt idx="0">
                  <c:v>2.447809973505E-2</c:v>
                </c:pt>
                <c:pt idx="1">
                  <c:v>2.4688255547183999E-2</c:v>
                </c:pt>
                <c:pt idx="2">
                  <c:v>2.4742532765240001E-2</c:v>
                </c:pt>
                <c:pt idx="3">
                  <c:v>2.4852332365122E-2</c:v>
                </c:pt>
                <c:pt idx="4">
                  <c:v>2.4972727986246002E-2</c:v>
                </c:pt>
                <c:pt idx="5">
                  <c:v>2.4977563120661E-2</c:v>
                </c:pt>
                <c:pt idx="6">
                  <c:v>2.5016953467381999E-2</c:v>
                </c:pt>
                <c:pt idx="7">
                  <c:v>2.5056280488970999E-2</c:v>
                </c:pt>
                <c:pt idx="8">
                  <c:v>2.5099011343112002E-2</c:v>
                </c:pt>
                <c:pt idx="9">
                  <c:v>2.5122312481092E-2</c:v>
                </c:pt>
                <c:pt idx="10">
                  <c:v>2.5124962532833001E-2</c:v>
                </c:pt>
                <c:pt idx="11">
                  <c:v>2.5231089369008999E-2</c:v>
                </c:pt>
                <c:pt idx="12">
                  <c:v>2.5258338143051E-2</c:v>
                </c:pt>
                <c:pt idx="13">
                  <c:v>2.5489613436552001E-2</c:v>
                </c:pt>
                <c:pt idx="14">
                  <c:v>2.5590398906987E-2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5-4E3D-9A63-D60513B7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δμ'!$J$138:$J$152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δμ'!$H$138:$H$152</c:f>
              <c:numCache>
                <c:formatCode>General</c:formatCode>
                <c:ptCount val="15"/>
                <c:pt idx="0">
                  <c:v>1.2848467743589E-2</c:v>
                </c:pt>
                <c:pt idx="1">
                  <c:v>1.2897027694853E-2</c:v>
                </c:pt>
                <c:pt idx="2">
                  <c:v>1.2914984624703E-2</c:v>
                </c:pt>
                <c:pt idx="3">
                  <c:v>1.2998750631437E-2</c:v>
                </c:pt>
                <c:pt idx="4">
                  <c:v>1.3004819341537001E-2</c:v>
                </c:pt>
                <c:pt idx="5">
                  <c:v>1.3025815744365E-2</c:v>
                </c:pt>
                <c:pt idx="6">
                  <c:v>1.3044288498172E-2</c:v>
                </c:pt>
                <c:pt idx="7">
                  <c:v>1.3046813131269999E-2</c:v>
                </c:pt>
                <c:pt idx="8">
                  <c:v>1.306467944773E-2</c:v>
                </c:pt>
                <c:pt idx="9">
                  <c:v>1.3084040541189E-2</c:v>
                </c:pt>
                <c:pt idx="10">
                  <c:v>1.3090389241519E-2</c:v>
                </c:pt>
                <c:pt idx="11">
                  <c:v>1.3093164854977E-2</c:v>
                </c:pt>
                <c:pt idx="12">
                  <c:v>1.3096274155934E-2</c:v>
                </c:pt>
                <c:pt idx="13">
                  <c:v>1.3109355289174E-2</c:v>
                </c:pt>
                <c:pt idx="14">
                  <c:v>1.3116828528796001E-2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D-40B1-82FA-851E8D19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Exponential</a:t>
            </a:r>
            <a:r>
              <a:rPr lang="it-IT" sz="1800" baseline="0"/>
              <a:t> f</a:t>
            </a:r>
            <a:r>
              <a:rPr lang="it-IT" sz="1800"/>
              <a:t>itting of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3290315311571274"/>
                  <c:y val="0.658603850169286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0,0022e</a:t>
                    </a:r>
                    <a:r>
                      <a:rPr lang="en-US" sz="1600" baseline="30000"/>
                      <a:t>266,04x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δμ'!$B$277:$B$292</c:f>
              <c:numCache>
                <c:formatCode>General</c:formatCode>
                <c:ptCount val="16"/>
                <c:pt idx="0">
                  <c:v>4.0000000000000001E-3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8.0000000000000002E-3</c:v>
                </c:pt>
                <c:pt idx="7">
                  <c:v>9.0000000000000011E-3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8.0000000000000002E-3</c:v>
                </c:pt>
                <c:pt idx="13">
                  <c:v>9.0000000000000011E-3</c:v>
                </c:pt>
                <c:pt idx="14">
                  <c:v>1.0999999999999999E-2</c:v>
                </c:pt>
                <c:pt idx="15">
                  <c:v>1.2E-2</c:v>
                </c:pt>
              </c:numCache>
            </c:numRef>
          </c:xVal>
          <c:yVal>
            <c:numRef>
              <c:f>'Linear Regression for δμ'!$C$277:$C$292</c:f>
              <c:numCache>
                <c:formatCode>General</c:formatCode>
                <c:ptCount val="16"/>
                <c:pt idx="0">
                  <c:v>5.9380878312944195E-3</c:v>
                </c:pt>
                <c:pt idx="1">
                  <c:v>8.5713914076581601E-3</c:v>
                </c:pt>
                <c:pt idx="2">
                  <c:v>1.55747968270904E-2</c:v>
                </c:pt>
                <c:pt idx="3">
                  <c:v>2.0326558783159067E-2</c:v>
                </c:pt>
                <c:pt idx="4">
                  <c:v>7.8748775021954924E-3</c:v>
                </c:pt>
                <c:pt idx="5">
                  <c:v>1.09052900840786E-2</c:v>
                </c:pt>
                <c:pt idx="6">
                  <c:v>1.9247477580483799E-2</c:v>
                </c:pt>
                <c:pt idx="7">
                  <c:v>2.5046698112566136E-2</c:v>
                </c:pt>
                <c:pt idx="8">
                  <c:v>1.3029046631282999E-2</c:v>
                </c:pt>
                <c:pt idx="9">
                  <c:v>1.7304514004518802E-2</c:v>
                </c:pt>
                <c:pt idx="10">
                  <c:v>3.0142834526543531E-2</c:v>
                </c:pt>
                <c:pt idx="11">
                  <c:v>4.0479609951127003E-2</c:v>
                </c:pt>
                <c:pt idx="12">
                  <c:v>1.6593894121528063E-2</c:v>
                </c:pt>
                <c:pt idx="13">
                  <c:v>2.1893523264155935E-2</c:v>
                </c:pt>
                <c:pt idx="14">
                  <c:v>3.8893136194207603E-2</c:v>
                </c:pt>
                <c:pt idx="15">
                  <c:v>5.3688778105251064E-2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9-41B5-AC11-0CBBA560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4904"/>
        <c:axId val="326189000"/>
      </c:scatterChart>
      <c:valAx>
        <c:axId val="3261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89000"/>
        <c:crosses val="autoZero"/>
        <c:crossBetween val="midCat"/>
      </c:valAx>
      <c:valAx>
        <c:axId val="3261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Linear Fitting of the transformation of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796136760247107"/>
                  <c:y val="-0.171268277021695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636860865531265"/>
                  <c:y val="0.373228108822295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266,04x - 6,1372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δμ'!$B$300:$B$315</c:f>
              <c:numCache>
                <c:formatCode>General</c:formatCode>
                <c:ptCount val="16"/>
                <c:pt idx="0">
                  <c:v>4.0000000000000001E-3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8.0000000000000002E-3</c:v>
                </c:pt>
                <c:pt idx="7">
                  <c:v>9.0000000000000011E-3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8.0000000000000002E-3</c:v>
                </c:pt>
                <c:pt idx="13">
                  <c:v>9.0000000000000011E-3</c:v>
                </c:pt>
                <c:pt idx="14">
                  <c:v>1.0999999999999999E-2</c:v>
                </c:pt>
                <c:pt idx="15">
                  <c:v>1.2E-2</c:v>
                </c:pt>
              </c:numCache>
            </c:numRef>
          </c:xVal>
          <c:yVal>
            <c:numRef>
              <c:f>'Linear Regression for δμ'!$C$300:$C$315</c:f>
              <c:numCache>
                <c:formatCode>General</c:formatCode>
                <c:ptCount val="16"/>
                <c:pt idx="0">
                  <c:v>-5.1263681113564914</c:v>
                </c:pt>
                <c:pt idx="1">
                  <c:v>-4.7593252015979637</c:v>
                </c:pt>
                <c:pt idx="2">
                  <c:v>-4.1621012592033093</c:v>
                </c:pt>
                <c:pt idx="3">
                  <c:v>-3.8958269335906577</c:v>
                </c:pt>
                <c:pt idx="4">
                  <c:v>-4.8440776496681881</c:v>
                </c:pt>
                <c:pt idx="5">
                  <c:v>-4.5185072786664264</c:v>
                </c:pt>
                <c:pt idx="6">
                  <c:v>-3.9503752616142132</c:v>
                </c:pt>
                <c:pt idx="7">
                  <c:v>-3.6870132720128193</c:v>
                </c:pt>
                <c:pt idx="8">
                  <c:v>-4.3405740577299854</c:v>
                </c:pt>
                <c:pt idx="9">
                  <c:v>-4.0567878863967479</c:v>
                </c:pt>
                <c:pt idx="10">
                  <c:v>-3.5018080448659084</c:v>
                </c:pt>
                <c:pt idx="11">
                  <c:v>-3.2069568896440384</c:v>
                </c:pt>
                <c:pt idx="12">
                  <c:v>-4.0987204752878146</c:v>
                </c:pt>
                <c:pt idx="13">
                  <c:v>-3.8215644272625253</c:v>
                </c:pt>
                <c:pt idx="14">
                  <c:v>-3.2469374913760949</c:v>
                </c:pt>
                <c:pt idx="15">
                  <c:v>-2.924551273136843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DE-4B04-B3F8-22E37C256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4904"/>
        <c:axId val="326189000"/>
      </c:scatterChart>
      <c:valAx>
        <c:axId val="3261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89000"/>
        <c:crosses val="autoZero"/>
        <c:crossBetween val="midCat"/>
      </c:valAx>
      <c:valAx>
        <c:axId val="3261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δ'!$J$53:$J$67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δ'!$H$53:$H$67</c:f>
              <c:numCache>
                <c:formatCode>General</c:formatCode>
                <c:ptCount val="15"/>
                <c:pt idx="0">
                  <c:v>2.4486818607763999E-2</c:v>
                </c:pt>
                <c:pt idx="1">
                  <c:v>2.4670482260948E-2</c:v>
                </c:pt>
                <c:pt idx="2">
                  <c:v>2.4711704791606001E-2</c:v>
                </c:pt>
                <c:pt idx="3">
                  <c:v>2.5036280311630001E-2</c:v>
                </c:pt>
                <c:pt idx="4">
                  <c:v>2.5119969068928001E-2</c:v>
                </c:pt>
                <c:pt idx="5">
                  <c:v>2.5163988900502001E-2</c:v>
                </c:pt>
                <c:pt idx="6">
                  <c:v>2.519969575172E-2</c:v>
                </c:pt>
                <c:pt idx="7">
                  <c:v>2.5199791189437E-2</c:v>
                </c:pt>
                <c:pt idx="8">
                  <c:v>2.5201302760572999E-2</c:v>
                </c:pt>
                <c:pt idx="9">
                  <c:v>2.5207621163306E-2</c:v>
                </c:pt>
                <c:pt idx="10">
                  <c:v>2.5327841290880001E-2</c:v>
                </c:pt>
                <c:pt idx="11">
                  <c:v>2.538967126181E-2</c:v>
                </c:pt>
                <c:pt idx="12">
                  <c:v>2.5421698428731002E-2</c:v>
                </c:pt>
                <c:pt idx="13">
                  <c:v>2.5478807962536001E-2</c:v>
                </c:pt>
                <c:pt idx="14">
                  <c:v>2.5593075783048001E-2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1D-4813-9EC6-C823CAD61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δμ'!$C$323:$C$338</c:f>
              <c:numCache>
                <c:formatCode>General</c:formatCode>
                <c:ptCount val="16"/>
                <c:pt idx="0">
                  <c:v>-1.8657648402099227</c:v>
                </c:pt>
                <c:pt idx="1">
                  <c:v>-1.3178098407415364</c:v>
                </c:pt>
                <c:pt idx="2">
                  <c:v>-1.0082783038771823</c:v>
                </c:pt>
                <c:pt idx="3">
                  <c:v>-0.77427005635431245</c:v>
                </c:pt>
                <c:pt idx="4">
                  <c:v>-0.57709366971925891</c:v>
                </c:pt>
                <c:pt idx="5">
                  <c:v>-0.4006301257381869</c:v>
                </c:pt>
                <c:pt idx="6">
                  <c:v>-0.23617194000999964</c:v>
                </c:pt>
                <c:pt idx="7">
                  <c:v>-7.8059966366998385E-2</c:v>
                </c:pt>
                <c:pt idx="8">
                  <c:v>7.8059966366998385E-2</c:v>
                </c:pt>
                <c:pt idx="9">
                  <c:v>0.23617194000999964</c:v>
                </c:pt>
                <c:pt idx="10">
                  <c:v>0.4006301257381869</c:v>
                </c:pt>
                <c:pt idx="11">
                  <c:v>0.57709366971925891</c:v>
                </c:pt>
                <c:pt idx="12">
                  <c:v>0.77427005635431245</c:v>
                </c:pt>
                <c:pt idx="13">
                  <c:v>1.0082783038771823</c:v>
                </c:pt>
                <c:pt idx="14">
                  <c:v>1.3178098407415364</c:v>
                </c:pt>
                <c:pt idx="15">
                  <c:v>1.8657648402099227</c:v>
                </c:pt>
              </c:numCache>
            </c:numRef>
          </c:xVal>
          <c:yVal>
            <c:numRef>
              <c:f>'Linear Regression for δμ'!$A$323:$A$338</c:f>
              <c:numCache>
                <c:formatCode>General</c:formatCode>
                <c:ptCount val="16"/>
                <c:pt idx="0">
                  <c:v>-8.9840475287815025E-2</c:v>
                </c:pt>
                <c:pt idx="1">
                  <c:v>-7.8724427262525154E-2</c:v>
                </c:pt>
                <c:pt idx="2">
                  <c:v>-6.565405772998556E-2</c:v>
                </c:pt>
                <c:pt idx="3">
                  <c:v>-5.3328111356491625E-2</c:v>
                </c:pt>
                <c:pt idx="4">
                  <c:v>-4.7907886396748367E-2</c:v>
                </c:pt>
                <c:pt idx="5">
                  <c:v>-3.7077649668187718E-2</c:v>
                </c:pt>
                <c:pt idx="6">
                  <c:v>-3.6177491376094828E-2</c:v>
                </c:pt>
                <c:pt idx="7">
                  <c:v>-2.5008044865908019E-2</c:v>
                </c:pt>
                <c:pt idx="8">
                  <c:v>3.8031103559621471E-3</c:v>
                </c:pt>
                <c:pt idx="9">
                  <c:v>2.0168726863156294E-2</c:v>
                </c:pt>
                <c:pt idx="10">
                  <c:v>2.2452721333573677E-2</c:v>
                </c:pt>
                <c:pt idx="11">
                  <c:v>4.76747984020367E-2</c:v>
                </c:pt>
                <c:pt idx="12">
                  <c:v>5.5826727987180469E-2</c:v>
                </c:pt>
                <c:pt idx="13">
                  <c:v>5.8504738385787292E-2</c:v>
                </c:pt>
                <c:pt idx="14">
                  <c:v>0.11281874079669052</c:v>
                </c:pt>
                <c:pt idx="15">
                  <c:v>0.11305306640934276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3-45A4-A1F3-3CEC84C45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52328"/>
        <c:axId val="796255608"/>
      </c:scatterChart>
      <c:valAx>
        <c:axId val="79625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6255608"/>
        <c:crosses val="autoZero"/>
        <c:crossBetween val="midCat"/>
      </c:valAx>
      <c:valAx>
        <c:axId val="79625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625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Testing constant 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 for δμ'!$B$342:$B$357</c:f>
              <c:numCache>
                <c:formatCode>General</c:formatCode>
                <c:ptCount val="16"/>
                <c:pt idx="0">
                  <c:v>-6.1372</c:v>
                </c:pt>
                <c:pt idx="1">
                  <c:v>-5.0730399999999998</c:v>
                </c:pt>
                <c:pt idx="2">
                  <c:v>-4.8070000000000004</c:v>
                </c:pt>
                <c:pt idx="3">
                  <c:v>-4.2749199999999998</c:v>
                </c:pt>
                <c:pt idx="4">
                  <c:v>-4.0088799999999996</c:v>
                </c:pt>
                <c:pt idx="5">
                  <c:v>-4.8070000000000004</c:v>
                </c:pt>
                <c:pt idx="6">
                  <c:v>-4.5409600000000001</c:v>
                </c:pt>
                <c:pt idx="7">
                  <c:v>-4.0088799999999996</c:v>
                </c:pt>
                <c:pt idx="8">
                  <c:v>-3.7428399999999997</c:v>
                </c:pt>
                <c:pt idx="9">
                  <c:v>-4.2749199999999998</c:v>
                </c:pt>
                <c:pt idx="10">
                  <c:v>-4.0088799999999996</c:v>
                </c:pt>
                <c:pt idx="11">
                  <c:v>-3.4767999999999999</c:v>
                </c:pt>
                <c:pt idx="12">
                  <c:v>-3.2107600000000001</c:v>
                </c:pt>
                <c:pt idx="13">
                  <c:v>-4.0088799999999996</c:v>
                </c:pt>
                <c:pt idx="14">
                  <c:v>-3.7428399999999997</c:v>
                </c:pt>
                <c:pt idx="15">
                  <c:v>-3.2107600000000001</c:v>
                </c:pt>
              </c:numCache>
            </c:numRef>
          </c:xVal>
          <c:yVal>
            <c:numRef>
              <c:f>'Linear Regression for δμ'!$A$342:$A$357</c:f>
              <c:numCache>
                <c:formatCode>General</c:formatCode>
                <c:ptCount val="16"/>
                <c:pt idx="0">
                  <c:v>-8.9840475287815025E-2</c:v>
                </c:pt>
                <c:pt idx="1">
                  <c:v>-7.8724427262525154E-2</c:v>
                </c:pt>
                <c:pt idx="2">
                  <c:v>-6.565405772998556E-2</c:v>
                </c:pt>
                <c:pt idx="3">
                  <c:v>-5.3328111356491625E-2</c:v>
                </c:pt>
                <c:pt idx="4">
                  <c:v>-4.7907886396748367E-2</c:v>
                </c:pt>
                <c:pt idx="5">
                  <c:v>-3.7077649668187718E-2</c:v>
                </c:pt>
                <c:pt idx="6">
                  <c:v>-3.6177491376094828E-2</c:v>
                </c:pt>
                <c:pt idx="7">
                  <c:v>-2.5008044865908019E-2</c:v>
                </c:pt>
                <c:pt idx="8">
                  <c:v>3.8031103559621471E-3</c:v>
                </c:pt>
                <c:pt idx="9">
                  <c:v>2.0168726863156294E-2</c:v>
                </c:pt>
                <c:pt idx="10">
                  <c:v>2.2452721333573677E-2</c:v>
                </c:pt>
                <c:pt idx="11">
                  <c:v>4.76747984020367E-2</c:v>
                </c:pt>
                <c:pt idx="12">
                  <c:v>5.5826727987180469E-2</c:v>
                </c:pt>
                <c:pt idx="13">
                  <c:v>5.8504738385787292E-2</c:v>
                </c:pt>
                <c:pt idx="14">
                  <c:v>0.11281874079669052</c:v>
                </c:pt>
                <c:pt idx="15">
                  <c:v>0.11305306640934276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6-4964-87ED-D8C379CE6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01632"/>
        <c:axId val="437902288"/>
      </c:scatterChart>
      <c:valAx>
        <c:axId val="4379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902288"/>
        <c:crosses val="autoZero"/>
        <c:crossBetween val="midCat"/>
      </c:valAx>
      <c:valAx>
        <c:axId val="4379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90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Testing Independence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 for δμ'!$B$361:$B$376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'Linear Regression for δμ'!$A$361:$A$376</c:f>
              <c:numCache>
                <c:formatCode>General</c:formatCode>
                <c:ptCount val="16"/>
                <c:pt idx="0">
                  <c:v>-5.3328111356491625E-2</c:v>
                </c:pt>
                <c:pt idx="1">
                  <c:v>4.76747984020367E-2</c:v>
                </c:pt>
                <c:pt idx="2">
                  <c:v>0.11281874079669052</c:v>
                </c:pt>
                <c:pt idx="3">
                  <c:v>0.11305306640934276</c:v>
                </c:pt>
                <c:pt idx="4">
                  <c:v>-3.7077649668187718E-2</c:v>
                </c:pt>
                <c:pt idx="5">
                  <c:v>2.2452721333573677E-2</c:v>
                </c:pt>
                <c:pt idx="6">
                  <c:v>5.8504738385787292E-2</c:v>
                </c:pt>
                <c:pt idx="7">
                  <c:v>5.5826727987180469E-2</c:v>
                </c:pt>
                <c:pt idx="8">
                  <c:v>-6.565405772998556E-2</c:v>
                </c:pt>
                <c:pt idx="9">
                  <c:v>-4.7907886396748367E-2</c:v>
                </c:pt>
                <c:pt idx="10">
                  <c:v>-2.5008044865908019E-2</c:v>
                </c:pt>
                <c:pt idx="11">
                  <c:v>3.8031103559621471E-3</c:v>
                </c:pt>
                <c:pt idx="12">
                  <c:v>-8.9840475287815025E-2</c:v>
                </c:pt>
                <c:pt idx="13">
                  <c:v>-7.8724427262525154E-2</c:v>
                </c:pt>
                <c:pt idx="14">
                  <c:v>-3.6177491376094828E-2</c:v>
                </c:pt>
                <c:pt idx="15">
                  <c:v>2.0168726863156294E-2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F-49F2-8B7C-4FFB2EE76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42304"/>
        <c:axId val="756741320"/>
      </c:scatterChart>
      <c:valAx>
        <c:axId val="7567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741320"/>
        <c:crosses val="autoZero"/>
        <c:crossBetween val="midCat"/>
      </c:valAx>
      <c:valAx>
        <c:axId val="7567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7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δμ'!$J$155:$J$169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δμ'!$H$155:$H$169</c:f>
              <c:numCache>
                <c:formatCode>General</c:formatCode>
                <c:ptCount val="15"/>
                <c:pt idx="0">
                  <c:v>1.6971660958649999E-2</c:v>
                </c:pt>
                <c:pt idx="1">
                  <c:v>1.7027920479135001E-2</c:v>
                </c:pt>
                <c:pt idx="2">
                  <c:v>1.7106672524507999E-2</c:v>
                </c:pt>
                <c:pt idx="3">
                  <c:v>1.7271154660033001E-2</c:v>
                </c:pt>
                <c:pt idx="4">
                  <c:v>1.7290912615869999E-2</c:v>
                </c:pt>
                <c:pt idx="5">
                  <c:v>1.7308618335931999E-2</c:v>
                </c:pt>
                <c:pt idx="6">
                  <c:v>1.7311913782978E-2</c:v>
                </c:pt>
                <c:pt idx="7">
                  <c:v>1.7350872735697E-2</c:v>
                </c:pt>
                <c:pt idx="8">
                  <c:v>1.7354484537205998E-2</c:v>
                </c:pt>
                <c:pt idx="9">
                  <c:v>1.7393334069211001E-2</c:v>
                </c:pt>
                <c:pt idx="10">
                  <c:v>1.7419034600726E-2</c:v>
                </c:pt>
                <c:pt idx="11">
                  <c:v>1.7420910765888999E-2</c:v>
                </c:pt>
                <c:pt idx="12">
                  <c:v>1.7424378839236001E-2</c:v>
                </c:pt>
                <c:pt idx="13">
                  <c:v>1.7429234255782002E-2</c:v>
                </c:pt>
                <c:pt idx="14">
                  <c:v>1.7486606906928999E-2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80-4500-A552-CBA7ACD0D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δμ'!$J$172:$J$186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δμ'!$H$172:$H$186</c:f>
              <c:numCache>
                <c:formatCode>General</c:formatCode>
                <c:ptCount val="15"/>
                <c:pt idx="0">
                  <c:v>2.9099012236765E-2</c:v>
                </c:pt>
                <c:pt idx="1">
                  <c:v>2.9325972242639001E-2</c:v>
                </c:pt>
                <c:pt idx="2">
                  <c:v>2.9565048054563E-2</c:v>
                </c:pt>
                <c:pt idx="3">
                  <c:v>3.0071979133532E-2</c:v>
                </c:pt>
                <c:pt idx="4">
                  <c:v>3.0109448745050001E-2</c:v>
                </c:pt>
                <c:pt idx="5">
                  <c:v>3.0171752770158999E-2</c:v>
                </c:pt>
                <c:pt idx="6">
                  <c:v>3.0185206731427001E-2</c:v>
                </c:pt>
                <c:pt idx="7">
                  <c:v>3.0235075419063999E-2</c:v>
                </c:pt>
                <c:pt idx="8">
                  <c:v>3.0253112763802999E-2</c:v>
                </c:pt>
                <c:pt idx="9">
                  <c:v>3.0262650744380001E-2</c:v>
                </c:pt>
                <c:pt idx="10">
                  <c:v>3.0284405246576999E-2</c:v>
                </c:pt>
                <c:pt idx="11">
                  <c:v>3.0422496488986001E-2</c:v>
                </c:pt>
                <c:pt idx="12">
                  <c:v>3.0426397908926001E-2</c:v>
                </c:pt>
                <c:pt idx="13">
                  <c:v>3.0723477911195E-2</c:v>
                </c:pt>
                <c:pt idx="14">
                  <c:v>3.1006481501087001E-2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B7-4AB3-882E-AA5C19C2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δμ'!$J$189:$J$203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δμ'!$H$189:$H$203</c:f>
              <c:numCache>
                <c:formatCode>General</c:formatCode>
                <c:ptCount val="15"/>
                <c:pt idx="0">
                  <c:v>3.9231322043880003E-2</c:v>
                </c:pt>
                <c:pt idx="1">
                  <c:v>3.9491063604585999E-2</c:v>
                </c:pt>
                <c:pt idx="2">
                  <c:v>3.9902903670934999E-2</c:v>
                </c:pt>
                <c:pt idx="3">
                  <c:v>4.0076206096890998E-2</c:v>
                </c:pt>
                <c:pt idx="4">
                  <c:v>4.0132646732727997E-2</c:v>
                </c:pt>
                <c:pt idx="5">
                  <c:v>4.0307464532859001E-2</c:v>
                </c:pt>
                <c:pt idx="6">
                  <c:v>4.0561849935469997E-2</c:v>
                </c:pt>
                <c:pt idx="7">
                  <c:v>4.0621822391529998E-2</c:v>
                </c:pt>
                <c:pt idx="8">
                  <c:v>4.0740171998302002E-2</c:v>
                </c:pt>
                <c:pt idx="9">
                  <c:v>4.0800628505589999E-2</c:v>
                </c:pt>
                <c:pt idx="10">
                  <c:v>4.0850605624959999E-2</c:v>
                </c:pt>
                <c:pt idx="11">
                  <c:v>4.0885490640035001E-2</c:v>
                </c:pt>
                <c:pt idx="12">
                  <c:v>4.0891087159034001E-2</c:v>
                </c:pt>
                <c:pt idx="13">
                  <c:v>4.1135883516084999E-2</c:v>
                </c:pt>
                <c:pt idx="14">
                  <c:v>4.1565002814020001E-2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E-4DF8-AAAB-E6B6F60F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δμ'!$J$257:$J$271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δμ'!$H$257:$H$271</c:f>
              <c:numCache>
                <c:formatCode>General</c:formatCode>
                <c:ptCount val="15"/>
                <c:pt idx="0">
                  <c:v>5.1216482315226998E-2</c:v>
                </c:pt>
                <c:pt idx="1">
                  <c:v>5.1465253285807998E-2</c:v>
                </c:pt>
                <c:pt idx="2">
                  <c:v>5.3023438675764999E-2</c:v>
                </c:pt>
                <c:pt idx="3">
                  <c:v>5.3145477366407998E-2</c:v>
                </c:pt>
                <c:pt idx="4">
                  <c:v>5.3304457131086003E-2</c:v>
                </c:pt>
                <c:pt idx="5">
                  <c:v>5.3465775062067997E-2</c:v>
                </c:pt>
                <c:pt idx="6">
                  <c:v>5.3585320278143E-2</c:v>
                </c:pt>
                <c:pt idx="7">
                  <c:v>5.3611598159719998E-2</c:v>
                </c:pt>
                <c:pt idx="8">
                  <c:v>5.3684442692662003E-2</c:v>
                </c:pt>
                <c:pt idx="9">
                  <c:v>5.3998690654273998E-2</c:v>
                </c:pt>
                <c:pt idx="10">
                  <c:v>5.4089437411247998E-2</c:v>
                </c:pt>
                <c:pt idx="11">
                  <c:v>5.4184043511845997E-2</c:v>
                </c:pt>
                <c:pt idx="12">
                  <c:v>5.5195393417013003E-2</c:v>
                </c:pt>
                <c:pt idx="13">
                  <c:v>5.5538761306237999E-2</c:v>
                </c:pt>
                <c:pt idx="14">
                  <c:v>5.5823100311259997E-2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CF-4894-90DE-478510FF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δμ'!$J$240:$J$254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δμ'!$H$240:$H$254</c:f>
              <c:numCache>
                <c:formatCode>General</c:formatCode>
                <c:ptCount val="15"/>
                <c:pt idx="0">
                  <c:v>3.7496986998924002E-2</c:v>
                </c:pt>
                <c:pt idx="1">
                  <c:v>3.8151968240382E-2</c:v>
                </c:pt>
                <c:pt idx="2">
                  <c:v>3.8441667004722999E-2</c:v>
                </c:pt>
                <c:pt idx="3">
                  <c:v>3.8501527520209002E-2</c:v>
                </c:pt>
                <c:pt idx="4">
                  <c:v>3.8570665153788E-2</c:v>
                </c:pt>
                <c:pt idx="5">
                  <c:v>3.8875581114678003E-2</c:v>
                </c:pt>
                <c:pt idx="6">
                  <c:v>3.8897805754268003E-2</c:v>
                </c:pt>
                <c:pt idx="7">
                  <c:v>3.9032425436666997E-2</c:v>
                </c:pt>
                <c:pt idx="8">
                  <c:v>3.9074371882492E-2</c:v>
                </c:pt>
                <c:pt idx="9">
                  <c:v>3.9246227655424001E-2</c:v>
                </c:pt>
                <c:pt idx="10">
                  <c:v>3.9332881056812999E-2</c:v>
                </c:pt>
                <c:pt idx="11">
                  <c:v>3.9341084622900001E-2</c:v>
                </c:pt>
                <c:pt idx="12">
                  <c:v>3.9386543815479999E-2</c:v>
                </c:pt>
                <c:pt idx="13">
                  <c:v>3.9476470213409998E-2</c:v>
                </c:pt>
                <c:pt idx="14">
                  <c:v>3.9570836442956003E-2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E9-4332-9613-5F4943C74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δμ'!$J$223:$J$237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δμ'!$H$223:$H$237</c:f>
              <c:numCache>
                <c:formatCode>General</c:formatCode>
                <c:ptCount val="15"/>
                <c:pt idx="0">
                  <c:v>2.1424732896605E-2</c:v>
                </c:pt>
                <c:pt idx="1">
                  <c:v>2.1562872863161001E-2</c:v>
                </c:pt>
                <c:pt idx="2">
                  <c:v>2.1594588519203001E-2</c:v>
                </c:pt>
                <c:pt idx="3">
                  <c:v>2.1770510883377999E-2</c:v>
                </c:pt>
                <c:pt idx="4">
                  <c:v>2.1874996795027E-2</c:v>
                </c:pt>
                <c:pt idx="5">
                  <c:v>2.1928896758872999E-2</c:v>
                </c:pt>
                <c:pt idx="6">
                  <c:v>2.1933521995107001E-2</c:v>
                </c:pt>
                <c:pt idx="7">
                  <c:v>2.1939573620125E-2</c:v>
                </c:pt>
                <c:pt idx="8">
                  <c:v>2.1945257373094999E-2</c:v>
                </c:pt>
                <c:pt idx="9">
                  <c:v>2.1970791125868E-2</c:v>
                </c:pt>
                <c:pt idx="10">
                  <c:v>2.1979465759240001E-2</c:v>
                </c:pt>
                <c:pt idx="11">
                  <c:v>2.2063544498851999E-2</c:v>
                </c:pt>
                <c:pt idx="12">
                  <c:v>2.2118766589286E-2</c:v>
                </c:pt>
                <c:pt idx="13">
                  <c:v>2.2143419977846999E-2</c:v>
                </c:pt>
                <c:pt idx="14">
                  <c:v>2.2151909306672001E-2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77-4113-82B1-F17C9D679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δμ'!$J$206:$J$220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δμ'!$H$206:$H$220</c:f>
              <c:numCache>
                <c:formatCode>General</c:formatCode>
                <c:ptCount val="15"/>
                <c:pt idx="0">
                  <c:v>1.6320649617893E-2</c:v>
                </c:pt>
                <c:pt idx="1">
                  <c:v>1.6366951162037999E-2</c:v>
                </c:pt>
                <c:pt idx="2">
                  <c:v>1.6399044507836E-2</c:v>
                </c:pt>
                <c:pt idx="3">
                  <c:v>1.6569913313339998E-2</c:v>
                </c:pt>
                <c:pt idx="4">
                  <c:v>1.6578428317708001E-2</c:v>
                </c:pt>
                <c:pt idx="5">
                  <c:v>1.6605436831945999E-2</c:v>
                </c:pt>
                <c:pt idx="6">
                  <c:v>1.6621592700548998E-2</c:v>
                </c:pt>
                <c:pt idx="7">
                  <c:v>1.6624437236143999E-2</c:v>
                </c:pt>
                <c:pt idx="8">
                  <c:v>1.6634915464653999E-2</c:v>
                </c:pt>
                <c:pt idx="9">
                  <c:v>1.664795091949E-2</c:v>
                </c:pt>
                <c:pt idx="10">
                  <c:v>1.6650887939671E-2</c:v>
                </c:pt>
                <c:pt idx="11">
                  <c:v>1.6706821000998E-2</c:v>
                </c:pt>
                <c:pt idx="12">
                  <c:v>1.6712381942976001E-2</c:v>
                </c:pt>
                <c:pt idx="13">
                  <c:v>1.6731786707302E-2</c:v>
                </c:pt>
                <c:pt idx="14">
                  <c:v>1.6737214160376001E-2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5B-4300-BFC5-658398DD1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δ'!$J$70:$J$84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δ'!$H$70:$H$84</c:f>
              <c:numCache>
                <c:formatCode>General</c:formatCode>
                <c:ptCount val="15"/>
                <c:pt idx="0">
                  <c:v>2.8085362314532E-2</c:v>
                </c:pt>
                <c:pt idx="1">
                  <c:v>2.8584854039733001E-2</c:v>
                </c:pt>
                <c:pt idx="2">
                  <c:v>2.8650775631605001E-2</c:v>
                </c:pt>
                <c:pt idx="3">
                  <c:v>2.8774753060500001E-2</c:v>
                </c:pt>
                <c:pt idx="4">
                  <c:v>2.8937692836586999E-2</c:v>
                </c:pt>
                <c:pt idx="5">
                  <c:v>2.8944900191363001E-2</c:v>
                </c:pt>
                <c:pt idx="6">
                  <c:v>2.8998287582660001E-2</c:v>
                </c:pt>
                <c:pt idx="7">
                  <c:v>2.9055275005307E-2</c:v>
                </c:pt>
                <c:pt idx="8">
                  <c:v>2.9117030820336998E-2</c:v>
                </c:pt>
                <c:pt idx="9">
                  <c:v>2.9142376328833999E-2</c:v>
                </c:pt>
                <c:pt idx="10">
                  <c:v>2.9146140287705999E-2</c:v>
                </c:pt>
                <c:pt idx="11">
                  <c:v>2.9158620574396998E-2</c:v>
                </c:pt>
                <c:pt idx="12">
                  <c:v>2.9396838042795002E-2</c:v>
                </c:pt>
                <c:pt idx="13">
                  <c:v>2.9410253474927001E-2</c:v>
                </c:pt>
                <c:pt idx="14">
                  <c:v>2.95094161167E-2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F7-4141-95EF-3C9809F50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δ'!$J$87:$J$101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δ'!$H$87:$H$101</c:f>
              <c:numCache>
                <c:formatCode>General</c:formatCode>
                <c:ptCount val="15"/>
                <c:pt idx="0">
                  <c:v>3.2355850442449E-2</c:v>
                </c:pt>
                <c:pt idx="1">
                  <c:v>3.2668599010325997E-2</c:v>
                </c:pt>
                <c:pt idx="2">
                  <c:v>3.3163034525237001E-2</c:v>
                </c:pt>
                <c:pt idx="3">
                  <c:v>3.3231258660166997E-2</c:v>
                </c:pt>
                <c:pt idx="4">
                  <c:v>3.3283135974750001E-2</c:v>
                </c:pt>
                <c:pt idx="5">
                  <c:v>3.3306435253472003E-2</c:v>
                </c:pt>
                <c:pt idx="6">
                  <c:v>3.3415959797784001E-2</c:v>
                </c:pt>
                <c:pt idx="7">
                  <c:v>3.3442883132727003E-2</c:v>
                </c:pt>
                <c:pt idx="8">
                  <c:v>3.3455234945081999E-2</c:v>
                </c:pt>
                <c:pt idx="9">
                  <c:v>3.363334911983E-2</c:v>
                </c:pt>
                <c:pt idx="10">
                  <c:v>3.3635750008838998E-2</c:v>
                </c:pt>
                <c:pt idx="11">
                  <c:v>3.3650451592907998E-2</c:v>
                </c:pt>
                <c:pt idx="12">
                  <c:v>3.36815703277E-2</c:v>
                </c:pt>
                <c:pt idx="13">
                  <c:v>3.4070149966617003E-2</c:v>
                </c:pt>
                <c:pt idx="14">
                  <c:v>3.4170411145183002E-2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9-47B3-BA4C-BD973FDB3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δ'!$J$104:$J$118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δ'!$H$104:$H$118</c:f>
              <c:numCache>
                <c:formatCode>General</c:formatCode>
                <c:ptCount val="15"/>
                <c:pt idx="0">
                  <c:v>3.7496986998924002E-2</c:v>
                </c:pt>
                <c:pt idx="1">
                  <c:v>3.8151968240382E-2</c:v>
                </c:pt>
                <c:pt idx="2">
                  <c:v>3.8441667004722999E-2</c:v>
                </c:pt>
                <c:pt idx="3">
                  <c:v>3.8501527520209002E-2</c:v>
                </c:pt>
                <c:pt idx="4">
                  <c:v>3.8570665153788E-2</c:v>
                </c:pt>
                <c:pt idx="5">
                  <c:v>3.8875581114678003E-2</c:v>
                </c:pt>
                <c:pt idx="6">
                  <c:v>3.8897805754268003E-2</c:v>
                </c:pt>
                <c:pt idx="7">
                  <c:v>3.9032425436666997E-2</c:v>
                </c:pt>
                <c:pt idx="8">
                  <c:v>3.9074371882492E-2</c:v>
                </c:pt>
                <c:pt idx="9">
                  <c:v>3.9246227655424001E-2</c:v>
                </c:pt>
                <c:pt idx="10">
                  <c:v>3.9332881056812999E-2</c:v>
                </c:pt>
                <c:pt idx="11">
                  <c:v>3.9341084622900001E-2</c:v>
                </c:pt>
                <c:pt idx="12">
                  <c:v>3.9386543815479999E-2</c:v>
                </c:pt>
                <c:pt idx="13">
                  <c:v>3.9476470213409998E-2</c:v>
                </c:pt>
                <c:pt idx="14">
                  <c:v>3.9570836442956003E-2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59-47F8-A563-1EA6C3B35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δ'!$J$121:$J$135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δ'!$H$121:$H$135</c:f>
              <c:numCache>
                <c:formatCode>General</c:formatCode>
                <c:ptCount val="15"/>
                <c:pt idx="0">
                  <c:v>4.3479620509825997E-2</c:v>
                </c:pt>
                <c:pt idx="1">
                  <c:v>4.4067423650691002E-2</c:v>
                </c:pt>
                <c:pt idx="2">
                  <c:v>4.4253973661960003E-2</c:v>
                </c:pt>
                <c:pt idx="3">
                  <c:v>4.4744394845465003E-2</c:v>
                </c:pt>
                <c:pt idx="4">
                  <c:v>4.5278859448147003E-2</c:v>
                </c:pt>
                <c:pt idx="5">
                  <c:v>4.5499971539271003E-2</c:v>
                </c:pt>
                <c:pt idx="6">
                  <c:v>4.5629055524528998E-2</c:v>
                </c:pt>
                <c:pt idx="7">
                  <c:v>4.5634684032446998E-2</c:v>
                </c:pt>
                <c:pt idx="8">
                  <c:v>4.5665333150852E-2</c:v>
                </c:pt>
                <c:pt idx="9">
                  <c:v>4.5763201505743999E-2</c:v>
                </c:pt>
                <c:pt idx="10">
                  <c:v>4.5927617601272001E-2</c:v>
                </c:pt>
                <c:pt idx="11">
                  <c:v>4.6127082038933002E-2</c:v>
                </c:pt>
                <c:pt idx="12">
                  <c:v>4.6506555050819E-2</c:v>
                </c:pt>
                <c:pt idx="13">
                  <c:v>4.7054564796948001E-2</c:v>
                </c:pt>
                <c:pt idx="14">
                  <c:v>4.7525385041646002E-2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7-404F-8050-E898EA630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δ'!$J$138:$J$152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δ'!$H$138:$H$152</c:f>
              <c:numCache>
                <c:formatCode>General</c:formatCode>
                <c:ptCount val="15"/>
                <c:pt idx="0">
                  <c:v>5.1216482315226998E-2</c:v>
                </c:pt>
                <c:pt idx="1">
                  <c:v>5.1465253285807998E-2</c:v>
                </c:pt>
                <c:pt idx="2">
                  <c:v>5.3023438675764999E-2</c:v>
                </c:pt>
                <c:pt idx="3">
                  <c:v>5.3145477366407998E-2</c:v>
                </c:pt>
                <c:pt idx="4">
                  <c:v>5.3304457131086003E-2</c:v>
                </c:pt>
                <c:pt idx="5">
                  <c:v>5.3465775062067997E-2</c:v>
                </c:pt>
                <c:pt idx="6">
                  <c:v>5.3585320278143E-2</c:v>
                </c:pt>
                <c:pt idx="7">
                  <c:v>5.3611598159719998E-2</c:v>
                </c:pt>
                <c:pt idx="8">
                  <c:v>5.3684442692662003E-2</c:v>
                </c:pt>
                <c:pt idx="9">
                  <c:v>5.3998690654273998E-2</c:v>
                </c:pt>
                <c:pt idx="10">
                  <c:v>5.4089437411247998E-2</c:v>
                </c:pt>
                <c:pt idx="11">
                  <c:v>5.4184043511845997E-2</c:v>
                </c:pt>
                <c:pt idx="12">
                  <c:v>5.5195393417013003E-2</c:v>
                </c:pt>
                <c:pt idx="13">
                  <c:v>5.5538761306237999E-2</c:v>
                </c:pt>
                <c:pt idx="14">
                  <c:v>5.5823100311259997E-2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A-49F1-ADF0-DA705FAEE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9525</xdr:rowOff>
    </xdr:from>
    <xdr:to>
      <xdr:col>17</xdr:col>
      <xdr:colOff>495300</xdr:colOff>
      <xdr:row>15</xdr:row>
      <xdr:rowOff>114300</xdr:rowOff>
    </xdr:to>
    <xdr:graphicFrame macro="">
      <xdr:nvGraphicFramePr>
        <xdr:cNvPr id="193" name="Grafico 1">
          <a:extLst>
            <a:ext uri="{FF2B5EF4-FFF2-40B4-BE49-F238E27FC236}">
              <a16:creationId xmlns:a16="http://schemas.microsoft.com/office/drawing/2014/main" id="{E7C1BE30-2AB2-48AE-958B-A43345EC8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17</xdr:row>
      <xdr:rowOff>36195</xdr:rowOff>
    </xdr:from>
    <xdr:to>
      <xdr:col>17</xdr:col>
      <xdr:colOff>558165</xdr:colOff>
      <xdr:row>32</xdr:row>
      <xdr:rowOff>167640</xdr:rowOff>
    </xdr:to>
    <xdr:graphicFrame macro="">
      <xdr:nvGraphicFramePr>
        <xdr:cNvPr id="194" name="Grafico 1">
          <a:extLst>
            <a:ext uri="{FF2B5EF4-FFF2-40B4-BE49-F238E27FC236}">
              <a16:creationId xmlns:a16="http://schemas.microsoft.com/office/drawing/2014/main" id="{58F4F977-A7D6-47C4-B6F0-A364E2FE7E29}"/>
            </a:ext>
            <a:ext uri="{147F2762-F138-4A5C-976F-8EAC2B608ADB}">
              <a16:predDERef xmlns:a16="http://schemas.microsoft.com/office/drawing/2014/main" pred="{E7C1BE30-2AB2-48AE-958B-A43345EC8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190500</xdr:colOff>
      <xdr:row>34</xdr:row>
      <xdr:rowOff>28575</xdr:rowOff>
    </xdr:from>
    <xdr:to>
      <xdr:col>17</xdr:col>
      <xdr:colOff>542925</xdr:colOff>
      <xdr:row>49</xdr:row>
      <xdr:rowOff>180975</xdr:rowOff>
    </xdr:to>
    <xdr:graphicFrame macro="">
      <xdr:nvGraphicFramePr>
        <xdr:cNvPr id="195" name="Grafico 1">
          <a:extLst>
            <a:ext uri="{FF2B5EF4-FFF2-40B4-BE49-F238E27FC236}">
              <a16:creationId xmlns:a16="http://schemas.microsoft.com/office/drawing/2014/main" id="{5F162041-559A-4341-AB4E-A887D246465D}"/>
            </a:ext>
            <a:ext uri="{147F2762-F138-4A5C-976F-8EAC2B608ADB}">
              <a16:predDERef xmlns:a16="http://schemas.microsoft.com/office/drawing/2014/main" pred="{58F4F977-A7D6-47C4-B6F0-A364E2FE7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192405</xdr:colOff>
      <xdr:row>51</xdr:row>
      <xdr:rowOff>15240</xdr:rowOff>
    </xdr:from>
    <xdr:to>
      <xdr:col>17</xdr:col>
      <xdr:colOff>539115</xdr:colOff>
      <xdr:row>66</xdr:row>
      <xdr:rowOff>175260</xdr:rowOff>
    </xdr:to>
    <xdr:graphicFrame macro="">
      <xdr:nvGraphicFramePr>
        <xdr:cNvPr id="196" name="Grafico 1">
          <a:extLst>
            <a:ext uri="{FF2B5EF4-FFF2-40B4-BE49-F238E27FC236}">
              <a16:creationId xmlns:a16="http://schemas.microsoft.com/office/drawing/2014/main" id="{82A11B82-560E-459D-97FB-94776318161E}"/>
            </a:ext>
            <a:ext uri="{147F2762-F138-4A5C-976F-8EAC2B608ADB}">
              <a16:predDERef xmlns:a16="http://schemas.microsoft.com/office/drawing/2014/main" pred="{5F162041-559A-4341-AB4E-A887D2464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213360</xdr:colOff>
      <xdr:row>68</xdr:row>
      <xdr:rowOff>15240</xdr:rowOff>
    </xdr:from>
    <xdr:to>
      <xdr:col>17</xdr:col>
      <xdr:colOff>558165</xdr:colOff>
      <xdr:row>83</xdr:row>
      <xdr:rowOff>173355</xdr:rowOff>
    </xdr:to>
    <xdr:graphicFrame macro="">
      <xdr:nvGraphicFramePr>
        <xdr:cNvPr id="197" name="Grafico 1">
          <a:extLst>
            <a:ext uri="{FF2B5EF4-FFF2-40B4-BE49-F238E27FC236}">
              <a16:creationId xmlns:a16="http://schemas.microsoft.com/office/drawing/2014/main" id="{AB670440-A222-4457-B7E0-566F6A432916}"/>
            </a:ext>
            <a:ext uri="{147F2762-F138-4A5C-976F-8EAC2B608ADB}">
              <a16:predDERef xmlns:a16="http://schemas.microsoft.com/office/drawing/2014/main" pred="{82A11B82-560E-459D-97FB-947763181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213360</xdr:colOff>
      <xdr:row>85</xdr:row>
      <xdr:rowOff>15240</xdr:rowOff>
    </xdr:from>
    <xdr:to>
      <xdr:col>17</xdr:col>
      <xdr:colOff>556260</xdr:colOff>
      <xdr:row>100</xdr:row>
      <xdr:rowOff>171450</xdr:rowOff>
    </xdr:to>
    <xdr:graphicFrame macro="">
      <xdr:nvGraphicFramePr>
        <xdr:cNvPr id="198" name="Grafico 1">
          <a:extLst>
            <a:ext uri="{FF2B5EF4-FFF2-40B4-BE49-F238E27FC236}">
              <a16:creationId xmlns:a16="http://schemas.microsoft.com/office/drawing/2014/main" id="{70AA7C4B-8829-44C1-82E7-5013339E1ABC}"/>
            </a:ext>
            <a:ext uri="{147F2762-F138-4A5C-976F-8EAC2B608ADB}">
              <a16:predDERef xmlns:a16="http://schemas.microsoft.com/office/drawing/2014/main" pred="{AB670440-A222-4457-B7E0-566F6A432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228600</xdr:colOff>
      <xdr:row>102</xdr:row>
      <xdr:rowOff>15240</xdr:rowOff>
    </xdr:from>
    <xdr:to>
      <xdr:col>17</xdr:col>
      <xdr:colOff>571500</xdr:colOff>
      <xdr:row>117</xdr:row>
      <xdr:rowOff>171450</xdr:rowOff>
    </xdr:to>
    <xdr:graphicFrame macro="">
      <xdr:nvGraphicFramePr>
        <xdr:cNvPr id="199" name="Grafico 1">
          <a:extLst>
            <a:ext uri="{FF2B5EF4-FFF2-40B4-BE49-F238E27FC236}">
              <a16:creationId xmlns:a16="http://schemas.microsoft.com/office/drawing/2014/main" id="{1C35CFEF-3663-40CB-BD4E-F2BA6AB1348B}"/>
            </a:ext>
            <a:ext uri="{147F2762-F138-4A5C-976F-8EAC2B608ADB}">
              <a16:predDERef xmlns:a16="http://schemas.microsoft.com/office/drawing/2014/main" pred="{70AA7C4B-8829-44C1-82E7-5013339E1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228600</xdr:colOff>
      <xdr:row>119</xdr:row>
      <xdr:rowOff>15240</xdr:rowOff>
    </xdr:from>
    <xdr:to>
      <xdr:col>17</xdr:col>
      <xdr:colOff>571500</xdr:colOff>
      <xdr:row>134</xdr:row>
      <xdr:rowOff>171450</xdr:rowOff>
    </xdr:to>
    <xdr:graphicFrame macro="">
      <xdr:nvGraphicFramePr>
        <xdr:cNvPr id="200" name="Grafico 1">
          <a:extLst>
            <a:ext uri="{FF2B5EF4-FFF2-40B4-BE49-F238E27FC236}">
              <a16:creationId xmlns:a16="http://schemas.microsoft.com/office/drawing/2014/main" id="{90D963AB-E181-42D2-86AB-01AA3A46E7DA}"/>
            </a:ext>
            <a:ext uri="{147F2762-F138-4A5C-976F-8EAC2B608ADB}">
              <a16:predDERef xmlns:a16="http://schemas.microsoft.com/office/drawing/2014/main" pred="{1C35CFEF-3663-40CB-BD4E-F2BA6AB13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236220</xdr:colOff>
      <xdr:row>136</xdr:row>
      <xdr:rowOff>15240</xdr:rowOff>
    </xdr:from>
    <xdr:to>
      <xdr:col>17</xdr:col>
      <xdr:colOff>579120</xdr:colOff>
      <xdr:row>151</xdr:row>
      <xdr:rowOff>171450</xdr:rowOff>
    </xdr:to>
    <xdr:graphicFrame macro="">
      <xdr:nvGraphicFramePr>
        <xdr:cNvPr id="201" name="Grafico 1">
          <a:extLst>
            <a:ext uri="{FF2B5EF4-FFF2-40B4-BE49-F238E27FC236}">
              <a16:creationId xmlns:a16="http://schemas.microsoft.com/office/drawing/2014/main" id="{20297567-446A-4BCE-B072-09469BB9C3AC}"/>
            </a:ext>
            <a:ext uri="{147F2762-F138-4A5C-976F-8EAC2B608ADB}">
              <a16:predDERef xmlns:a16="http://schemas.microsoft.com/office/drawing/2014/main" pred="{90D963AB-E181-42D2-86AB-01AA3A46E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348615</xdr:colOff>
      <xdr:row>153</xdr:row>
      <xdr:rowOff>125730</xdr:rowOff>
    </xdr:from>
    <xdr:to>
      <xdr:col>7</xdr:col>
      <xdr:colOff>337185</xdr:colOff>
      <xdr:row>169</xdr:row>
      <xdr:rowOff>19050</xdr:rowOff>
    </xdr:to>
    <xdr:graphicFrame macro="">
      <xdr:nvGraphicFramePr>
        <xdr:cNvPr id="202" name="Grafico 6">
          <a:extLst>
            <a:ext uri="{FF2B5EF4-FFF2-40B4-BE49-F238E27FC236}">
              <a16:creationId xmlns:a16="http://schemas.microsoft.com/office/drawing/2014/main" id="{707E0D88-0F77-43A8-94B8-7C57DFC8E542}"/>
            </a:ext>
            <a:ext uri="{147F2762-F138-4A5C-976F-8EAC2B608ADB}">
              <a16:predDERef xmlns:a16="http://schemas.microsoft.com/office/drawing/2014/main" pred="{20297567-446A-4BCE-B072-09469BB9C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459105</xdr:colOff>
      <xdr:row>170</xdr:row>
      <xdr:rowOff>186690</xdr:rowOff>
    </xdr:from>
    <xdr:to>
      <xdr:col>8</xdr:col>
      <xdr:colOff>609601</xdr:colOff>
      <xdr:row>186</xdr:row>
      <xdr:rowOff>188595</xdr:rowOff>
    </xdr:to>
    <xdr:graphicFrame macro="">
      <xdr:nvGraphicFramePr>
        <xdr:cNvPr id="203" name="Grafico 6">
          <a:extLst>
            <a:ext uri="{FF2B5EF4-FFF2-40B4-BE49-F238E27FC236}">
              <a16:creationId xmlns:a16="http://schemas.microsoft.com/office/drawing/2014/main" id="{B8BEF722-6FC1-403A-B006-BAA91B811B17}"/>
            </a:ext>
            <a:ext uri="{147F2762-F138-4A5C-976F-8EAC2B608ADB}">
              <a16:predDERef xmlns:a16="http://schemas.microsoft.com/office/drawing/2014/main" pred="{707E0D88-0F77-43A8-94B8-7C57DFC8E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563879</xdr:colOff>
      <xdr:row>188</xdr:row>
      <xdr:rowOff>1908</xdr:rowOff>
    </xdr:from>
    <xdr:to>
      <xdr:col>7</xdr:col>
      <xdr:colOff>243839</xdr:colOff>
      <xdr:row>200</xdr:row>
      <xdr:rowOff>9526</xdr:rowOff>
    </xdr:to>
    <xdr:graphicFrame macro="">
      <xdr:nvGraphicFramePr>
        <xdr:cNvPr id="211" name="Grafico 101">
          <a:extLst>
            <a:ext uri="{FF2B5EF4-FFF2-40B4-BE49-F238E27FC236}">
              <a16:creationId xmlns:a16="http://schemas.microsoft.com/office/drawing/2014/main" id="{2F407528-C2DA-4029-B016-411EC3BA3599}"/>
            </a:ext>
            <a:ext uri="{147F2762-F138-4A5C-976F-8EAC2B608ADB}">
              <a16:predDERef xmlns:a16="http://schemas.microsoft.com/office/drawing/2014/main" pred="{B8BEF722-6FC1-403A-B006-BAA91B811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1125855</xdr:colOff>
      <xdr:row>201</xdr:row>
      <xdr:rowOff>0</xdr:rowOff>
    </xdr:from>
    <xdr:to>
      <xdr:col>6</xdr:col>
      <xdr:colOff>283845</xdr:colOff>
      <xdr:row>213</xdr:row>
      <xdr:rowOff>0</xdr:rowOff>
    </xdr:to>
    <xdr:graphicFrame macro="">
      <xdr:nvGraphicFramePr>
        <xdr:cNvPr id="206" name="Grafico 131">
          <a:extLst>
            <a:ext uri="{FF2B5EF4-FFF2-40B4-BE49-F238E27FC236}">
              <a16:creationId xmlns:a16="http://schemas.microsoft.com/office/drawing/2014/main" id="{D061D072-BD69-4DC1-857F-E1A0DAED2F43}"/>
            </a:ext>
            <a:ext uri="{147F2762-F138-4A5C-976F-8EAC2B608ADB}">
              <a16:predDERef xmlns:a16="http://schemas.microsoft.com/office/drawing/2014/main" pred="{2F407528-C2DA-4029-B016-411EC3BA3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1120140</xdr:colOff>
      <xdr:row>213</xdr:row>
      <xdr:rowOff>188595</xdr:rowOff>
    </xdr:from>
    <xdr:to>
      <xdr:col>6</xdr:col>
      <xdr:colOff>281940</xdr:colOff>
      <xdr:row>225</xdr:row>
      <xdr:rowOff>186690</xdr:rowOff>
    </xdr:to>
    <xdr:graphicFrame macro="">
      <xdr:nvGraphicFramePr>
        <xdr:cNvPr id="205" name="Grafico 132">
          <a:extLst>
            <a:ext uri="{FF2B5EF4-FFF2-40B4-BE49-F238E27FC236}">
              <a16:creationId xmlns:a16="http://schemas.microsoft.com/office/drawing/2014/main" id="{1A7F4191-54D1-49E6-A3C4-D2C62C2B3F40}"/>
            </a:ext>
            <a:ext uri="{147F2762-F138-4A5C-976F-8EAC2B608ADB}">
              <a16:predDERef xmlns:a16="http://schemas.microsoft.com/office/drawing/2014/main" pred="{D061D072-BD69-4DC1-857F-E1A0DAED2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9525</xdr:rowOff>
    </xdr:from>
    <xdr:to>
      <xdr:col>17</xdr:col>
      <xdr:colOff>495300</xdr:colOff>
      <xdr:row>15</xdr:row>
      <xdr:rowOff>114300</xdr:rowOff>
    </xdr:to>
    <xdr:graphicFrame macro="">
      <xdr:nvGraphicFramePr>
        <xdr:cNvPr id="44" name="Grafico 1">
          <a:extLst>
            <a:ext uri="{FF2B5EF4-FFF2-40B4-BE49-F238E27FC236}">
              <a16:creationId xmlns:a16="http://schemas.microsoft.com/office/drawing/2014/main" id="{58451DAB-3160-4048-BD5D-9D9B86326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198120</xdr:colOff>
      <xdr:row>17</xdr:row>
      <xdr:rowOff>68580</xdr:rowOff>
    </xdr:from>
    <xdr:to>
      <xdr:col>17</xdr:col>
      <xdr:colOff>502920</xdr:colOff>
      <xdr:row>32</xdr:row>
      <xdr:rowOff>177165</xdr:rowOff>
    </xdr:to>
    <xdr:graphicFrame macro="">
      <xdr:nvGraphicFramePr>
        <xdr:cNvPr id="60" name="Grafico 1">
          <a:extLst>
            <a:ext uri="{FF2B5EF4-FFF2-40B4-BE49-F238E27FC236}">
              <a16:creationId xmlns:a16="http://schemas.microsoft.com/office/drawing/2014/main" id="{84ED78E1-9850-4834-97FF-58DDD79C5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213360</xdr:colOff>
      <xdr:row>34</xdr:row>
      <xdr:rowOff>30480</xdr:rowOff>
    </xdr:from>
    <xdr:to>
      <xdr:col>17</xdr:col>
      <xdr:colOff>518160</xdr:colOff>
      <xdr:row>49</xdr:row>
      <xdr:rowOff>140970</xdr:rowOff>
    </xdr:to>
    <xdr:graphicFrame macro="">
      <xdr:nvGraphicFramePr>
        <xdr:cNvPr id="61" name="Grafico 1">
          <a:extLst>
            <a:ext uri="{FF2B5EF4-FFF2-40B4-BE49-F238E27FC236}">
              <a16:creationId xmlns:a16="http://schemas.microsoft.com/office/drawing/2014/main" id="{42D8D5BD-8084-407F-85B0-E7F7DDE95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236220</xdr:colOff>
      <xdr:row>51</xdr:row>
      <xdr:rowOff>22860</xdr:rowOff>
    </xdr:from>
    <xdr:to>
      <xdr:col>17</xdr:col>
      <xdr:colOff>541020</xdr:colOff>
      <xdr:row>66</xdr:row>
      <xdr:rowOff>133350</xdr:rowOff>
    </xdr:to>
    <xdr:graphicFrame macro="">
      <xdr:nvGraphicFramePr>
        <xdr:cNvPr id="62" name="Grafico 1">
          <a:extLst>
            <a:ext uri="{FF2B5EF4-FFF2-40B4-BE49-F238E27FC236}">
              <a16:creationId xmlns:a16="http://schemas.microsoft.com/office/drawing/2014/main" id="{0547F439-BDB2-4003-8CDB-6EE03A611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251460</xdr:colOff>
      <xdr:row>68</xdr:row>
      <xdr:rowOff>38100</xdr:rowOff>
    </xdr:from>
    <xdr:to>
      <xdr:col>17</xdr:col>
      <xdr:colOff>556260</xdr:colOff>
      <xdr:row>83</xdr:row>
      <xdr:rowOff>148590</xdr:rowOff>
    </xdr:to>
    <xdr:graphicFrame macro="">
      <xdr:nvGraphicFramePr>
        <xdr:cNvPr id="63" name="Grafico 1">
          <a:extLst>
            <a:ext uri="{FF2B5EF4-FFF2-40B4-BE49-F238E27FC236}">
              <a16:creationId xmlns:a16="http://schemas.microsoft.com/office/drawing/2014/main" id="{7A4ADBE6-624A-4003-93B0-EEC9DF10A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266700</xdr:colOff>
      <xdr:row>85</xdr:row>
      <xdr:rowOff>30480</xdr:rowOff>
    </xdr:from>
    <xdr:to>
      <xdr:col>17</xdr:col>
      <xdr:colOff>571500</xdr:colOff>
      <xdr:row>100</xdr:row>
      <xdr:rowOff>140970</xdr:rowOff>
    </xdr:to>
    <xdr:graphicFrame macro="">
      <xdr:nvGraphicFramePr>
        <xdr:cNvPr id="64" name="Grafico 1">
          <a:extLst>
            <a:ext uri="{FF2B5EF4-FFF2-40B4-BE49-F238E27FC236}">
              <a16:creationId xmlns:a16="http://schemas.microsoft.com/office/drawing/2014/main" id="{8EDE6C74-F79A-4359-B560-59E226382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281940</xdr:colOff>
      <xdr:row>102</xdr:row>
      <xdr:rowOff>38100</xdr:rowOff>
    </xdr:from>
    <xdr:to>
      <xdr:col>17</xdr:col>
      <xdr:colOff>586740</xdr:colOff>
      <xdr:row>117</xdr:row>
      <xdr:rowOff>148590</xdr:rowOff>
    </xdr:to>
    <xdr:graphicFrame macro="">
      <xdr:nvGraphicFramePr>
        <xdr:cNvPr id="65" name="Grafico 1">
          <a:extLst>
            <a:ext uri="{FF2B5EF4-FFF2-40B4-BE49-F238E27FC236}">
              <a16:creationId xmlns:a16="http://schemas.microsoft.com/office/drawing/2014/main" id="{DDC917CB-788D-4E7F-9533-BF29723E5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297180</xdr:colOff>
      <xdr:row>119</xdr:row>
      <xdr:rowOff>30480</xdr:rowOff>
    </xdr:from>
    <xdr:to>
      <xdr:col>17</xdr:col>
      <xdr:colOff>601980</xdr:colOff>
      <xdr:row>134</xdr:row>
      <xdr:rowOff>140970</xdr:rowOff>
    </xdr:to>
    <xdr:graphicFrame macro="">
      <xdr:nvGraphicFramePr>
        <xdr:cNvPr id="66" name="Grafico 1">
          <a:extLst>
            <a:ext uri="{FF2B5EF4-FFF2-40B4-BE49-F238E27FC236}">
              <a16:creationId xmlns:a16="http://schemas.microsoft.com/office/drawing/2014/main" id="{BE723BE2-465D-4215-86A1-6642CC707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289560</xdr:colOff>
      <xdr:row>136</xdr:row>
      <xdr:rowOff>30480</xdr:rowOff>
    </xdr:from>
    <xdr:to>
      <xdr:col>17</xdr:col>
      <xdr:colOff>594360</xdr:colOff>
      <xdr:row>151</xdr:row>
      <xdr:rowOff>140970</xdr:rowOff>
    </xdr:to>
    <xdr:graphicFrame macro="">
      <xdr:nvGraphicFramePr>
        <xdr:cNvPr id="67" name="Grafico 1">
          <a:extLst>
            <a:ext uri="{FF2B5EF4-FFF2-40B4-BE49-F238E27FC236}">
              <a16:creationId xmlns:a16="http://schemas.microsoft.com/office/drawing/2014/main" id="{01FC62D6-1154-4A65-A1D7-BE5024B1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348615</xdr:colOff>
      <xdr:row>153</xdr:row>
      <xdr:rowOff>125730</xdr:rowOff>
    </xdr:from>
    <xdr:to>
      <xdr:col>7</xdr:col>
      <xdr:colOff>337185</xdr:colOff>
      <xdr:row>168</xdr:row>
      <xdr:rowOff>19050</xdr:rowOff>
    </xdr:to>
    <xdr:graphicFrame macro="">
      <xdr:nvGraphicFramePr>
        <xdr:cNvPr id="5" name="Grafico 6">
          <a:extLst>
            <a:ext uri="{FF2B5EF4-FFF2-40B4-BE49-F238E27FC236}">
              <a16:creationId xmlns:a16="http://schemas.microsoft.com/office/drawing/2014/main" id="{E0B14AB3-499D-458F-B6C1-1759FDB52DEE}"/>
            </a:ext>
            <a:ext uri="{147F2762-F138-4A5C-976F-8EAC2B608ADB}">
              <a16:predDERef xmlns:a16="http://schemas.microsoft.com/office/drawing/2014/main" pred="{20297567-446A-4BCE-B072-09469BB9C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459105</xdr:colOff>
      <xdr:row>169</xdr:row>
      <xdr:rowOff>186690</xdr:rowOff>
    </xdr:from>
    <xdr:to>
      <xdr:col>8</xdr:col>
      <xdr:colOff>609601</xdr:colOff>
      <xdr:row>184</xdr:row>
      <xdr:rowOff>188595</xdr:rowOff>
    </xdr:to>
    <xdr:graphicFrame macro="">
      <xdr:nvGraphicFramePr>
        <xdr:cNvPr id="69" name="Grafico 6">
          <a:extLst>
            <a:ext uri="{FF2B5EF4-FFF2-40B4-BE49-F238E27FC236}">
              <a16:creationId xmlns:a16="http://schemas.microsoft.com/office/drawing/2014/main" id="{2FA618FA-BBDF-4526-B847-FDAC9D7B6261}"/>
            </a:ext>
            <a:ext uri="{147F2762-F138-4A5C-976F-8EAC2B608ADB}">
              <a16:predDERef xmlns:a16="http://schemas.microsoft.com/office/drawing/2014/main" pred="{707E0D88-0F77-43A8-94B8-7C57DFC8E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563879</xdr:colOff>
      <xdr:row>186</xdr:row>
      <xdr:rowOff>1908</xdr:rowOff>
    </xdr:from>
    <xdr:to>
      <xdr:col>7</xdr:col>
      <xdr:colOff>243839</xdr:colOff>
      <xdr:row>197</xdr:row>
      <xdr:rowOff>9526</xdr:rowOff>
    </xdr:to>
    <xdr:graphicFrame macro="">
      <xdr:nvGraphicFramePr>
        <xdr:cNvPr id="70" name="Grafico 101">
          <a:extLst>
            <a:ext uri="{FF2B5EF4-FFF2-40B4-BE49-F238E27FC236}">
              <a16:creationId xmlns:a16="http://schemas.microsoft.com/office/drawing/2014/main" id="{6AE11689-4450-4783-9247-701277BA21E4}"/>
            </a:ext>
            <a:ext uri="{147F2762-F138-4A5C-976F-8EAC2B608ADB}">
              <a16:predDERef xmlns:a16="http://schemas.microsoft.com/office/drawing/2014/main" pred="{B8BEF722-6FC1-403A-B006-BAA91B811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1125855</xdr:colOff>
      <xdr:row>198</xdr:row>
      <xdr:rowOff>0</xdr:rowOff>
    </xdr:from>
    <xdr:to>
      <xdr:col>6</xdr:col>
      <xdr:colOff>283845</xdr:colOff>
      <xdr:row>209</xdr:row>
      <xdr:rowOff>0</xdr:rowOff>
    </xdr:to>
    <xdr:graphicFrame macro="">
      <xdr:nvGraphicFramePr>
        <xdr:cNvPr id="71" name="Grafico 131">
          <a:extLst>
            <a:ext uri="{FF2B5EF4-FFF2-40B4-BE49-F238E27FC236}">
              <a16:creationId xmlns:a16="http://schemas.microsoft.com/office/drawing/2014/main" id="{F1301DA6-DA8F-494C-9BC6-7CFCEDAFF973}"/>
            </a:ext>
            <a:ext uri="{147F2762-F138-4A5C-976F-8EAC2B608ADB}">
              <a16:predDERef xmlns:a16="http://schemas.microsoft.com/office/drawing/2014/main" pred="{2F407528-C2DA-4029-B016-411EC3BA3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1120140</xdr:colOff>
      <xdr:row>209</xdr:row>
      <xdr:rowOff>188595</xdr:rowOff>
    </xdr:from>
    <xdr:to>
      <xdr:col>6</xdr:col>
      <xdr:colOff>281940</xdr:colOff>
      <xdr:row>220</xdr:row>
      <xdr:rowOff>186690</xdr:rowOff>
    </xdr:to>
    <xdr:graphicFrame macro="">
      <xdr:nvGraphicFramePr>
        <xdr:cNvPr id="72" name="Grafico 132">
          <a:extLst>
            <a:ext uri="{FF2B5EF4-FFF2-40B4-BE49-F238E27FC236}">
              <a16:creationId xmlns:a16="http://schemas.microsoft.com/office/drawing/2014/main" id="{D2F7EDE2-46D4-4BCD-8BA3-53404951DED6}"/>
            </a:ext>
            <a:ext uri="{147F2762-F138-4A5C-976F-8EAC2B608ADB}">
              <a16:predDERef xmlns:a16="http://schemas.microsoft.com/office/drawing/2014/main" pred="{D061D072-BD69-4DC1-857F-E1A0DAED2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9525</xdr:rowOff>
    </xdr:from>
    <xdr:to>
      <xdr:col>17</xdr:col>
      <xdr:colOff>495300</xdr:colOff>
      <xdr:row>15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D0AE43A-7D0B-4DF3-A41F-E1B3B2272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17</xdr:row>
      <xdr:rowOff>36195</xdr:rowOff>
    </xdr:from>
    <xdr:to>
      <xdr:col>17</xdr:col>
      <xdr:colOff>558165</xdr:colOff>
      <xdr:row>32</xdr:row>
      <xdr:rowOff>167640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A3115C79-11C3-407F-ADA2-36429D8EC53D}"/>
            </a:ext>
            <a:ext uri="{147F2762-F138-4A5C-976F-8EAC2B608ADB}">
              <a16:predDERef xmlns:a16="http://schemas.microsoft.com/office/drawing/2014/main" pred="{E7C1BE30-2AB2-48AE-958B-A43345EC8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190500</xdr:colOff>
      <xdr:row>34</xdr:row>
      <xdr:rowOff>28575</xdr:rowOff>
    </xdr:from>
    <xdr:to>
      <xdr:col>17</xdr:col>
      <xdr:colOff>542925</xdr:colOff>
      <xdr:row>49</xdr:row>
      <xdr:rowOff>180975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955B3881-6036-4E43-A4D2-B9EA9D89EBF6}"/>
            </a:ext>
            <a:ext uri="{147F2762-F138-4A5C-976F-8EAC2B608ADB}">
              <a16:predDERef xmlns:a16="http://schemas.microsoft.com/office/drawing/2014/main" pred="{58F4F977-A7D6-47C4-B6F0-A364E2FE7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192405</xdr:colOff>
      <xdr:row>51</xdr:row>
      <xdr:rowOff>15240</xdr:rowOff>
    </xdr:from>
    <xdr:to>
      <xdr:col>17</xdr:col>
      <xdr:colOff>539115</xdr:colOff>
      <xdr:row>66</xdr:row>
      <xdr:rowOff>175260</xdr:rowOff>
    </xdr:to>
    <xdr:graphicFrame macro="">
      <xdr:nvGraphicFramePr>
        <xdr:cNvPr id="5" name="Grafico 1">
          <a:extLst>
            <a:ext uri="{FF2B5EF4-FFF2-40B4-BE49-F238E27FC236}">
              <a16:creationId xmlns:a16="http://schemas.microsoft.com/office/drawing/2014/main" id="{380E327B-F605-449E-8ED0-FC6201CFB0C8}"/>
            </a:ext>
            <a:ext uri="{147F2762-F138-4A5C-976F-8EAC2B608ADB}">
              <a16:predDERef xmlns:a16="http://schemas.microsoft.com/office/drawing/2014/main" pred="{5F162041-559A-4341-AB4E-A887D2464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213360</xdr:colOff>
      <xdr:row>68</xdr:row>
      <xdr:rowOff>15240</xdr:rowOff>
    </xdr:from>
    <xdr:to>
      <xdr:col>17</xdr:col>
      <xdr:colOff>558165</xdr:colOff>
      <xdr:row>83</xdr:row>
      <xdr:rowOff>173355</xdr:rowOff>
    </xdr:to>
    <xdr:graphicFrame macro="">
      <xdr:nvGraphicFramePr>
        <xdr:cNvPr id="6" name="Grafico 1">
          <a:extLst>
            <a:ext uri="{FF2B5EF4-FFF2-40B4-BE49-F238E27FC236}">
              <a16:creationId xmlns:a16="http://schemas.microsoft.com/office/drawing/2014/main" id="{0E8A1865-9EA7-4DCB-9C0A-805600ECD4CE}"/>
            </a:ext>
            <a:ext uri="{147F2762-F138-4A5C-976F-8EAC2B608ADB}">
              <a16:predDERef xmlns:a16="http://schemas.microsoft.com/office/drawing/2014/main" pred="{82A11B82-560E-459D-97FB-947763181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152400</xdr:colOff>
      <xdr:row>85</xdr:row>
      <xdr:rowOff>30480</xdr:rowOff>
    </xdr:from>
    <xdr:to>
      <xdr:col>17</xdr:col>
      <xdr:colOff>495300</xdr:colOff>
      <xdr:row>101</xdr:row>
      <xdr:rowOff>3810</xdr:rowOff>
    </xdr:to>
    <xdr:graphicFrame macro="">
      <xdr:nvGraphicFramePr>
        <xdr:cNvPr id="7" name="Grafico 1">
          <a:extLst>
            <a:ext uri="{FF2B5EF4-FFF2-40B4-BE49-F238E27FC236}">
              <a16:creationId xmlns:a16="http://schemas.microsoft.com/office/drawing/2014/main" id="{7D0476BB-15AF-4A68-AD79-32C726D7F987}"/>
            </a:ext>
            <a:ext uri="{147F2762-F138-4A5C-976F-8EAC2B608ADB}">
              <a16:predDERef xmlns:a16="http://schemas.microsoft.com/office/drawing/2014/main" pred="{AB670440-A222-4457-B7E0-566F6A432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228600</xdr:colOff>
      <xdr:row>102</xdr:row>
      <xdr:rowOff>15240</xdr:rowOff>
    </xdr:from>
    <xdr:to>
      <xdr:col>17</xdr:col>
      <xdr:colOff>571500</xdr:colOff>
      <xdr:row>117</xdr:row>
      <xdr:rowOff>171450</xdr:rowOff>
    </xdr:to>
    <xdr:graphicFrame macro="">
      <xdr:nvGraphicFramePr>
        <xdr:cNvPr id="8" name="Grafico 1">
          <a:extLst>
            <a:ext uri="{FF2B5EF4-FFF2-40B4-BE49-F238E27FC236}">
              <a16:creationId xmlns:a16="http://schemas.microsoft.com/office/drawing/2014/main" id="{49414592-5D33-47BB-BBA7-CFD1616EBC4C}"/>
            </a:ext>
            <a:ext uri="{147F2762-F138-4A5C-976F-8EAC2B608ADB}">
              <a16:predDERef xmlns:a16="http://schemas.microsoft.com/office/drawing/2014/main" pred="{70AA7C4B-8829-44C1-82E7-5013339E1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228600</xdr:colOff>
      <xdr:row>119</xdr:row>
      <xdr:rowOff>15240</xdr:rowOff>
    </xdr:from>
    <xdr:to>
      <xdr:col>17</xdr:col>
      <xdr:colOff>571500</xdr:colOff>
      <xdr:row>134</xdr:row>
      <xdr:rowOff>171450</xdr:rowOff>
    </xdr:to>
    <xdr:graphicFrame macro="">
      <xdr:nvGraphicFramePr>
        <xdr:cNvPr id="9" name="Grafico 1">
          <a:extLst>
            <a:ext uri="{FF2B5EF4-FFF2-40B4-BE49-F238E27FC236}">
              <a16:creationId xmlns:a16="http://schemas.microsoft.com/office/drawing/2014/main" id="{F7E4B0F2-0F1C-45C0-B2F3-2606DC318C87}"/>
            </a:ext>
            <a:ext uri="{147F2762-F138-4A5C-976F-8EAC2B608ADB}">
              <a16:predDERef xmlns:a16="http://schemas.microsoft.com/office/drawing/2014/main" pred="{1C35CFEF-3663-40CB-BD4E-F2BA6AB13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236220</xdr:colOff>
      <xdr:row>136</xdr:row>
      <xdr:rowOff>15240</xdr:rowOff>
    </xdr:from>
    <xdr:to>
      <xdr:col>17</xdr:col>
      <xdr:colOff>579120</xdr:colOff>
      <xdr:row>151</xdr:row>
      <xdr:rowOff>171450</xdr:rowOff>
    </xdr:to>
    <xdr:graphicFrame macro="">
      <xdr:nvGraphicFramePr>
        <xdr:cNvPr id="10" name="Grafico 1">
          <a:extLst>
            <a:ext uri="{FF2B5EF4-FFF2-40B4-BE49-F238E27FC236}">
              <a16:creationId xmlns:a16="http://schemas.microsoft.com/office/drawing/2014/main" id="{0B1FA619-D61C-406B-A2FC-A912E18EE46F}"/>
            </a:ext>
            <a:ext uri="{147F2762-F138-4A5C-976F-8EAC2B608ADB}">
              <a16:predDERef xmlns:a16="http://schemas.microsoft.com/office/drawing/2014/main" pred="{90D963AB-E181-42D2-86AB-01AA3A46E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485775</xdr:colOff>
      <xdr:row>272</xdr:row>
      <xdr:rowOff>57150</xdr:rowOff>
    </xdr:from>
    <xdr:to>
      <xdr:col>7</xdr:col>
      <xdr:colOff>474345</xdr:colOff>
      <xdr:row>294</xdr:row>
      <xdr:rowOff>133350</xdr:rowOff>
    </xdr:to>
    <xdr:graphicFrame macro="">
      <xdr:nvGraphicFramePr>
        <xdr:cNvPr id="28" name="Grafico 6">
          <a:extLst>
            <a:ext uri="{FF2B5EF4-FFF2-40B4-BE49-F238E27FC236}">
              <a16:creationId xmlns:a16="http://schemas.microsoft.com/office/drawing/2014/main" id="{8C73F021-5D4D-4952-9E37-BFC914FC6AA7}"/>
            </a:ext>
            <a:ext uri="{147F2762-F138-4A5C-976F-8EAC2B608ADB}">
              <a16:predDERef xmlns:a16="http://schemas.microsoft.com/office/drawing/2014/main" pred="{20297567-446A-4BCE-B072-09469BB9C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459105</xdr:colOff>
      <xdr:row>295</xdr:row>
      <xdr:rowOff>186690</xdr:rowOff>
    </xdr:from>
    <xdr:to>
      <xdr:col>8</xdr:col>
      <xdr:colOff>609601</xdr:colOff>
      <xdr:row>318</xdr:row>
      <xdr:rowOff>188595</xdr:rowOff>
    </xdr:to>
    <xdr:graphicFrame macro="">
      <xdr:nvGraphicFramePr>
        <xdr:cNvPr id="12" name="Grafico 6">
          <a:extLst>
            <a:ext uri="{FF2B5EF4-FFF2-40B4-BE49-F238E27FC236}">
              <a16:creationId xmlns:a16="http://schemas.microsoft.com/office/drawing/2014/main" id="{3DA71FDF-BE01-412C-B441-FF2271CE105E}"/>
            </a:ext>
            <a:ext uri="{147F2762-F138-4A5C-976F-8EAC2B608ADB}">
              <a16:predDERef xmlns:a16="http://schemas.microsoft.com/office/drawing/2014/main" pred="{707E0D88-0F77-43A8-94B8-7C57DFC8E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563879</xdr:colOff>
      <xdr:row>320</xdr:row>
      <xdr:rowOff>1908</xdr:rowOff>
    </xdr:from>
    <xdr:to>
      <xdr:col>7</xdr:col>
      <xdr:colOff>243839</xdr:colOff>
      <xdr:row>338</xdr:row>
      <xdr:rowOff>9526</xdr:rowOff>
    </xdr:to>
    <xdr:graphicFrame macro="">
      <xdr:nvGraphicFramePr>
        <xdr:cNvPr id="11" name="Grafico 101">
          <a:extLst>
            <a:ext uri="{FF2B5EF4-FFF2-40B4-BE49-F238E27FC236}">
              <a16:creationId xmlns:a16="http://schemas.microsoft.com/office/drawing/2014/main" id="{09CFEAE8-FB4F-4DC1-B1EF-B7E18931B0CC}"/>
            </a:ext>
            <a:ext uri="{147F2762-F138-4A5C-976F-8EAC2B608ADB}">
              <a16:predDERef xmlns:a16="http://schemas.microsoft.com/office/drawing/2014/main" pred="{B8BEF722-6FC1-403A-B006-BAA91B811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1125855</xdr:colOff>
      <xdr:row>339</xdr:row>
      <xdr:rowOff>0</xdr:rowOff>
    </xdr:from>
    <xdr:to>
      <xdr:col>6</xdr:col>
      <xdr:colOff>283845</xdr:colOff>
      <xdr:row>351</xdr:row>
      <xdr:rowOff>0</xdr:rowOff>
    </xdr:to>
    <xdr:graphicFrame macro="">
      <xdr:nvGraphicFramePr>
        <xdr:cNvPr id="14" name="Grafico 131">
          <a:extLst>
            <a:ext uri="{FF2B5EF4-FFF2-40B4-BE49-F238E27FC236}">
              <a16:creationId xmlns:a16="http://schemas.microsoft.com/office/drawing/2014/main" id="{41C99AE2-D4AB-406B-9993-50F74C6F12D7}"/>
            </a:ext>
            <a:ext uri="{147F2762-F138-4A5C-976F-8EAC2B608ADB}">
              <a16:predDERef xmlns:a16="http://schemas.microsoft.com/office/drawing/2014/main" pred="{2F407528-C2DA-4029-B016-411EC3BA3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1120140</xdr:colOff>
      <xdr:row>357</xdr:row>
      <xdr:rowOff>188595</xdr:rowOff>
    </xdr:from>
    <xdr:to>
      <xdr:col>6</xdr:col>
      <xdr:colOff>281940</xdr:colOff>
      <xdr:row>376</xdr:row>
      <xdr:rowOff>186690</xdr:rowOff>
    </xdr:to>
    <xdr:graphicFrame macro="">
      <xdr:nvGraphicFramePr>
        <xdr:cNvPr id="15" name="Grafico 132">
          <a:extLst>
            <a:ext uri="{FF2B5EF4-FFF2-40B4-BE49-F238E27FC236}">
              <a16:creationId xmlns:a16="http://schemas.microsoft.com/office/drawing/2014/main" id="{40B7CA1E-B959-47E8-B7D0-640431EA36C0}"/>
            </a:ext>
            <a:ext uri="{147F2762-F138-4A5C-976F-8EAC2B608ADB}">
              <a16:predDERef xmlns:a16="http://schemas.microsoft.com/office/drawing/2014/main" pred="{D061D072-BD69-4DC1-857F-E1A0DAED2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236220</xdr:colOff>
      <xdr:row>153</xdr:row>
      <xdr:rowOff>15240</xdr:rowOff>
    </xdr:from>
    <xdr:to>
      <xdr:col>17</xdr:col>
      <xdr:colOff>579120</xdr:colOff>
      <xdr:row>168</xdr:row>
      <xdr:rowOff>171450</xdr:rowOff>
    </xdr:to>
    <xdr:graphicFrame macro="">
      <xdr:nvGraphicFramePr>
        <xdr:cNvPr id="16" name="Grafico 1">
          <a:extLst>
            <a:ext uri="{FF2B5EF4-FFF2-40B4-BE49-F238E27FC236}">
              <a16:creationId xmlns:a16="http://schemas.microsoft.com/office/drawing/2014/main" id="{F163DE7E-BF2E-4339-BDD1-E5AE69C9E76F}"/>
            </a:ext>
            <a:ext uri="{147F2762-F138-4A5C-976F-8EAC2B608ADB}">
              <a16:predDERef xmlns:a16="http://schemas.microsoft.com/office/drawing/2014/main" pred="{40B7CA1E-B959-47E8-B7D0-640431EA3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236220</xdr:colOff>
      <xdr:row>170</xdr:row>
      <xdr:rowOff>15240</xdr:rowOff>
    </xdr:from>
    <xdr:to>
      <xdr:col>17</xdr:col>
      <xdr:colOff>579120</xdr:colOff>
      <xdr:row>185</xdr:row>
      <xdr:rowOff>171450</xdr:rowOff>
    </xdr:to>
    <xdr:graphicFrame macro="">
      <xdr:nvGraphicFramePr>
        <xdr:cNvPr id="17" name="Grafico 1">
          <a:extLst>
            <a:ext uri="{FF2B5EF4-FFF2-40B4-BE49-F238E27FC236}">
              <a16:creationId xmlns:a16="http://schemas.microsoft.com/office/drawing/2014/main" id="{444C79A9-A96B-4418-AB9B-7B840299DE87}"/>
            </a:ext>
            <a:ext uri="{147F2762-F138-4A5C-976F-8EAC2B608ADB}">
              <a16:predDERef xmlns:a16="http://schemas.microsoft.com/office/drawing/2014/main" pred="{F163DE7E-BF2E-4339-BDD1-E5AE69C9E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236220</xdr:colOff>
      <xdr:row>187</xdr:row>
      <xdr:rowOff>15240</xdr:rowOff>
    </xdr:from>
    <xdr:to>
      <xdr:col>17</xdr:col>
      <xdr:colOff>579120</xdr:colOff>
      <xdr:row>202</xdr:row>
      <xdr:rowOff>171450</xdr:rowOff>
    </xdr:to>
    <xdr:graphicFrame macro="">
      <xdr:nvGraphicFramePr>
        <xdr:cNvPr id="21" name="Grafico 1">
          <a:extLst>
            <a:ext uri="{FF2B5EF4-FFF2-40B4-BE49-F238E27FC236}">
              <a16:creationId xmlns:a16="http://schemas.microsoft.com/office/drawing/2014/main" id="{132F156C-50BA-4F22-88F3-A735C7D5B8CC}"/>
            </a:ext>
            <a:ext uri="{147F2762-F138-4A5C-976F-8EAC2B608ADB}">
              <a16:predDERef xmlns:a16="http://schemas.microsoft.com/office/drawing/2014/main" pred="{90D963AB-E181-42D2-86AB-01AA3A46E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236220</xdr:colOff>
      <xdr:row>255</xdr:row>
      <xdr:rowOff>15240</xdr:rowOff>
    </xdr:from>
    <xdr:to>
      <xdr:col>17</xdr:col>
      <xdr:colOff>579120</xdr:colOff>
      <xdr:row>270</xdr:row>
      <xdr:rowOff>171450</xdr:rowOff>
    </xdr:to>
    <xdr:graphicFrame macro="">
      <xdr:nvGraphicFramePr>
        <xdr:cNvPr id="27" name="Grafico 1">
          <a:extLst>
            <a:ext uri="{FF2B5EF4-FFF2-40B4-BE49-F238E27FC236}">
              <a16:creationId xmlns:a16="http://schemas.microsoft.com/office/drawing/2014/main" id="{52056EC4-328E-421B-8DB3-EA5F1336197E}"/>
            </a:ext>
            <a:ext uri="{147F2762-F138-4A5C-976F-8EAC2B608ADB}">
              <a16:predDERef xmlns:a16="http://schemas.microsoft.com/office/drawing/2014/main" pred="{90D963AB-E181-42D2-86AB-01AA3A46E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228600</xdr:colOff>
      <xdr:row>238</xdr:row>
      <xdr:rowOff>0</xdr:rowOff>
    </xdr:from>
    <xdr:to>
      <xdr:col>17</xdr:col>
      <xdr:colOff>571500</xdr:colOff>
      <xdr:row>253</xdr:row>
      <xdr:rowOff>156210</xdr:rowOff>
    </xdr:to>
    <xdr:graphicFrame macro="">
      <xdr:nvGraphicFramePr>
        <xdr:cNvPr id="29" name="Grafico 1">
          <a:extLst>
            <a:ext uri="{FF2B5EF4-FFF2-40B4-BE49-F238E27FC236}">
              <a16:creationId xmlns:a16="http://schemas.microsoft.com/office/drawing/2014/main" id="{5AAA517E-3F54-4C61-9BC5-96B045FBFFAC}"/>
            </a:ext>
            <a:ext uri="{147F2762-F138-4A5C-976F-8EAC2B608ADB}">
              <a16:predDERef xmlns:a16="http://schemas.microsoft.com/office/drawing/2014/main" pred="{90D963AB-E181-42D2-86AB-01AA3A46E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213360</xdr:colOff>
      <xdr:row>221</xdr:row>
      <xdr:rowOff>15240</xdr:rowOff>
    </xdr:from>
    <xdr:to>
      <xdr:col>17</xdr:col>
      <xdr:colOff>556260</xdr:colOff>
      <xdr:row>236</xdr:row>
      <xdr:rowOff>171450</xdr:rowOff>
    </xdr:to>
    <xdr:graphicFrame macro="">
      <xdr:nvGraphicFramePr>
        <xdr:cNvPr id="30" name="Grafico 1">
          <a:extLst>
            <a:ext uri="{FF2B5EF4-FFF2-40B4-BE49-F238E27FC236}">
              <a16:creationId xmlns:a16="http://schemas.microsoft.com/office/drawing/2014/main" id="{D57DD88F-78F7-4E97-8925-2166B1A71101}"/>
            </a:ext>
            <a:ext uri="{147F2762-F138-4A5C-976F-8EAC2B608ADB}">
              <a16:predDERef xmlns:a16="http://schemas.microsoft.com/office/drawing/2014/main" pred="{90D963AB-E181-42D2-86AB-01AA3A46E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190500</xdr:colOff>
      <xdr:row>203</xdr:row>
      <xdr:rowOff>30480</xdr:rowOff>
    </xdr:from>
    <xdr:to>
      <xdr:col>17</xdr:col>
      <xdr:colOff>533400</xdr:colOff>
      <xdr:row>220</xdr:row>
      <xdr:rowOff>125730</xdr:rowOff>
    </xdr:to>
    <xdr:graphicFrame macro="">
      <xdr:nvGraphicFramePr>
        <xdr:cNvPr id="31" name="Grafico 1">
          <a:extLst>
            <a:ext uri="{FF2B5EF4-FFF2-40B4-BE49-F238E27FC236}">
              <a16:creationId xmlns:a16="http://schemas.microsoft.com/office/drawing/2014/main" id="{F9343DC5-ED35-45D1-B2E2-8C70BF6969C5}"/>
            </a:ext>
            <a:ext uri="{147F2762-F138-4A5C-976F-8EAC2B608ADB}">
              <a16:predDERef xmlns:a16="http://schemas.microsoft.com/office/drawing/2014/main" pred="{90D963AB-E181-42D2-86AB-01AA3A46E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5"/>
  <sheetViews>
    <sheetView topLeftCell="A172" workbookViewId="0">
      <selection activeCell="J183" sqref="J183"/>
    </sheetView>
  </sheetViews>
  <sheetFormatPr defaultColWidth="9.109375" defaultRowHeight="14.4" x14ac:dyDescent="0.3"/>
  <cols>
    <col min="1" max="1" width="29.109375" style="4" customWidth="1"/>
    <col min="2" max="2" width="17.33203125" style="4" customWidth="1"/>
    <col min="3" max="3" width="17" style="9" customWidth="1"/>
    <col min="4" max="4" width="28" style="4" customWidth="1"/>
    <col min="5" max="5" width="16.88671875" style="4" customWidth="1"/>
    <col min="6" max="6" width="25.109375" style="4" customWidth="1"/>
    <col min="7" max="7" width="9.109375" style="4"/>
    <col min="8" max="8" width="21" style="4" customWidth="1"/>
    <col min="9" max="9" width="15.6640625" style="4" customWidth="1"/>
    <col min="10" max="10" width="15.88671875" style="4" customWidth="1"/>
    <col min="11" max="11" width="14.5546875" style="4" customWidth="1"/>
    <col min="12" max="12" width="14.109375" style="4" customWidth="1"/>
    <col min="13" max="16384" width="9.109375" style="4"/>
  </cols>
  <sheetData>
    <row r="1" spans="1:11" x14ac:dyDescent="0.3">
      <c r="A1" s="2" t="s">
        <v>0</v>
      </c>
      <c r="C1" s="8" t="s">
        <v>1</v>
      </c>
      <c r="D1" s="2" t="s">
        <v>2</v>
      </c>
      <c r="E1" s="2" t="s">
        <v>3</v>
      </c>
      <c r="H1" s="2" t="s">
        <v>4</v>
      </c>
      <c r="I1" s="2" t="s">
        <v>5</v>
      </c>
      <c r="J1" s="2" t="s">
        <v>6</v>
      </c>
      <c r="K1" s="2"/>
    </row>
    <row r="2" spans="1:11" x14ac:dyDescent="0.3">
      <c r="A2" s="5">
        <v>1.6634915464653999E-2</v>
      </c>
      <c r="C2" s="9">
        <f>AVERAGE(A2:A16)</f>
        <v>1.6593894121528067E-2</v>
      </c>
      <c r="D2" s="4">
        <f>_xlfn.VAR.S(A2:A16)</f>
        <v>1.721283293695362E-8</v>
      </c>
      <c r="E2" s="4">
        <f>SQRT(D2)/C2</f>
        <v>7.9063832465297995E-3</v>
      </c>
      <c r="H2" s="5">
        <v>1.6320649617893E-2</v>
      </c>
      <c r="I2" s="4">
        <f>1/15 - 0.5/15</f>
        <v>3.3333333333333333E-2</v>
      </c>
      <c r="J2" s="4">
        <f t="shared" ref="J2:J11" si="0">4.91*(I2^0.14-(1-I2)^0.14)</f>
        <v>-1.836858897688687</v>
      </c>
    </row>
    <row r="3" spans="1:11" x14ac:dyDescent="0.3">
      <c r="A3" s="5">
        <v>1.6706821000998E-2</v>
      </c>
      <c r="H3" s="5">
        <v>1.6366951162037999E-2</v>
      </c>
      <c r="I3" s="4">
        <f>I2+1/15</f>
        <v>0.1</v>
      </c>
      <c r="J3" s="4">
        <f t="shared" si="0"/>
        <v>-1.2811261510381207</v>
      </c>
    </row>
    <row r="4" spans="1:11" x14ac:dyDescent="0.3">
      <c r="A4" s="5">
        <v>1.6569913313339998E-2</v>
      </c>
      <c r="C4" s="8" t="s">
        <v>7</v>
      </c>
      <c r="E4" s="2" t="s">
        <v>8</v>
      </c>
      <c r="H4" s="5">
        <v>1.6399044507836E-2</v>
      </c>
      <c r="I4" s="4">
        <f t="shared" ref="I4:I16" si="1">I3+1/15</f>
        <v>0.16666666666666669</v>
      </c>
      <c r="J4" s="4">
        <f t="shared" si="0"/>
        <v>-0.96558119772402384</v>
      </c>
    </row>
    <row r="5" spans="1:11" x14ac:dyDescent="0.3">
      <c r="A5" s="5">
        <v>1.6621592700548998E-2</v>
      </c>
      <c r="C5" s="9">
        <f>MEDIAN(A2:A16)</f>
        <v>1.6624437236143999E-2</v>
      </c>
      <c r="E5" s="4">
        <v>2.145</v>
      </c>
      <c r="H5" s="5">
        <v>1.6569913313339998E-2</v>
      </c>
      <c r="I5" s="4">
        <f t="shared" si="1"/>
        <v>0.23333333333333334</v>
      </c>
      <c r="J5" s="4">
        <f t="shared" si="0"/>
        <v>-0.72575040815577163</v>
      </c>
    </row>
    <row r="6" spans="1:11" x14ac:dyDescent="0.3">
      <c r="A6" s="5">
        <v>1.664795091949E-2</v>
      </c>
      <c r="H6" s="5">
        <v>1.6578428317708001E-2</v>
      </c>
      <c r="I6" s="4">
        <f t="shared" si="1"/>
        <v>0.3</v>
      </c>
      <c r="J6" s="4">
        <f t="shared" si="0"/>
        <v>-0.52246305252576009</v>
      </c>
    </row>
    <row r="7" spans="1:11" x14ac:dyDescent="0.3">
      <c r="A7" s="5">
        <v>1.6712381942976001E-2</v>
      </c>
      <c r="C7" s="8"/>
      <c r="D7" s="2" t="s">
        <v>9</v>
      </c>
      <c r="H7" s="5">
        <v>1.6605436831945999E-2</v>
      </c>
      <c r="I7" s="4">
        <f t="shared" si="1"/>
        <v>0.36666666666666664</v>
      </c>
      <c r="J7" s="4">
        <f t="shared" si="0"/>
        <v>-0.33927638280750583</v>
      </c>
    </row>
    <row r="8" spans="1:11" x14ac:dyDescent="0.3">
      <c r="A8" s="5">
        <v>1.6650887939671E-2</v>
      </c>
      <c r="C8" s="8" t="s">
        <v>10</v>
      </c>
      <c r="D8" s="4">
        <f>C2+E5*SQRT(D2)/(SQRT(15))</f>
        <v>1.6666556204562595E-2</v>
      </c>
      <c r="H8" s="5">
        <v>1.6621592700548998E-2</v>
      </c>
      <c r="I8" s="4">
        <f t="shared" si="1"/>
        <v>0.43333333333333329</v>
      </c>
      <c r="J8" s="4">
        <f t="shared" si="0"/>
        <v>-0.16715058832373922</v>
      </c>
    </row>
    <row r="9" spans="1:11" x14ac:dyDescent="0.3">
      <c r="A9" s="5">
        <v>1.6737214160376001E-2</v>
      </c>
      <c r="C9" s="8" t="s">
        <v>11</v>
      </c>
      <c r="D9" s="4">
        <f>C2-E5*SQRT(D2)/(SQRT(15))</f>
        <v>1.6521232038493538E-2</v>
      </c>
      <c r="H9" s="5">
        <v>1.6624437236143999E-2</v>
      </c>
      <c r="I9" s="4">
        <f t="shared" si="1"/>
        <v>0.49999999999999994</v>
      </c>
      <c r="J9" s="4">
        <f t="shared" si="0"/>
        <v>0</v>
      </c>
    </row>
    <row r="10" spans="1:11" x14ac:dyDescent="0.3">
      <c r="A10" s="5">
        <v>1.6731786707302E-2</v>
      </c>
      <c r="H10" s="5">
        <v>1.6634915464653999E-2</v>
      </c>
      <c r="I10" s="4">
        <f t="shared" si="1"/>
        <v>0.56666666666666665</v>
      </c>
      <c r="J10" s="4">
        <f t="shared" si="0"/>
        <v>0.16715058832373922</v>
      </c>
    </row>
    <row r="11" spans="1:11" x14ac:dyDescent="0.3">
      <c r="A11" s="5">
        <v>1.6605436831945999E-2</v>
      </c>
      <c r="H11" s="5">
        <v>1.664795091949E-2</v>
      </c>
      <c r="I11" s="4">
        <f t="shared" si="1"/>
        <v>0.6333333333333333</v>
      </c>
      <c r="J11" s="4">
        <f t="shared" si="0"/>
        <v>0.33927638280750583</v>
      </c>
    </row>
    <row r="12" spans="1:11" x14ac:dyDescent="0.3">
      <c r="A12" s="5">
        <v>1.6320649617893E-2</v>
      </c>
      <c r="H12" s="5">
        <v>1.6650887939671E-2</v>
      </c>
      <c r="I12" s="4">
        <f t="shared" si="1"/>
        <v>0.7</v>
      </c>
      <c r="J12" s="4">
        <f t="shared" ref="J12:J16" si="2">4.91*(I12^0.14-(1-I12)^0.14)</f>
        <v>0.52246305252576009</v>
      </c>
    </row>
    <row r="13" spans="1:11" x14ac:dyDescent="0.3">
      <c r="A13" s="5">
        <v>1.6578428317708001E-2</v>
      </c>
      <c r="H13" s="5">
        <v>1.6706821000998E-2</v>
      </c>
      <c r="I13" s="4">
        <f t="shared" si="1"/>
        <v>0.76666666666666661</v>
      </c>
      <c r="J13" s="4">
        <f t="shared" si="2"/>
        <v>0.72575040815577163</v>
      </c>
    </row>
    <row r="14" spans="1:11" x14ac:dyDescent="0.3">
      <c r="A14" s="5">
        <v>1.6399044507836E-2</v>
      </c>
      <c r="H14" s="5">
        <v>1.6712381942976001E-2</v>
      </c>
      <c r="I14" s="4">
        <f t="shared" si="1"/>
        <v>0.83333333333333326</v>
      </c>
      <c r="J14" s="4">
        <f t="shared" si="2"/>
        <v>0.96558119772402329</v>
      </c>
    </row>
    <row r="15" spans="1:11" x14ac:dyDescent="0.3">
      <c r="A15" s="5">
        <v>1.6366951162037999E-2</v>
      </c>
      <c r="H15" s="5">
        <v>1.6731786707302E-2</v>
      </c>
      <c r="I15" s="4">
        <f t="shared" si="1"/>
        <v>0.89999999999999991</v>
      </c>
      <c r="J15" s="4">
        <f t="shared" si="2"/>
        <v>1.2811261510381207</v>
      </c>
    </row>
    <row r="16" spans="1:11" x14ac:dyDescent="0.3">
      <c r="A16" s="5">
        <v>1.6624437236143999E-2</v>
      </c>
      <c r="H16" s="5">
        <v>1.6737214160376001E-2</v>
      </c>
      <c r="I16" s="4">
        <f t="shared" si="1"/>
        <v>0.96666666666666656</v>
      </c>
      <c r="J16" s="4">
        <f t="shared" si="2"/>
        <v>1.8368588976886859</v>
      </c>
    </row>
    <row r="17" spans="1:10" s="3" customFormat="1" ht="3.75" customHeight="1" x14ac:dyDescent="0.3">
      <c r="C17" s="10"/>
    </row>
    <row r="18" spans="1:10" x14ac:dyDescent="0.3">
      <c r="A18" s="2" t="s">
        <v>12</v>
      </c>
      <c r="C18" s="8" t="s">
        <v>1</v>
      </c>
      <c r="D18" s="2" t="s">
        <v>2</v>
      </c>
      <c r="E18" s="2" t="s">
        <v>3</v>
      </c>
      <c r="F18" s="2"/>
      <c r="G18" s="2"/>
      <c r="H18" s="2" t="s">
        <v>4</v>
      </c>
      <c r="I18" s="2" t="s">
        <v>5</v>
      </c>
      <c r="J18" s="2" t="s">
        <v>6</v>
      </c>
    </row>
    <row r="19" spans="1:10" x14ac:dyDescent="0.3">
      <c r="A19" s="6">
        <v>1.9098836730524E-2</v>
      </c>
      <c r="C19" s="9">
        <f>AVERAGE(A19:A33)</f>
        <v>1.9076697528669799E-2</v>
      </c>
      <c r="D19" s="4">
        <f>_xlfn.VAR.S(A19:A33)</f>
        <v>3.6333922478667028E-8</v>
      </c>
      <c r="E19" s="4">
        <f>SQRT(D19)/C19</f>
        <v>9.9920120438398777E-3</v>
      </c>
      <c r="H19" s="7">
        <v>1.8636813237599002E-2</v>
      </c>
      <c r="I19" s="4">
        <f>1/15 - 0.5/15</f>
        <v>3.3333333333333333E-2</v>
      </c>
      <c r="J19" s="4">
        <f t="shared" ref="J19:J28" si="3">4.91*(I19^0.14-(1-I19)^0.14)</f>
        <v>-1.836858897688687</v>
      </c>
    </row>
    <row r="20" spans="1:10" x14ac:dyDescent="0.3">
      <c r="A20" s="6">
        <v>1.9246975039608E-2</v>
      </c>
      <c r="H20" s="7">
        <v>1.8774891816207999E-2</v>
      </c>
      <c r="I20" s="4">
        <f>I19+1/15</f>
        <v>0.1</v>
      </c>
      <c r="J20" s="4">
        <f t="shared" si="3"/>
        <v>-1.2811261510381207</v>
      </c>
    </row>
    <row r="21" spans="1:10" x14ac:dyDescent="0.3">
      <c r="A21" s="6">
        <v>1.9123747882125001E-2</v>
      </c>
      <c r="C21" s="8" t="s">
        <v>7</v>
      </c>
      <c r="E21" s="2" t="s">
        <v>8</v>
      </c>
      <c r="H21" s="7">
        <v>1.8865591169485999E-2</v>
      </c>
      <c r="I21" s="4">
        <f t="shared" ref="I21:I33" si="4">I20+1/15</f>
        <v>0.16666666666666669</v>
      </c>
      <c r="J21" s="4">
        <f t="shared" si="3"/>
        <v>-0.96558119772402384</v>
      </c>
    </row>
    <row r="22" spans="1:10" x14ac:dyDescent="0.3">
      <c r="A22" s="6">
        <v>1.9128757720969999E-2</v>
      </c>
      <c r="C22" s="9">
        <f>MEDIAN(A19:A33)</f>
        <v>1.9123747882125001E-2</v>
      </c>
      <c r="E22" s="4">
        <v>2.145</v>
      </c>
      <c r="H22" s="7">
        <v>1.8977441113615E-2</v>
      </c>
      <c r="I22" s="4">
        <f t="shared" si="4"/>
        <v>0.23333333333333334</v>
      </c>
      <c r="J22" s="4">
        <f t="shared" si="3"/>
        <v>-0.72575040815577163</v>
      </c>
    </row>
    <row r="23" spans="1:10" ht="14.25" customHeight="1" x14ac:dyDescent="0.3">
      <c r="A23" s="6">
        <v>1.9148437442832001E-2</v>
      </c>
      <c r="H23" s="7">
        <v>1.9064594930087001E-2</v>
      </c>
      <c r="I23" s="4">
        <f t="shared" si="4"/>
        <v>0.3</v>
      </c>
      <c r="J23" s="4">
        <f t="shared" si="3"/>
        <v>-0.52246305252576009</v>
      </c>
    </row>
    <row r="24" spans="1:10" x14ac:dyDescent="0.3">
      <c r="A24" s="6">
        <v>1.9247771159270999E-2</v>
      </c>
      <c r="C24" s="8"/>
      <c r="D24" s="2" t="s">
        <v>9</v>
      </c>
      <c r="H24" s="7">
        <v>1.9098836730524E-2</v>
      </c>
      <c r="I24" s="4">
        <f t="shared" si="4"/>
        <v>0.36666666666666664</v>
      </c>
      <c r="J24" s="4">
        <f t="shared" si="3"/>
        <v>-0.33927638280750583</v>
      </c>
    </row>
    <row r="25" spans="1:10" x14ac:dyDescent="0.3">
      <c r="A25" s="6">
        <v>1.9136670028603999E-2</v>
      </c>
      <c r="C25" s="8" t="s">
        <v>10</v>
      </c>
      <c r="D25" s="4">
        <f>C19+E22*SQRT(D19)/(SQRT(15))</f>
        <v>1.9182266869443975E-2</v>
      </c>
      <c r="H25" s="7">
        <v>1.910822256025E-2</v>
      </c>
      <c r="I25" s="4">
        <f t="shared" si="4"/>
        <v>0.43333333333333329</v>
      </c>
      <c r="J25" s="4">
        <f t="shared" si="3"/>
        <v>-0.16715058832373922</v>
      </c>
    </row>
    <row r="26" spans="1:10" x14ac:dyDescent="0.3">
      <c r="A26" s="6">
        <v>1.9301004536141999E-2</v>
      </c>
      <c r="C26" s="8" t="s">
        <v>11</v>
      </c>
      <c r="D26" s="4">
        <f>C19-E22*SQRT(D19)/(SQRT(15))</f>
        <v>1.8971128187895623E-2</v>
      </c>
      <c r="H26" s="7">
        <v>1.9123747882125001E-2</v>
      </c>
      <c r="I26" s="4">
        <f t="shared" si="4"/>
        <v>0.49999999999999994</v>
      </c>
      <c r="J26" s="4">
        <f t="shared" si="3"/>
        <v>0</v>
      </c>
    </row>
    <row r="27" spans="1:10" x14ac:dyDescent="0.3">
      <c r="A27" s="6">
        <v>1.9290707562725998E-2</v>
      </c>
      <c r="H27" s="7">
        <v>1.9128757720969999E-2</v>
      </c>
      <c r="I27" s="4">
        <f t="shared" si="4"/>
        <v>0.56666666666666665</v>
      </c>
      <c r="J27" s="4">
        <f t="shared" si="3"/>
        <v>0.16715058832373922</v>
      </c>
    </row>
    <row r="28" spans="1:10" ht="16.5" customHeight="1" x14ac:dyDescent="0.3">
      <c r="A28" s="6">
        <v>1.9064594930087001E-2</v>
      </c>
      <c r="H28" s="7">
        <v>1.9136670028603999E-2</v>
      </c>
      <c r="I28" s="4">
        <f t="shared" si="4"/>
        <v>0.6333333333333333</v>
      </c>
      <c r="J28" s="4">
        <f t="shared" si="3"/>
        <v>0.33927638280750583</v>
      </c>
    </row>
    <row r="29" spans="1:10" ht="16.5" customHeight="1" x14ac:dyDescent="0.3">
      <c r="A29" s="6">
        <v>1.8636813237599002E-2</v>
      </c>
      <c r="H29" s="7">
        <v>1.9148437442832001E-2</v>
      </c>
      <c r="I29" s="4">
        <f t="shared" si="4"/>
        <v>0.7</v>
      </c>
      <c r="J29" s="4">
        <f t="shared" ref="J29:J33" si="5">4.91*(I29^0.14-(1-I29)^0.14)</f>
        <v>0.52246305252576009</v>
      </c>
    </row>
    <row r="30" spans="1:10" ht="16.5" customHeight="1" x14ac:dyDescent="0.3">
      <c r="A30" s="6">
        <v>1.910822256025E-2</v>
      </c>
      <c r="H30" s="7">
        <v>1.9246975039608E-2</v>
      </c>
      <c r="I30" s="4">
        <f t="shared" si="4"/>
        <v>0.76666666666666661</v>
      </c>
      <c r="J30" s="4">
        <f t="shared" si="5"/>
        <v>0.72575040815577163</v>
      </c>
    </row>
    <row r="31" spans="1:10" ht="16.5" customHeight="1" x14ac:dyDescent="0.3">
      <c r="A31" s="6">
        <v>1.8865591169485999E-2</v>
      </c>
      <c r="H31" s="7">
        <v>1.9247771159270999E-2</v>
      </c>
      <c r="I31" s="4">
        <f t="shared" si="4"/>
        <v>0.83333333333333326</v>
      </c>
      <c r="J31" s="4">
        <f t="shared" si="5"/>
        <v>0.96558119772402329</v>
      </c>
    </row>
    <row r="32" spans="1:10" ht="16.5" customHeight="1" x14ac:dyDescent="0.3">
      <c r="A32" s="6">
        <v>1.8774891816207999E-2</v>
      </c>
      <c r="H32" s="7">
        <v>1.9290707562725998E-2</v>
      </c>
      <c r="I32" s="4">
        <f t="shared" si="4"/>
        <v>0.89999999999999991</v>
      </c>
      <c r="J32" s="4">
        <f t="shared" si="5"/>
        <v>1.2811261510381207</v>
      </c>
    </row>
    <row r="33" spans="1:10" ht="16.5" customHeight="1" x14ac:dyDescent="0.3">
      <c r="A33" s="6">
        <v>1.8977441113615E-2</v>
      </c>
      <c r="H33" s="7">
        <v>1.9301004536141999E-2</v>
      </c>
      <c r="I33" s="4">
        <f t="shared" si="4"/>
        <v>0.96666666666666656</v>
      </c>
      <c r="J33" s="4">
        <f t="shared" si="5"/>
        <v>1.8368588976886859</v>
      </c>
    </row>
    <row r="34" spans="1:10" s="3" customFormat="1" ht="3.75" customHeight="1" x14ac:dyDescent="0.3">
      <c r="C34" s="10"/>
    </row>
    <row r="35" spans="1:10" x14ac:dyDescent="0.3">
      <c r="A35" s="2" t="s">
        <v>13</v>
      </c>
      <c r="C35" s="8" t="s">
        <v>1</v>
      </c>
      <c r="D35" s="2" t="s">
        <v>2</v>
      </c>
      <c r="E35" s="2" t="s">
        <v>3</v>
      </c>
      <c r="F35" s="2"/>
      <c r="H35" s="2" t="s">
        <v>4</v>
      </c>
      <c r="I35" s="2" t="s">
        <v>5</v>
      </c>
      <c r="J35" s="2" t="s">
        <v>6</v>
      </c>
    </row>
    <row r="36" spans="1:10" x14ac:dyDescent="0.3">
      <c r="A36" s="7">
        <v>2.1933521995107001E-2</v>
      </c>
      <c r="C36" s="9">
        <f>AVERAGE(A36:A50)</f>
        <v>2.1893523264155935E-2</v>
      </c>
      <c r="D36" s="4">
        <f>_xlfn.VAR.S(A36:A50)</f>
        <v>4.7413536791951243E-8</v>
      </c>
      <c r="E36" s="4">
        <f>SQRT(D36)/C36</f>
        <v>9.9457037588976654E-3</v>
      </c>
      <c r="H36" s="7">
        <v>2.1424732896605E-2</v>
      </c>
      <c r="I36" s="4">
        <f>1/15 - 0.5/15</f>
        <v>3.3333333333333333E-2</v>
      </c>
      <c r="J36" s="4">
        <f t="shared" ref="J36:J45" si="6">4.91*(I36^0.14-(1-I36)^0.14)</f>
        <v>-1.836858897688687</v>
      </c>
    </row>
    <row r="37" spans="1:10" x14ac:dyDescent="0.3">
      <c r="A37" s="7">
        <v>2.2151909306672001E-2</v>
      </c>
      <c r="H37" s="7">
        <v>2.1562872863161001E-2</v>
      </c>
      <c r="I37" s="4">
        <f>I36+1/15</f>
        <v>0.1</v>
      </c>
      <c r="J37" s="4">
        <f t="shared" si="6"/>
        <v>-1.2811261510381207</v>
      </c>
    </row>
    <row r="38" spans="1:10" x14ac:dyDescent="0.3">
      <c r="A38" s="7">
        <v>2.1939573620125E-2</v>
      </c>
      <c r="C38" s="8" t="s">
        <v>7</v>
      </c>
      <c r="E38" s="2" t="s">
        <v>8</v>
      </c>
      <c r="H38" s="7">
        <v>2.1594588519203001E-2</v>
      </c>
      <c r="I38" s="4">
        <f t="shared" ref="I38:I50" si="7">I37+1/15</f>
        <v>0.16666666666666669</v>
      </c>
      <c r="J38" s="4">
        <f t="shared" si="6"/>
        <v>-0.96558119772402384</v>
      </c>
    </row>
    <row r="39" spans="1:10" x14ac:dyDescent="0.3">
      <c r="A39" s="7">
        <v>2.1970791125868E-2</v>
      </c>
      <c r="C39" s="9">
        <f>MEDIAN(A36:A50)</f>
        <v>2.1939573620125E-2</v>
      </c>
      <c r="E39" s="4">
        <v>2.145</v>
      </c>
      <c r="H39" s="7">
        <v>2.1770510883377999E-2</v>
      </c>
      <c r="I39" s="4">
        <f t="shared" si="7"/>
        <v>0.23333333333333334</v>
      </c>
      <c r="J39" s="4">
        <f t="shared" si="6"/>
        <v>-0.72575040815577163</v>
      </c>
    </row>
    <row r="40" spans="1:10" x14ac:dyDescent="0.3">
      <c r="A40" s="7">
        <v>2.1770510883377999E-2</v>
      </c>
      <c r="H40" s="7">
        <v>2.1874996795027E-2</v>
      </c>
      <c r="I40" s="4">
        <f t="shared" si="7"/>
        <v>0.3</v>
      </c>
      <c r="J40" s="4">
        <f t="shared" si="6"/>
        <v>-0.52246305252576009</v>
      </c>
    </row>
    <row r="41" spans="1:10" x14ac:dyDescent="0.3">
      <c r="A41" s="7">
        <v>2.2063544498851999E-2</v>
      </c>
      <c r="C41" s="8"/>
      <c r="D41" s="2" t="s">
        <v>9</v>
      </c>
      <c r="H41" s="7">
        <v>2.1928896758872999E-2</v>
      </c>
      <c r="I41" s="4">
        <f t="shared" si="7"/>
        <v>0.36666666666666664</v>
      </c>
      <c r="J41" s="4">
        <f t="shared" si="6"/>
        <v>-0.33927638280750583</v>
      </c>
    </row>
    <row r="42" spans="1:10" x14ac:dyDescent="0.3">
      <c r="A42" s="7">
        <v>2.1979465759240001E-2</v>
      </c>
      <c r="C42" s="8" t="s">
        <v>10</v>
      </c>
      <c r="D42" s="4">
        <f>C36+E39*SQRT(D36)/(SQRT(15))</f>
        <v>2.2014119247537964E-2</v>
      </c>
      <c r="H42" s="7">
        <v>2.1933521995107001E-2</v>
      </c>
      <c r="I42" s="4">
        <f t="shared" si="7"/>
        <v>0.43333333333333329</v>
      </c>
      <c r="J42" s="4">
        <f t="shared" si="6"/>
        <v>-0.16715058832373922</v>
      </c>
    </row>
    <row r="43" spans="1:10" x14ac:dyDescent="0.3">
      <c r="A43" s="7">
        <v>2.1945257373094999E-2</v>
      </c>
      <c r="C43" s="8" t="s">
        <v>11</v>
      </c>
      <c r="D43" s="4">
        <f>C36-E39*SQRT(D36)/(SQRT(15))</f>
        <v>2.1772927280773905E-2</v>
      </c>
      <c r="H43" s="7">
        <v>2.1939573620125E-2</v>
      </c>
      <c r="I43" s="4">
        <f t="shared" si="7"/>
        <v>0.49999999999999994</v>
      </c>
      <c r="J43" s="4">
        <f t="shared" si="6"/>
        <v>0</v>
      </c>
    </row>
    <row r="44" spans="1:10" x14ac:dyDescent="0.3">
      <c r="A44" s="7">
        <v>2.2143419977846999E-2</v>
      </c>
      <c r="H44" s="7">
        <v>2.1945257373094999E-2</v>
      </c>
      <c r="I44" s="4">
        <f t="shared" si="7"/>
        <v>0.56666666666666665</v>
      </c>
      <c r="J44" s="4">
        <f t="shared" si="6"/>
        <v>0.16715058832373922</v>
      </c>
    </row>
    <row r="45" spans="1:10" x14ac:dyDescent="0.3">
      <c r="A45" s="7">
        <v>2.2118766589286E-2</v>
      </c>
      <c r="H45" s="7">
        <v>2.1970791125868E-2</v>
      </c>
      <c r="I45" s="4">
        <f t="shared" si="7"/>
        <v>0.6333333333333333</v>
      </c>
      <c r="J45" s="4">
        <f t="shared" si="6"/>
        <v>0.33927638280750583</v>
      </c>
    </row>
    <row r="46" spans="1:10" x14ac:dyDescent="0.3">
      <c r="A46" s="7">
        <v>2.1424732896605E-2</v>
      </c>
      <c r="H46" s="7">
        <v>2.1979465759240001E-2</v>
      </c>
      <c r="I46" s="4">
        <f t="shared" si="7"/>
        <v>0.7</v>
      </c>
      <c r="J46" s="4">
        <f t="shared" ref="J46:J50" si="8">4.91*(I46^0.14-(1-I46)^0.14)</f>
        <v>0.52246305252576009</v>
      </c>
    </row>
    <row r="47" spans="1:10" x14ac:dyDescent="0.3">
      <c r="A47" s="7">
        <v>2.1928896758872999E-2</v>
      </c>
      <c r="H47" s="7">
        <v>2.2063544498851999E-2</v>
      </c>
      <c r="I47" s="4">
        <f t="shared" si="7"/>
        <v>0.76666666666666661</v>
      </c>
      <c r="J47" s="4">
        <f t="shared" si="8"/>
        <v>0.72575040815577163</v>
      </c>
    </row>
    <row r="48" spans="1:10" x14ac:dyDescent="0.3">
      <c r="A48" s="7">
        <v>2.1562872863161001E-2</v>
      </c>
      <c r="H48" s="7">
        <v>2.2118766589286E-2</v>
      </c>
      <c r="I48" s="4">
        <f t="shared" si="7"/>
        <v>0.83333333333333326</v>
      </c>
      <c r="J48" s="4">
        <f t="shared" si="8"/>
        <v>0.96558119772402329</v>
      </c>
    </row>
    <row r="49" spans="1:10" x14ac:dyDescent="0.3">
      <c r="A49" s="7">
        <v>2.1594588519203001E-2</v>
      </c>
      <c r="H49" s="7">
        <v>2.2143419977846999E-2</v>
      </c>
      <c r="I49" s="4">
        <f t="shared" si="7"/>
        <v>0.89999999999999991</v>
      </c>
      <c r="J49" s="4">
        <f t="shared" si="8"/>
        <v>1.2811261510381207</v>
      </c>
    </row>
    <row r="50" spans="1:10" x14ac:dyDescent="0.3">
      <c r="A50" s="7">
        <v>2.1874996795027E-2</v>
      </c>
      <c r="H50" s="7">
        <v>2.2151909306672001E-2</v>
      </c>
      <c r="I50" s="4">
        <f t="shared" si="7"/>
        <v>0.96666666666666656</v>
      </c>
      <c r="J50" s="4">
        <f t="shared" si="8"/>
        <v>1.8368588976886859</v>
      </c>
    </row>
    <row r="51" spans="1:10" s="3" customFormat="1" ht="4.5" customHeight="1" x14ac:dyDescent="0.3">
      <c r="C51" s="10"/>
    </row>
    <row r="52" spans="1:10" x14ac:dyDescent="0.3">
      <c r="A52" s="2" t="s">
        <v>14</v>
      </c>
      <c r="C52" s="8" t="s">
        <v>1</v>
      </c>
      <c r="D52" s="2" t="s">
        <v>2</v>
      </c>
      <c r="E52" s="2" t="s">
        <v>3</v>
      </c>
      <c r="F52" s="2"/>
      <c r="H52" s="2" t="s">
        <v>4</v>
      </c>
      <c r="I52" s="2" t="s">
        <v>5</v>
      </c>
      <c r="J52" s="2" t="s">
        <v>6</v>
      </c>
    </row>
    <row r="53" spans="1:10" x14ac:dyDescent="0.3">
      <c r="A53" s="7">
        <v>2.5207621163306E-2</v>
      </c>
      <c r="C53" s="9">
        <f>AVERAGE(A53:A67)</f>
        <v>2.51472499688946E-2</v>
      </c>
      <c r="D53" s="4">
        <f>_xlfn.VAR.S(A53:A67)</f>
        <v>9.6713391913041116E-8</v>
      </c>
      <c r="E53" s="4">
        <f>SQRT(D53)/C53</f>
        <v>1.2366671047254299E-2</v>
      </c>
      <c r="H53" s="7">
        <v>2.4486818607763999E-2</v>
      </c>
      <c r="I53" s="4">
        <f>1/15 - 0.5/15</f>
        <v>3.3333333333333333E-2</v>
      </c>
      <c r="J53" s="4">
        <f t="shared" ref="J53:J67" si="9">4.91*(I53^0.14-(1-I53)^0.14)</f>
        <v>-1.836858897688687</v>
      </c>
    </row>
    <row r="54" spans="1:10" x14ac:dyDescent="0.3">
      <c r="A54" s="7">
        <v>2.5593075783048001E-2</v>
      </c>
      <c r="H54" s="7">
        <v>2.4670482260948E-2</v>
      </c>
      <c r="I54" s="4">
        <f t="shared" ref="I54:I67" si="10">I53+1/15</f>
        <v>0.1</v>
      </c>
      <c r="J54" s="4">
        <f t="shared" si="9"/>
        <v>-1.2811261510381207</v>
      </c>
    </row>
    <row r="55" spans="1:10" x14ac:dyDescent="0.3">
      <c r="A55" s="7">
        <v>2.5199791189437E-2</v>
      </c>
      <c r="C55" s="8" t="s">
        <v>7</v>
      </c>
      <c r="E55" s="2" t="s">
        <v>8</v>
      </c>
      <c r="H55" s="7">
        <v>2.4711704791606001E-2</v>
      </c>
      <c r="I55" s="4">
        <f t="shared" si="10"/>
        <v>0.16666666666666669</v>
      </c>
      <c r="J55" s="4">
        <f t="shared" si="9"/>
        <v>-0.96558119772402384</v>
      </c>
    </row>
    <row r="56" spans="1:10" x14ac:dyDescent="0.3">
      <c r="A56" s="7">
        <v>2.538967126181E-2</v>
      </c>
      <c r="C56" s="9">
        <f>MEDIAN(A53:A67)</f>
        <v>2.5199791189437E-2</v>
      </c>
      <c r="E56" s="4">
        <v>2.145</v>
      </c>
      <c r="H56" s="7">
        <v>2.5036280311630001E-2</v>
      </c>
      <c r="I56" s="4">
        <f t="shared" si="10"/>
        <v>0.23333333333333334</v>
      </c>
      <c r="J56" s="4">
        <f t="shared" si="9"/>
        <v>-0.72575040815577163</v>
      </c>
    </row>
    <row r="57" spans="1:10" x14ac:dyDescent="0.3">
      <c r="A57" s="7">
        <v>2.5201302760572999E-2</v>
      </c>
      <c r="H57" s="7">
        <v>2.5119969068928001E-2</v>
      </c>
      <c r="I57" s="4">
        <f t="shared" si="10"/>
        <v>0.3</v>
      </c>
      <c r="J57" s="4">
        <f t="shared" si="9"/>
        <v>-0.52246305252576009</v>
      </c>
    </row>
    <row r="58" spans="1:10" x14ac:dyDescent="0.3">
      <c r="A58" s="7">
        <v>2.5327841290880001E-2</v>
      </c>
      <c r="C58" s="8"/>
      <c r="D58" s="2" t="s">
        <v>9</v>
      </c>
      <c r="H58" s="7">
        <v>2.5163988900502001E-2</v>
      </c>
      <c r="I58" s="4">
        <f t="shared" si="10"/>
        <v>0.36666666666666664</v>
      </c>
      <c r="J58" s="4">
        <f t="shared" si="9"/>
        <v>-0.33927638280750583</v>
      </c>
    </row>
    <row r="59" spans="1:10" x14ac:dyDescent="0.3">
      <c r="A59" s="7">
        <v>2.519969575172E-2</v>
      </c>
      <c r="C59" s="8" t="s">
        <v>10</v>
      </c>
      <c r="D59" s="4">
        <f>C53+E56*SQRT(D53)/(SQRT(15))</f>
        <v>2.5319486382780997E-2</v>
      </c>
      <c r="H59" s="7">
        <v>2.519969575172E-2</v>
      </c>
      <c r="I59" s="4">
        <f t="shared" si="10"/>
        <v>0.43333333333333329</v>
      </c>
      <c r="J59" s="4">
        <f t="shared" si="9"/>
        <v>-0.16715058832373922</v>
      </c>
    </row>
    <row r="60" spans="1:10" x14ac:dyDescent="0.3">
      <c r="A60" s="7">
        <v>2.5163988900502001E-2</v>
      </c>
      <c r="C60" s="8" t="s">
        <v>11</v>
      </c>
      <c r="D60" s="4">
        <f>C53-E56*SQRT(D53)/(SQRT(15))</f>
        <v>2.4975013555008203E-2</v>
      </c>
      <c r="H60" s="7">
        <v>2.5199791189437E-2</v>
      </c>
      <c r="I60" s="4">
        <f t="shared" si="10"/>
        <v>0.49999999999999994</v>
      </c>
      <c r="J60" s="4">
        <f t="shared" si="9"/>
        <v>0</v>
      </c>
    </row>
    <row r="61" spans="1:10" x14ac:dyDescent="0.3">
      <c r="A61" s="7">
        <v>2.5478807962536001E-2</v>
      </c>
      <c r="H61" s="7">
        <v>2.5201302760572999E-2</v>
      </c>
      <c r="I61" s="4">
        <f t="shared" si="10"/>
        <v>0.56666666666666665</v>
      </c>
      <c r="J61" s="4">
        <f t="shared" si="9"/>
        <v>0.16715058832373922</v>
      </c>
    </row>
    <row r="62" spans="1:10" x14ac:dyDescent="0.3">
      <c r="A62" s="7">
        <v>2.5421698428731002E-2</v>
      </c>
      <c r="H62" s="7">
        <v>2.5207621163306E-2</v>
      </c>
      <c r="I62" s="4">
        <f t="shared" si="10"/>
        <v>0.6333333333333333</v>
      </c>
      <c r="J62" s="4">
        <f t="shared" si="9"/>
        <v>0.33927638280750583</v>
      </c>
    </row>
    <row r="63" spans="1:10" x14ac:dyDescent="0.3">
      <c r="A63" s="7">
        <v>2.4486818607763999E-2</v>
      </c>
      <c r="H63" s="7">
        <v>2.5327841290880001E-2</v>
      </c>
      <c r="I63" s="4">
        <f t="shared" si="10"/>
        <v>0.7</v>
      </c>
      <c r="J63" s="4">
        <f t="shared" si="9"/>
        <v>0.52246305252576009</v>
      </c>
    </row>
    <row r="64" spans="1:10" x14ac:dyDescent="0.3">
      <c r="A64" s="7">
        <v>2.5036280311630001E-2</v>
      </c>
      <c r="H64" s="7">
        <v>2.538967126181E-2</v>
      </c>
      <c r="I64" s="4">
        <f t="shared" si="10"/>
        <v>0.76666666666666661</v>
      </c>
      <c r="J64" s="4">
        <f t="shared" si="9"/>
        <v>0.72575040815577163</v>
      </c>
    </row>
    <row r="65" spans="1:10" x14ac:dyDescent="0.3">
      <c r="A65" s="7">
        <v>2.4711704791606001E-2</v>
      </c>
      <c r="H65" s="7">
        <v>2.5421698428731002E-2</v>
      </c>
      <c r="I65" s="4">
        <f t="shared" si="10"/>
        <v>0.83333333333333326</v>
      </c>
      <c r="J65" s="4">
        <f t="shared" si="9"/>
        <v>0.96558119772402329</v>
      </c>
    </row>
    <row r="66" spans="1:10" x14ac:dyDescent="0.3">
      <c r="A66" s="7">
        <v>2.4670482260948E-2</v>
      </c>
      <c r="H66" s="7">
        <v>2.5478807962536001E-2</v>
      </c>
      <c r="I66" s="4">
        <f t="shared" si="10"/>
        <v>0.89999999999999991</v>
      </c>
      <c r="J66" s="4">
        <f t="shared" si="9"/>
        <v>1.2811261510381207</v>
      </c>
    </row>
    <row r="67" spans="1:10" x14ac:dyDescent="0.3">
      <c r="A67" s="7">
        <v>2.5119969068928001E-2</v>
      </c>
      <c r="H67" s="7">
        <v>2.5593075783048001E-2</v>
      </c>
      <c r="I67" s="4">
        <f t="shared" si="10"/>
        <v>0.96666666666666656</v>
      </c>
      <c r="J67" s="4">
        <f t="shared" si="9"/>
        <v>1.8368588976886859</v>
      </c>
    </row>
    <row r="68" spans="1:10" s="3" customFormat="1" ht="4.5" customHeight="1" x14ac:dyDescent="0.3">
      <c r="C68" s="10"/>
    </row>
    <row r="69" spans="1:10" x14ac:dyDescent="0.3">
      <c r="A69" s="2" t="s">
        <v>15</v>
      </c>
      <c r="C69" s="8" t="s">
        <v>1</v>
      </c>
      <c r="D69" s="2" t="s">
        <v>2</v>
      </c>
      <c r="E69" s="2" t="s">
        <v>3</v>
      </c>
      <c r="F69" s="2"/>
      <c r="H69" s="2" t="s">
        <v>4</v>
      </c>
      <c r="I69" s="2" t="s">
        <v>5</v>
      </c>
      <c r="J69" s="2" t="s">
        <v>6</v>
      </c>
    </row>
    <row r="70" spans="1:10" x14ac:dyDescent="0.3">
      <c r="A70" s="5">
        <v>2.8998287582660001E-2</v>
      </c>
      <c r="C70" s="9">
        <f>AVERAGE(A70:A84)</f>
        <v>2.8994171753865535E-2</v>
      </c>
      <c r="D70" s="4">
        <f>_xlfn.VAR.S(A70:A84)</f>
        <v>1.3263191704571676E-7</v>
      </c>
      <c r="E70" s="4">
        <f>SQRT(D70)/C70</f>
        <v>1.2560684763642461E-2</v>
      </c>
      <c r="H70" s="5">
        <v>2.8085362314532E-2</v>
      </c>
      <c r="I70" s="4">
        <f>1/15 - 0.5/15</f>
        <v>3.3333333333333333E-2</v>
      </c>
      <c r="J70" s="4">
        <f t="shared" ref="J70:J84" si="11">4.91*(I70^0.14-(1-I70)^0.14)</f>
        <v>-1.836858897688687</v>
      </c>
    </row>
    <row r="71" spans="1:10" x14ac:dyDescent="0.3">
      <c r="A71" s="5">
        <v>2.9410253474927001E-2</v>
      </c>
      <c r="H71" s="5">
        <v>2.8584854039733001E-2</v>
      </c>
      <c r="I71" s="4">
        <f t="shared" ref="I71:I84" si="12">I70+1/15</f>
        <v>0.1</v>
      </c>
      <c r="J71" s="4">
        <f t="shared" si="11"/>
        <v>-1.2811261510381207</v>
      </c>
    </row>
    <row r="72" spans="1:10" x14ac:dyDescent="0.3">
      <c r="A72" s="5">
        <v>2.8937692836586999E-2</v>
      </c>
      <c r="C72" s="8" t="s">
        <v>7</v>
      </c>
      <c r="E72" s="2" t="s">
        <v>8</v>
      </c>
      <c r="H72" s="5">
        <v>2.8650775631605001E-2</v>
      </c>
      <c r="I72" s="4">
        <f t="shared" si="12"/>
        <v>0.16666666666666669</v>
      </c>
      <c r="J72" s="4">
        <f t="shared" si="11"/>
        <v>-0.96558119772402384</v>
      </c>
    </row>
    <row r="73" spans="1:10" x14ac:dyDescent="0.3">
      <c r="A73" s="5">
        <v>2.8774753060500001E-2</v>
      </c>
      <c r="C73" s="9">
        <f>MEDIAN(A70:A84)</f>
        <v>2.9055275005307E-2</v>
      </c>
      <c r="E73" s="4">
        <v>2.145</v>
      </c>
      <c r="H73" s="5">
        <v>2.8774753060500001E-2</v>
      </c>
      <c r="I73" s="4">
        <f t="shared" si="12"/>
        <v>0.23333333333333334</v>
      </c>
      <c r="J73" s="4">
        <f t="shared" si="11"/>
        <v>-0.72575040815577163</v>
      </c>
    </row>
    <row r="74" spans="1:10" x14ac:dyDescent="0.3">
      <c r="A74" s="5">
        <v>2.9117030820336998E-2</v>
      </c>
      <c r="H74" s="5">
        <v>2.8937692836586999E-2</v>
      </c>
      <c r="I74" s="4">
        <f t="shared" si="12"/>
        <v>0.3</v>
      </c>
      <c r="J74" s="4">
        <f t="shared" si="11"/>
        <v>-0.52246305252576009</v>
      </c>
    </row>
    <row r="75" spans="1:10" x14ac:dyDescent="0.3">
      <c r="A75" s="5">
        <v>2.9142376328833999E-2</v>
      </c>
      <c r="C75" s="8"/>
      <c r="D75" s="2" t="s">
        <v>9</v>
      </c>
      <c r="H75" s="5">
        <v>2.8944900191363001E-2</v>
      </c>
      <c r="I75" s="4">
        <f t="shared" si="12"/>
        <v>0.36666666666666664</v>
      </c>
      <c r="J75" s="4">
        <f t="shared" si="11"/>
        <v>-0.33927638280750583</v>
      </c>
    </row>
    <row r="76" spans="1:10" x14ac:dyDescent="0.3">
      <c r="A76" s="5">
        <v>2.9146140287705999E-2</v>
      </c>
      <c r="C76" s="8" t="s">
        <v>10</v>
      </c>
      <c r="D76" s="4">
        <f>C70+E73*SQRT(D70)/(SQRT(15))</f>
        <v>2.9195871657373241E-2</v>
      </c>
      <c r="H76" s="5">
        <v>2.8998287582660001E-2</v>
      </c>
      <c r="I76" s="4">
        <f t="shared" si="12"/>
        <v>0.43333333333333329</v>
      </c>
      <c r="J76" s="4">
        <f t="shared" si="11"/>
        <v>-0.16715058832373922</v>
      </c>
    </row>
    <row r="77" spans="1:10" x14ac:dyDescent="0.3">
      <c r="A77" s="5">
        <v>2.9158620574396998E-2</v>
      </c>
      <c r="C77" s="8" t="s">
        <v>11</v>
      </c>
      <c r="D77" s="4">
        <f>C70-E73*SQRT(D70)/(SQRT(15))</f>
        <v>2.8792471850357829E-2</v>
      </c>
      <c r="H77" s="5">
        <v>2.9055275005307E-2</v>
      </c>
      <c r="I77" s="4">
        <f t="shared" si="12"/>
        <v>0.49999999999999994</v>
      </c>
      <c r="J77" s="4">
        <f t="shared" si="11"/>
        <v>0</v>
      </c>
    </row>
    <row r="78" spans="1:10" x14ac:dyDescent="0.3">
      <c r="A78" s="5">
        <v>2.95094161167E-2</v>
      </c>
      <c r="H78" s="5">
        <v>2.9117030820336998E-2</v>
      </c>
      <c r="I78" s="4">
        <f t="shared" si="12"/>
        <v>0.56666666666666665</v>
      </c>
      <c r="J78" s="4">
        <f t="shared" si="11"/>
        <v>0.16715058832373922</v>
      </c>
    </row>
    <row r="79" spans="1:10" x14ac:dyDescent="0.3">
      <c r="A79" s="5">
        <v>2.9396838042795002E-2</v>
      </c>
      <c r="H79" s="5">
        <v>2.9142376328833999E-2</v>
      </c>
      <c r="I79" s="4">
        <f t="shared" si="12"/>
        <v>0.6333333333333333</v>
      </c>
      <c r="J79" s="4">
        <f t="shared" si="11"/>
        <v>0.33927638280750583</v>
      </c>
    </row>
    <row r="80" spans="1:10" x14ac:dyDescent="0.3">
      <c r="A80" s="5">
        <v>2.8085362314532E-2</v>
      </c>
      <c r="H80" s="5">
        <v>2.9146140287705999E-2</v>
      </c>
      <c r="I80" s="4">
        <f t="shared" si="12"/>
        <v>0.7</v>
      </c>
      <c r="J80" s="4">
        <f t="shared" si="11"/>
        <v>0.52246305252576009</v>
      </c>
    </row>
    <row r="81" spans="1:10" x14ac:dyDescent="0.3">
      <c r="A81" s="5">
        <v>2.9055275005307E-2</v>
      </c>
      <c r="H81" s="5">
        <v>2.9158620574396998E-2</v>
      </c>
      <c r="I81" s="4">
        <f t="shared" si="12"/>
        <v>0.76666666666666661</v>
      </c>
      <c r="J81" s="4">
        <f t="shared" si="11"/>
        <v>0.72575040815577163</v>
      </c>
    </row>
    <row r="82" spans="1:10" x14ac:dyDescent="0.3">
      <c r="A82" s="5">
        <v>2.8650775631605001E-2</v>
      </c>
      <c r="H82" s="5">
        <v>2.9396838042795002E-2</v>
      </c>
      <c r="I82" s="4">
        <f t="shared" si="12"/>
        <v>0.83333333333333326</v>
      </c>
      <c r="J82" s="4">
        <f t="shared" si="11"/>
        <v>0.96558119772402329</v>
      </c>
    </row>
    <row r="83" spans="1:10" x14ac:dyDescent="0.3">
      <c r="A83" s="5">
        <v>2.8584854039733001E-2</v>
      </c>
      <c r="H83" s="5">
        <v>2.9410253474927001E-2</v>
      </c>
      <c r="I83" s="4">
        <f t="shared" si="12"/>
        <v>0.89999999999999991</v>
      </c>
      <c r="J83" s="4">
        <f t="shared" si="11"/>
        <v>1.2811261510381207</v>
      </c>
    </row>
    <row r="84" spans="1:10" x14ac:dyDescent="0.3">
      <c r="A84" s="5">
        <v>2.8944900191363001E-2</v>
      </c>
      <c r="H84" s="5">
        <v>2.95094161167E-2</v>
      </c>
      <c r="I84" s="4">
        <f t="shared" si="12"/>
        <v>0.96666666666666656</v>
      </c>
      <c r="J84" s="4">
        <f t="shared" si="11"/>
        <v>1.8368588976886859</v>
      </c>
    </row>
    <row r="85" spans="1:10" s="3" customFormat="1" ht="4.5" customHeight="1" x14ac:dyDescent="0.3">
      <c r="C85" s="10"/>
    </row>
    <row r="86" spans="1:10" x14ac:dyDescent="0.3">
      <c r="A86" s="2" t="s">
        <v>16</v>
      </c>
      <c r="C86" s="8" t="s">
        <v>1</v>
      </c>
      <c r="D86" s="2" t="s">
        <v>2</v>
      </c>
      <c r="E86" s="2" t="s">
        <v>3</v>
      </c>
      <c r="F86" s="2"/>
      <c r="H86" s="2" t="s">
        <v>4</v>
      </c>
      <c r="I86" s="2" t="s">
        <v>5</v>
      </c>
      <c r="J86" s="2" t="s">
        <v>6</v>
      </c>
    </row>
    <row r="87" spans="1:10" x14ac:dyDescent="0.3">
      <c r="A87" s="7">
        <v>3.3306435253472003E-2</v>
      </c>
      <c r="C87" s="9">
        <f>AVERAGE(A87:A101)</f>
        <v>3.3410938260204727E-2</v>
      </c>
      <c r="D87" s="4">
        <f>_xlfn.VAR.S(A87:A101)</f>
        <v>2.164468198109609E-7</v>
      </c>
      <c r="E87" s="4">
        <f>SQRT(D87)/C87</f>
        <v>1.3924734802775111E-2</v>
      </c>
      <c r="H87" s="7">
        <v>3.2355850442449E-2</v>
      </c>
      <c r="I87" s="4">
        <f>1/15 - 0.5/15</f>
        <v>3.3333333333333333E-2</v>
      </c>
      <c r="J87" s="4">
        <f t="shared" ref="J87:J99" si="13">4.91*(I87^0.14-(1-I87)^0.14)</f>
        <v>-1.836858897688687</v>
      </c>
    </row>
    <row r="88" spans="1:10" x14ac:dyDescent="0.3">
      <c r="A88" s="7">
        <v>3.4070149966617003E-2</v>
      </c>
      <c r="H88" s="7">
        <v>3.2668599010325997E-2</v>
      </c>
      <c r="I88" s="4">
        <f t="shared" ref="I88:I101" si="14">I87+1/15</f>
        <v>0.1</v>
      </c>
      <c r="J88" s="4">
        <f t="shared" si="13"/>
        <v>-1.2811261510381207</v>
      </c>
    </row>
    <row r="89" spans="1:10" x14ac:dyDescent="0.3">
      <c r="A89" s="7">
        <v>3.3231258660166997E-2</v>
      </c>
      <c r="C89" s="8" t="s">
        <v>7</v>
      </c>
      <c r="E89" s="2" t="s">
        <v>8</v>
      </c>
      <c r="H89" s="7">
        <v>3.3163034525237001E-2</v>
      </c>
      <c r="I89" s="4">
        <f t="shared" si="14"/>
        <v>0.16666666666666669</v>
      </c>
      <c r="J89" s="4">
        <f t="shared" si="13"/>
        <v>-0.96558119772402384</v>
      </c>
    </row>
    <row r="90" spans="1:10" x14ac:dyDescent="0.3">
      <c r="A90" s="7">
        <v>3.3283135974750001E-2</v>
      </c>
      <c r="C90" s="9">
        <f>MEDIAN(A87:A101)</f>
        <v>3.3442883132727003E-2</v>
      </c>
      <c r="E90" s="4">
        <v>2.145</v>
      </c>
      <c r="H90" s="7">
        <v>3.3231258660166997E-2</v>
      </c>
      <c r="I90" s="4">
        <f t="shared" si="14"/>
        <v>0.23333333333333334</v>
      </c>
      <c r="J90" s="4">
        <f t="shared" si="13"/>
        <v>-0.72575040815577163</v>
      </c>
    </row>
    <row r="91" spans="1:10" x14ac:dyDescent="0.3">
      <c r="A91" s="7">
        <v>3.3635750008838998E-2</v>
      </c>
      <c r="H91" s="7">
        <v>3.3283135974750001E-2</v>
      </c>
      <c r="I91" s="4">
        <f t="shared" si="14"/>
        <v>0.3</v>
      </c>
      <c r="J91" s="4">
        <f t="shared" si="13"/>
        <v>-0.52246305252576009</v>
      </c>
    </row>
    <row r="92" spans="1:10" x14ac:dyDescent="0.3">
      <c r="A92" s="7">
        <v>3.3415959797784001E-2</v>
      </c>
      <c r="C92" s="8"/>
      <c r="D92" s="2" t="s">
        <v>9</v>
      </c>
      <c r="H92" s="7">
        <v>3.3306435253472003E-2</v>
      </c>
      <c r="I92" s="4">
        <f t="shared" si="14"/>
        <v>0.36666666666666664</v>
      </c>
      <c r="J92" s="4">
        <f t="shared" si="13"/>
        <v>-0.33927638280750583</v>
      </c>
    </row>
    <row r="93" spans="1:10" x14ac:dyDescent="0.3">
      <c r="A93" s="7">
        <v>3.36815703277E-2</v>
      </c>
      <c r="C93" s="8" t="s">
        <v>10</v>
      </c>
      <c r="D93" s="4">
        <f>C87+E90*SQRT(D87)/(SQRT(15))</f>
        <v>3.3668604352802715E-2</v>
      </c>
      <c r="H93" s="7">
        <v>3.3415959797784001E-2</v>
      </c>
      <c r="I93" s="4">
        <f t="shared" si="14"/>
        <v>0.43333333333333329</v>
      </c>
      <c r="J93" s="4">
        <f t="shared" si="13"/>
        <v>-0.16715058832373922</v>
      </c>
    </row>
    <row r="94" spans="1:10" x14ac:dyDescent="0.3">
      <c r="A94" s="7">
        <v>3.3442883132727003E-2</v>
      </c>
      <c r="C94" s="8" t="s">
        <v>11</v>
      </c>
      <c r="D94" s="4">
        <f>C87-E90*SQRT(D87)/(SQRT(15))</f>
        <v>3.3153272167606739E-2</v>
      </c>
      <c r="H94" s="7">
        <v>3.3442883132727003E-2</v>
      </c>
      <c r="I94" s="4">
        <f t="shared" si="14"/>
        <v>0.49999999999999994</v>
      </c>
      <c r="J94" s="4">
        <f t="shared" si="13"/>
        <v>0</v>
      </c>
    </row>
    <row r="95" spans="1:10" x14ac:dyDescent="0.3">
      <c r="A95" s="7">
        <v>3.4170411145183002E-2</v>
      </c>
      <c r="H95" s="7">
        <v>3.3455234945081999E-2</v>
      </c>
      <c r="I95" s="4">
        <f t="shared" si="14"/>
        <v>0.56666666666666665</v>
      </c>
      <c r="J95" s="4">
        <f t="shared" si="13"/>
        <v>0.16715058832373922</v>
      </c>
    </row>
    <row r="96" spans="1:10" x14ac:dyDescent="0.3">
      <c r="A96" s="7">
        <v>3.363334911983E-2</v>
      </c>
      <c r="H96" s="7">
        <v>3.363334911983E-2</v>
      </c>
      <c r="I96" s="4">
        <f t="shared" si="14"/>
        <v>0.6333333333333333</v>
      </c>
      <c r="J96" s="4">
        <f t="shared" si="13"/>
        <v>0.33927638280750583</v>
      </c>
    </row>
    <row r="97" spans="1:10" x14ac:dyDescent="0.3">
      <c r="A97" s="7">
        <v>3.2355850442449E-2</v>
      </c>
      <c r="H97" s="7">
        <v>3.3635750008838998E-2</v>
      </c>
      <c r="I97" s="4">
        <f t="shared" si="14"/>
        <v>0.7</v>
      </c>
      <c r="J97" s="4">
        <f t="shared" si="13"/>
        <v>0.52246305252576009</v>
      </c>
    </row>
    <row r="98" spans="1:10" x14ac:dyDescent="0.3">
      <c r="A98" s="7">
        <v>3.3650451592907998E-2</v>
      </c>
      <c r="H98" s="7">
        <v>3.3650451592907998E-2</v>
      </c>
      <c r="I98" s="4">
        <f t="shared" si="14"/>
        <v>0.76666666666666661</v>
      </c>
      <c r="J98" s="4">
        <f t="shared" si="13"/>
        <v>0.72575040815577163</v>
      </c>
    </row>
    <row r="99" spans="1:10" x14ac:dyDescent="0.3">
      <c r="A99" s="7">
        <v>3.3163034525237001E-2</v>
      </c>
      <c r="H99" s="7">
        <v>3.36815703277E-2</v>
      </c>
      <c r="I99" s="4">
        <f t="shared" si="14"/>
        <v>0.83333333333333326</v>
      </c>
      <c r="J99" s="4">
        <f t="shared" si="13"/>
        <v>0.96558119772402329</v>
      </c>
    </row>
    <row r="100" spans="1:10" x14ac:dyDescent="0.3">
      <c r="A100" s="7">
        <v>3.2668599010325997E-2</v>
      </c>
      <c r="H100" s="7">
        <v>3.4070149966617003E-2</v>
      </c>
      <c r="I100" s="4">
        <f t="shared" si="14"/>
        <v>0.89999999999999991</v>
      </c>
      <c r="J100" s="4">
        <f t="shared" ref="J100:J101" si="15">4.91*(I100^0.14-(1-I100)^0.14)</f>
        <v>1.2811261510381207</v>
      </c>
    </row>
    <row r="101" spans="1:10" x14ac:dyDescent="0.3">
      <c r="A101" s="7">
        <v>3.3455234945081999E-2</v>
      </c>
      <c r="H101" s="7">
        <v>3.4170411145183002E-2</v>
      </c>
      <c r="I101" s="4">
        <f t="shared" si="14"/>
        <v>0.96666666666666656</v>
      </c>
      <c r="J101" s="4">
        <f t="shared" si="15"/>
        <v>1.8368588976886859</v>
      </c>
    </row>
    <row r="102" spans="1:10" s="3" customFormat="1" ht="4.5" customHeight="1" x14ac:dyDescent="0.3">
      <c r="C102" s="10"/>
    </row>
    <row r="103" spans="1:10" x14ac:dyDescent="0.3">
      <c r="A103" s="2" t="s">
        <v>17</v>
      </c>
      <c r="C103" s="8" t="s">
        <v>1</v>
      </c>
      <c r="D103" s="2" t="s">
        <v>2</v>
      </c>
      <c r="E103" s="2" t="s">
        <v>3</v>
      </c>
      <c r="F103" s="2"/>
      <c r="H103" s="2" t="s">
        <v>4</v>
      </c>
      <c r="I103" s="2" t="s">
        <v>5</v>
      </c>
      <c r="J103" s="2" t="s">
        <v>6</v>
      </c>
    </row>
    <row r="104" spans="1:10" x14ac:dyDescent="0.3">
      <c r="A104" s="5">
        <v>3.8501527520209002E-2</v>
      </c>
      <c r="C104" s="9">
        <f>AVERAGE(A104:A118)</f>
        <v>3.889313619420761E-2</v>
      </c>
      <c r="D104" s="4">
        <f>_xlfn.VAR.S(A104:A118)</f>
        <v>3.2671599456759935E-7</v>
      </c>
      <c r="E104" s="4">
        <f>SQRT(D104)/C104</f>
        <v>1.4696442968506482E-2</v>
      </c>
      <c r="H104" s="5">
        <v>3.7496986998924002E-2</v>
      </c>
      <c r="I104" s="4">
        <f>1/15 - 0.5/15</f>
        <v>3.3333333333333333E-2</v>
      </c>
      <c r="J104" s="4">
        <f t="shared" ref="J104:J118" si="16">4.91*(I104^0.14-(1-I104)^0.14)</f>
        <v>-1.836858897688687</v>
      </c>
    </row>
    <row r="105" spans="1:10" x14ac:dyDescent="0.3">
      <c r="A105" s="5">
        <v>3.8875581114678003E-2</v>
      </c>
      <c r="H105" s="5">
        <v>3.8151968240382E-2</v>
      </c>
      <c r="I105" s="4">
        <f t="shared" ref="I105:I118" si="17">I104+1/15</f>
        <v>0.1</v>
      </c>
      <c r="J105" s="4">
        <f t="shared" si="16"/>
        <v>-1.2811261510381207</v>
      </c>
    </row>
    <row r="106" spans="1:10" x14ac:dyDescent="0.3">
      <c r="A106" s="5">
        <v>3.9332881056812999E-2</v>
      </c>
      <c r="C106" s="8" t="s">
        <v>7</v>
      </c>
      <c r="E106" s="2" t="s">
        <v>8</v>
      </c>
      <c r="H106" s="5">
        <v>3.8441667004722999E-2</v>
      </c>
      <c r="I106" s="4">
        <f t="shared" si="17"/>
        <v>0.16666666666666669</v>
      </c>
      <c r="J106" s="4">
        <f t="shared" si="16"/>
        <v>-0.96558119772402384</v>
      </c>
    </row>
    <row r="107" spans="1:10" x14ac:dyDescent="0.3">
      <c r="A107" s="5">
        <v>3.8570665153788E-2</v>
      </c>
      <c r="C107" s="9">
        <f>MEDIAN(A104:A118)</f>
        <v>3.9032425436666997E-2</v>
      </c>
      <c r="E107" s="4">
        <v>2.145</v>
      </c>
      <c r="H107" s="5">
        <v>3.8501527520209002E-2</v>
      </c>
      <c r="I107" s="4">
        <f t="shared" si="17"/>
        <v>0.23333333333333334</v>
      </c>
      <c r="J107" s="4">
        <f t="shared" si="16"/>
        <v>-0.72575040815577163</v>
      </c>
    </row>
    <row r="108" spans="1:10" x14ac:dyDescent="0.3">
      <c r="A108" s="5">
        <v>3.9570836442956003E-2</v>
      </c>
      <c r="H108" s="5">
        <v>3.8570665153788E-2</v>
      </c>
      <c r="I108" s="4">
        <f t="shared" si="17"/>
        <v>0.3</v>
      </c>
      <c r="J108" s="4">
        <f t="shared" si="16"/>
        <v>-0.52246305252576009</v>
      </c>
    </row>
    <row r="109" spans="1:10" x14ac:dyDescent="0.3">
      <c r="A109" s="5">
        <v>3.9246227655424001E-2</v>
      </c>
      <c r="C109" s="8"/>
      <c r="D109" s="2" t="s">
        <v>9</v>
      </c>
      <c r="H109" s="5">
        <v>3.8875581114678003E-2</v>
      </c>
      <c r="I109" s="4">
        <f t="shared" si="17"/>
        <v>0.36666666666666664</v>
      </c>
      <c r="J109" s="4">
        <f t="shared" si="16"/>
        <v>-0.33927638280750583</v>
      </c>
    </row>
    <row r="110" spans="1:10" x14ac:dyDescent="0.3">
      <c r="A110" s="5">
        <v>3.9476470213409998E-2</v>
      </c>
      <c r="C110" s="8" t="s">
        <v>10</v>
      </c>
      <c r="D110" s="4">
        <f>C104+E107*SQRT(D104)/(SQRT(15))</f>
        <v>3.9209704086757835E-2</v>
      </c>
      <c r="H110" s="5">
        <v>3.8897805754268003E-2</v>
      </c>
      <c r="I110" s="4">
        <f t="shared" si="17"/>
        <v>0.43333333333333329</v>
      </c>
      <c r="J110" s="4">
        <f t="shared" si="16"/>
        <v>-0.16715058832373922</v>
      </c>
    </row>
    <row r="111" spans="1:10" x14ac:dyDescent="0.3">
      <c r="A111" s="5">
        <v>3.9341084622900001E-2</v>
      </c>
      <c r="C111" s="8" t="s">
        <v>11</v>
      </c>
      <c r="D111" s="4">
        <f>C104-E107*SQRT(D104)/(SQRT(15))</f>
        <v>3.8576568301657385E-2</v>
      </c>
      <c r="H111" s="5">
        <v>3.9032425436666997E-2</v>
      </c>
      <c r="I111" s="4">
        <f t="shared" si="17"/>
        <v>0.49999999999999994</v>
      </c>
      <c r="J111" s="4">
        <f t="shared" si="16"/>
        <v>0</v>
      </c>
    </row>
    <row r="112" spans="1:10" x14ac:dyDescent="0.3">
      <c r="A112" s="5">
        <v>3.9386543815479999E-2</v>
      </c>
      <c r="H112" s="5">
        <v>3.9074371882492E-2</v>
      </c>
      <c r="I112" s="4">
        <f t="shared" si="17"/>
        <v>0.56666666666666665</v>
      </c>
      <c r="J112" s="4">
        <f t="shared" si="16"/>
        <v>0.16715058832373922</v>
      </c>
    </row>
    <row r="113" spans="1:10" x14ac:dyDescent="0.3">
      <c r="A113" s="5">
        <v>3.9032425436666997E-2</v>
      </c>
      <c r="H113" s="5">
        <v>3.9246227655424001E-2</v>
      </c>
      <c r="I113" s="4">
        <f t="shared" si="17"/>
        <v>0.6333333333333333</v>
      </c>
      <c r="J113" s="4">
        <f t="shared" si="16"/>
        <v>0.33927638280750583</v>
      </c>
    </row>
    <row r="114" spans="1:10" x14ac:dyDescent="0.3">
      <c r="A114" s="5">
        <v>3.7496986998924002E-2</v>
      </c>
      <c r="H114" s="5">
        <v>3.9332881056812999E-2</v>
      </c>
      <c r="I114" s="4">
        <f t="shared" si="17"/>
        <v>0.7</v>
      </c>
      <c r="J114" s="4">
        <f t="shared" si="16"/>
        <v>0.52246305252576009</v>
      </c>
    </row>
    <row r="115" spans="1:10" x14ac:dyDescent="0.3">
      <c r="A115" s="5">
        <v>3.9074371882492E-2</v>
      </c>
      <c r="H115" s="5">
        <v>3.9341084622900001E-2</v>
      </c>
      <c r="I115" s="4">
        <f t="shared" si="17"/>
        <v>0.76666666666666661</v>
      </c>
      <c r="J115" s="4">
        <f t="shared" si="16"/>
        <v>0.72575040815577163</v>
      </c>
    </row>
    <row r="116" spans="1:10" x14ac:dyDescent="0.3">
      <c r="A116" s="5">
        <v>3.8441667004722999E-2</v>
      </c>
      <c r="H116" s="5">
        <v>3.9386543815479999E-2</v>
      </c>
      <c r="I116" s="4">
        <f t="shared" si="17"/>
        <v>0.83333333333333326</v>
      </c>
      <c r="J116" s="4">
        <f t="shared" si="16"/>
        <v>0.96558119772402329</v>
      </c>
    </row>
    <row r="117" spans="1:10" x14ac:dyDescent="0.3">
      <c r="A117" s="5">
        <v>3.8151968240382E-2</v>
      </c>
      <c r="H117" s="5">
        <v>3.9476470213409998E-2</v>
      </c>
      <c r="I117" s="4">
        <f t="shared" si="17"/>
        <v>0.89999999999999991</v>
      </c>
      <c r="J117" s="4">
        <f t="shared" si="16"/>
        <v>1.2811261510381207</v>
      </c>
    </row>
    <row r="118" spans="1:10" x14ac:dyDescent="0.3">
      <c r="A118" s="5">
        <v>3.8897805754268003E-2</v>
      </c>
      <c r="H118" s="5">
        <v>3.9570836442956003E-2</v>
      </c>
      <c r="I118" s="4">
        <f t="shared" si="17"/>
        <v>0.96666666666666656</v>
      </c>
      <c r="J118" s="4">
        <f t="shared" si="16"/>
        <v>1.8368588976886859</v>
      </c>
    </row>
    <row r="119" spans="1:10" s="3" customFormat="1" ht="3.75" customHeight="1" x14ac:dyDescent="0.3">
      <c r="C119" s="10"/>
    </row>
    <row r="120" spans="1:10" x14ac:dyDescent="0.3">
      <c r="A120" s="2" t="s">
        <v>18</v>
      </c>
      <c r="C120" s="8" t="s">
        <v>1</v>
      </c>
      <c r="D120" s="2" t="s">
        <v>2</v>
      </c>
      <c r="E120" s="2" t="s">
        <v>3</v>
      </c>
      <c r="F120" s="2"/>
      <c r="H120" s="2" t="s">
        <v>4</v>
      </c>
      <c r="I120" s="2" t="s">
        <v>5</v>
      </c>
      <c r="J120" s="2" t="s">
        <v>6</v>
      </c>
    </row>
    <row r="121" spans="1:10" x14ac:dyDescent="0.3">
      <c r="A121" s="5">
        <v>4.5634684032446998E-2</v>
      </c>
      <c r="C121" s="9">
        <f>AVERAGE(A121:A135)</f>
        <v>4.5543848159903332E-2</v>
      </c>
      <c r="D121" s="4">
        <f>_xlfn.VAR.S(A121:A135)</f>
        <v>1.1798068239415358E-6</v>
      </c>
      <c r="E121" s="4">
        <f>SQRT(D121)/C121</f>
        <v>2.3849305073627938E-2</v>
      </c>
      <c r="H121" s="5">
        <v>4.3479620509825997E-2</v>
      </c>
      <c r="I121" s="4">
        <f>1/15 - 0.5/15</f>
        <v>3.3333333333333333E-2</v>
      </c>
      <c r="J121" s="4">
        <f t="shared" ref="J121:J135" si="18">4.91*(I121^0.14-(1-I121)^0.14)</f>
        <v>-1.836858897688687</v>
      </c>
    </row>
    <row r="122" spans="1:10" x14ac:dyDescent="0.3">
      <c r="A122" s="5">
        <v>4.5629055524528998E-2</v>
      </c>
      <c r="H122" s="5">
        <v>4.4067423650691002E-2</v>
      </c>
      <c r="I122" s="4">
        <f t="shared" ref="I122:I135" si="19">I121+1/15</f>
        <v>0.1</v>
      </c>
      <c r="J122" s="4">
        <f t="shared" si="18"/>
        <v>-1.2811261510381207</v>
      </c>
    </row>
    <row r="123" spans="1:10" x14ac:dyDescent="0.3">
      <c r="A123" s="5">
        <v>4.5278859448147003E-2</v>
      </c>
      <c r="C123" s="8" t="s">
        <v>7</v>
      </c>
      <c r="E123" s="2" t="s">
        <v>8</v>
      </c>
      <c r="H123" s="5">
        <v>4.4253973661960003E-2</v>
      </c>
      <c r="I123" s="4">
        <f t="shared" si="19"/>
        <v>0.16666666666666669</v>
      </c>
      <c r="J123" s="4">
        <f t="shared" si="18"/>
        <v>-0.96558119772402384</v>
      </c>
    </row>
    <row r="124" spans="1:10" x14ac:dyDescent="0.3">
      <c r="A124" s="5">
        <v>4.4253973661960003E-2</v>
      </c>
      <c r="C124" s="9">
        <f>MEDIAN(A121:A135)</f>
        <v>4.5634684032446998E-2</v>
      </c>
      <c r="E124" s="4">
        <v>2.145</v>
      </c>
      <c r="H124" s="5">
        <v>4.4744394845465003E-2</v>
      </c>
      <c r="I124" s="4">
        <f t="shared" si="19"/>
        <v>0.23333333333333334</v>
      </c>
      <c r="J124" s="4">
        <f t="shared" si="18"/>
        <v>-0.72575040815577163</v>
      </c>
    </row>
    <row r="125" spans="1:10" x14ac:dyDescent="0.3">
      <c r="A125" s="5">
        <v>4.7525385041646002E-2</v>
      </c>
      <c r="H125" s="5">
        <v>4.5278859448147003E-2</v>
      </c>
      <c r="I125" s="4">
        <f t="shared" si="19"/>
        <v>0.3</v>
      </c>
      <c r="J125" s="4">
        <f t="shared" si="18"/>
        <v>-0.52246305252576009</v>
      </c>
    </row>
    <row r="126" spans="1:10" x14ac:dyDescent="0.3">
      <c r="A126" s="5">
        <v>4.5927617601272001E-2</v>
      </c>
      <c r="C126" s="8"/>
      <c r="D126" s="2" t="s">
        <v>9</v>
      </c>
      <c r="H126" s="5">
        <v>4.5499971539271003E-2</v>
      </c>
      <c r="I126" s="4">
        <f t="shared" si="19"/>
        <v>0.36666666666666664</v>
      </c>
      <c r="J126" s="4">
        <f t="shared" si="18"/>
        <v>-0.33927638280750583</v>
      </c>
    </row>
    <row r="127" spans="1:10" x14ac:dyDescent="0.3">
      <c r="A127" s="5">
        <v>4.6506555050819E-2</v>
      </c>
      <c r="C127" s="8" t="s">
        <v>10</v>
      </c>
      <c r="D127" s="4">
        <f>C121+E124*SQRT(D121)/(SQRT(15))</f>
        <v>4.6145419474164333E-2</v>
      </c>
      <c r="H127" s="5">
        <v>4.5629055524528998E-2</v>
      </c>
      <c r="I127" s="4">
        <f t="shared" si="19"/>
        <v>0.43333333333333329</v>
      </c>
      <c r="J127" s="4">
        <f t="shared" si="18"/>
        <v>-0.16715058832373922</v>
      </c>
    </row>
    <row r="128" spans="1:10" x14ac:dyDescent="0.3">
      <c r="A128" s="5">
        <v>4.4744394845465003E-2</v>
      </c>
      <c r="C128" s="8" t="s">
        <v>11</v>
      </c>
      <c r="D128" s="4">
        <f>C121-E124*SQRT(D121)/(SQRT(15))</f>
        <v>4.494227684564233E-2</v>
      </c>
      <c r="H128" s="5">
        <v>4.5634684032446998E-2</v>
      </c>
      <c r="I128" s="4">
        <f t="shared" si="19"/>
        <v>0.49999999999999994</v>
      </c>
      <c r="J128" s="4">
        <f t="shared" si="18"/>
        <v>0</v>
      </c>
    </row>
    <row r="129" spans="1:10" x14ac:dyDescent="0.3">
      <c r="A129" s="5">
        <v>4.7054564796948001E-2</v>
      </c>
      <c r="H129" s="5">
        <v>4.5665333150852E-2</v>
      </c>
      <c r="I129" s="4">
        <f t="shared" si="19"/>
        <v>0.56666666666666665</v>
      </c>
      <c r="J129" s="4">
        <f t="shared" si="18"/>
        <v>0.16715058832373922</v>
      </c>
    </row>
    <row r="130" spans="1:10" x14ac:dyDescent="0.3">
      <c r="A130" s="5">
        <v>4.5499971539271003E-2</v>
      </c>
      <c r="H130" s="5">
        <v>4.5763201505743999E-2</v>
      </c>
      <c r="I130" s="4">
        <f t="shared" si="19"/>
        <v>0.6333333333333333</v>
      </c>
      <c r="J130" s="4">
        <f t="shared" si="18"/>
        <v>0.33927638280750583</v>
      </c>
    </row>
    <row r="131" spans="1:10" x14ac:dyDescent="0.3">
      <c r="A131" s="5">
        <v>4.3479620509825997E-2</v>
      </c>
      <c r="H131" s="5">
        <v>4.5927617601272001E-2</v>
      </c>
      <c r="I131" s="4">
        <f t="shared" si="19"/>
        <v>0.7</v>
      </c>
      <c r="J131" s="4">
        <f t="shared" si="18"/>
        <v>0.52246305252576009</v>
      </c>
    </row>
    <row r="132" spans="1:10" x14ac:dyDescent="0.3">
      <c r="A132" s="5">
        <v>4.6127082038933002E-2</v>
      </c>
      <c r="H132" s="5">
        <v>4.6127082038933002E-2</v>
      </c>
      <c r="I132" s="4">
        <f t="shared" si="19"/>
        <v>0.76666666666666661</v>
      </c>
      <c r="J132" s="4">
        <f t="shared" si="18"/>
        <v>0.72575040815577163</v>
      </c>
    </row>
    <row r="133" spans="1:10" x14ac:dyDescent="0.3">
      <c r="A133" s="5">
        <v>4.5763201505743999E-2</v>
      </c>
      <c r="H133" s="5">
        <v>4.6506555050819E-2</v>
      </c>
      <c r="I133" s="4">
        <f t="shared" si="19"/>
        <v>0.83333333333333326</v>
      </c>
      <c r="J133" s="4">
        <f t="shared" si="18"/>
        <v>0.96558119772402329</v>
      </c>
    </row>
    <row r="134" spans="1:10" x14ac:dyDescent="0.3">
      <c r="A134" s="5">
        <v>4.4067423650691002E-2</v>
      </c>
      <c r="H134" s="5">
        <v>4.7054564796948001E-2</v>
      </c>
      <c r="I134" s="4">
        <f t="shared" si="19"/>
        <v>0.89999999999999991</v>
      </c>
      <c r="J134" s="4">
        <f t="shared" si="18"/>
        <v>1.2811261510381207</v>
      </c>
    </row>
    <row r="135" spans="1:10" x14ac:dyDescent="0.3">
      <c r="A135" s="5">
        <v>4.5665333150852E-2</v>
      </c>
      <c r="H135" s="5">
        <v>4.7525385041646002E-2</v>
      </c>
      <c r="I135" s="4">
        <f t="shared" si="19"/>
        <v>0.96666666666666656</v>
      </c>
      <c r="J135" s="4">
        <f t="shared" si="18"/>
        <v>1.8368588976886859</v>
      </c>
    </row>
    <row r="136" spans="1:10" s="3" customFormat="1" ht="4.5" customHeight="1" x14ac:dyDescent="0.3">
      <c r="C136" s="10"/>
    </row>
    <row r="137" spans="1:10" x14ac:dyDescent="0.3">
      <c r="A137" s="2" t="s">
        <v>19</v>
      </c>
      <c r="C137" s="8" t="s">
        <v>1</v>
      </c>
      <c r="D137" s="2" t="s">
        <v>2</v>
      </c>
      <c r="E137" s="2" t="s">
        <v>3</v>
      </c>
      <c r="F137" s="2"/>
      <c r="H137" s="2" t="s">
        <v>4</v>
      </c>
      <c r="I137" s="2" t="s">
        <v>5</v>
      </c>
      <c r="J137" s="2" t="s">
        <v>6</v>
      </c>
    </row>
    <row r="138" spans="1:10" x14ac:dyDescent="0.3">
      <c r="A138" s="5">
        <v>5.3145477366407998E-2</v>
      </c>
      <c r="C138" s="9">
        <f>AVERAGE(A138:A152)</f>
        <v>5.3688778105251064E-2</v>
      </c>
      <c r="D138" s="4">
        <f>_xlfn.VAR.S(A138:A152)</f>
        <v>1.6255566919048949E-6</v>
      </c>
      <c r="E138" s="4">
        <f>SQRT(D138)/C138</f>
        <v>2.3747480520619601E-2</v>
      </c>
      <c r="H138" s="5">
        <v>5.1216482315226998E-2</v>
      </c>
      <c r="I138" s="4">
        <f>1/15 - 0.5/15</f>
        <v>3.3333333333333333E-2</v>
      </c>
      <c r="J138" s="4">
        <f t="shared" ref="J138:J152" si="20">4.91*(I138^0.14-(1-I138)^0.14)</f>
        <v>-1.836858897688687</v>
      </c>
    </row>
    <row r="139" spans="1:10" x14ac:dyDescent="0.3">
      <c r="A139" s="5">
        <v>5.3611598159719998E-2</v>
      </c>
      <c r="H139" s="5">
        <v>5.1465253285807998E-2</v>
      </c>
      <c r="I139" s="4">
        <f t="shared" ref="I139:I152" si="21">I138+1/15</f>
        <v>0.1</v>
      </c>
      <c r="J139" s="4">
        <f t="shared" si="20"/>
        <v>-1.2811261510381207</v>
      </c>
    </row>
    <row r="140" spans="1:10" x14ac:dyDescent="0.3">
      <c r="A140" s="5">
        <v>5.3023438675764999E-2</v>
      </c>
      <c r="C140" s="8" t="s">
        <v>7</v>
      </c>
      <c r="E140" s="2" t="s">
        <v>8</v>
      </c>
      <c r="H140" s="5">
        <v>5.3023438675764999E-2</v>
      </c>
      <c r="I140" s="4">
        <f t="shared" si="21"/>
        <v>0.16666666666666669</v>
      </c>
      <c r="J140" s="4">
        <f t="shared" si="20"/>
        <v>-0.96558119772402384</v>
      </c>
    </row>
    <row r="141" spans="1:10" x14ac:dyDescent="0.3">
      <c r="A141" s="5">
        <v>5.3585320278143E-2</v>
      </c>
      <c r="C141" s="9">
        <f>MEDIAN(A138:A152)</f>
        <v>5.3611598159719998E-2</v>
      </c>
      <c r="E141" s="4">
        <v>2.145</v>
      </c>
      <c r="H141" s="5">
        <v>5.3145477366407998E-2</v>
      </c>
      <c r="I141" s="4">
        <f t="shared" si="21"/>
        <v>0.23333333333333334</v>
      </c>
      <c r="J141" s="4">
        <f t="shared" si="20"/>
        <v>-0.72575040815577163</v>
      </c>
    </row>
    <row r="142" spans="1:10" x14ac:dyDescent="0.3">
      <c r="A142" s="5">
        <v>5.5823100311259997E-2</v>
      </c>
      <c r="H142" s="5">
        <v>5.3304457131086003E-2</v>
      </c>
      <c r="I142" s="4">
        <f t="shared" si="21"/>
        <v>0.3</v>
      </c>
      <c r="J142" s="4">
        <f t="shared" si="20"/>
        <v>-0.52246305252576009</v>
      </c>
    </row>
    <row r="143" spans="1:10" x14ac:dyDescent="0.3">
      <c r="A143" s="5">
        <v>5.3684442692662003E-2</v>
      </c>
      <c r="C143" s="8"/>
      <c r="D143" s="2" t="s">
        <v>9</v>
      </c>
      <c r="H143" s="5">
        <v>5.3465775062067997E-2</v>
      </c>
      <c r="I143" s="4">
        <f t="shared" si="21"/>
        <v>0.36666666666666664</v>
      </c>
      <c r="J143" s="4">
        <f t="shared" si="20"/>
        <v>-0.33927638280750583</v>
      </c>
    </row>
    <row r="144" spans="1:10" x14ac:dyDescent="0.3">
      <c r="A144" s="5">
        <v>5.5538761306237999E-2</v>
      </c>
      <c r="C144" s="8" t="s">
        <v>10</v>
      </c>
      <c r="D144" s="4">
        <f>C138+E141*SQRT(D138)/(SQRT(15))</f>
        <v>5.4394904957800555E-2</v>
      </c>
      <c r="H144" s="5">
        <v>5.3585320278143E-2</v>
      </c>
      <c r="I144" s="4">
        <f t="shared" si="21"/>
        <v>0.43333333333333329</v>
      </c>
      <c r="J144" s="4">
        <f t="shared" si="20"/>
        <v>-0.16715058832373922</v>
      </c>
    </row>
    <row r="145" spans="1:10" x14ac:dyDescent="0.3">
      <c r="A145" s="5">
        <v>5.3465775062067997E-2</v>
      </c>
      <c r="C145" s="8" t="s">
        <v>11</v>
      </c>
      <c r="D145" s="4">
        <f>C138-E141*D138/(SQRT(15))</f>
        <v>5.3687877812429625E-2</v>
      </c>
      <c r="H145" s="5">
        <v>5.3611598159719998E-2</v>
      </c>
      <c r="I145" s="4">
        <f t="shared" si="21"/>
        <v>0.49999999999999994</v>
      </c>
      <c r="J145" s="4">
        <f t="shared" si="20"/>
        <v>0</v>
      </c>
    </row>
    <row r="146" spans="1:10" x14ac:dyDescent="0.3">
      <c r="A146" s="5">
        <v>5.5195393417013003E-2</v>
      </c>
      <c r="H146" s="5">
        <v>5.3684442692662003E-2</v>
      </c>
      <c r="I146" s="4">
        <f t="shared" si="21"/>
        <v>0.56666666666666665</v>
      </c>
      <c r="J146" s="4">
        <f t="shared" si="20"/>
        <v>0.16715058832373922</v>
      </c>
    </row>
    <row r="147" spans="1:10" x14ac:dyDescent="0.3">
      <c r="A147" s="5">
        <v>5.3998690654273998E-2</v>
      </c>
      <c r="H147" s="5">
        <v>5.3998690654273998E-2</v>
      </c>
      <c r="I147" s="4">
        <f t="shared" si="21"/>
        <v>0.6333333333333333</v>
      </c>
      <c r="J147" s="4">
        <f t="shared" si="20"/>
        <v>0.33927638280750583</v>
      </c>
    </row>
    <row r="148" spans="1:10" x14ac:dyDescent="0.3">
      <c r="A148" s="5">
        <v>5.1216482315226998E-2</v>
      </c>
      <c r="H148" s="5">
        <v>5.4089437411247998E-2</v>
      </c>
      <c r="I148" s="4">
        <f t="shared" si="21"/>
        <v>0.7</v>
      </c>
      <c r="J148" s="4">
        <f t="shared" si="20"/>
        <v>0.52246305252576009</v>
      </c>
    </row>
    <row r="149" spans="1:10" x14ac:dyDescent="0.3">
      <c r="A149" s="5">
        <v>5.3304457131086003E-2</v>
      </c>
      <c r="H149" s="5">
        <v>5.4184043511845997E-2</v>
      </c>
      <c r="I149" s="4">
        <f t="shared" si="21"/>
        <v>0.76666666666666661</v>
      </c>
      <c r="J149" s="4">
        <f t="shared" si="20"/>
        <v>0.72575040815577163</v>
      </c>
    </row>
    <row r="150" spans="1:10" x14ac:dyDescent="0.3">
      <c r="A150" s="5">
        <v>5.4184043511845997E-2</v>
      </c>
      <c r="H150" s="5">
        <v>5.5195393417013003E-2</v>
      </c>
      <c r="I150" s="4">
        <f t="shared" si="21"/>
        <v>0.83333333333333326</v>
      </c>
      <c r="J150" s="4">
        <f t="shared" si="20"/>
        <v>0.96558119772402329</v>
      </c>
    </row>
    <row r="151" spans="1:10" x14ac:dyDescent="0.3">
      <c r="A151" s="5">
        <v>5.1465253285807998E-2</v>
      </c>
      <c r="H151" s="5">
        <v>5.5538761306237999E-2</v>
      </c>
      <c r="I151" s="4">
        <f t="shared" si="21"/>
        <v>0.89999999999999991</v>
      </c>
      <c r="J151" s="4">
        <f t="shared" si="20"/>
        <v>1.2811261510381207</v>
      </c>
    </row>
    <row r="152" spans="1:10" x14ac:dyDescent="0.3">
      <c r="A152" s="5">
        <v>5.4089437411247998E-2</v>
      </c>
      <c r="H152" s="5">
        <v>5.5823100311259997E-2</v>
      </c>
      <c r="I152" s="4">
        <f t="shared" si="21"/>
        <v>0.96666666666666656</v>
      </c>
      <c r="J152" s="4">
        <f t="shared" si="20"/>
        <v>1.8368588976886859</v>
      </c>
    </row>
    <row r="153" spans="1:10" s="3" customFormat="1" ht="5.25" customHeight="1" x14ac:dyDescent="0.3">
      <c r="C153" s="10"/>
    </row>
    <row r="155" spans="1:10" x14ac:dyDescent="0.3">
      <c r="A155" s="2"/>
      <c r="C155" s="2"/>
      <c r="D155" s="2"/>
      <c r="E155" s="2"/>
    </row>
    <row r="156" spans="1:10" x14ac:dyDescent="0.3">
      <c r="A156" s="14" t="s">
        <v>20</v>
      </c>
      <c r="B156" s="14"/>
      <c r="C156" s="14"/>
    </row>
    <row r="157" spans="1:10" x14ac:dyDescent="0.3">
      <c r="A157" s="2" t="s">
        <v>21</v>
      </c>
      <c r="B157" s="2" t="s">
        <v>22</v>
      </c>
      <c r="C157" s="2" t="s">
        <v>23</v>
      </c>
    </row>
    <row r="158" spans="1:10" x14ac:dyDescent="0.3">
      <c r="A158" s="2" t="s">
        <v>24</v>
      </c>
      <c r="B158" s="4">
        <f>0*0.001</f>
        <v>0</v>
      </c>
      <c r="C158" s="4">
        <v>1.2E-2</v>
      </c>
    </row>
    <row r="159" spans="1:10" x14ac:dyDescent="0.3">
      <c r="A159" s="11" t="s">
        <v>25</v>
      </c>
      <c r="B159" s="4">
        <f>1*0.001</f>
        <v>1E-3</v>
      </c>
      <c r="C159" s="4">
        <f>C2</f>
        <v>1.6593894121528067E-2</v>
      </c>
    </row>
    <row r="160" spans="1:10" x14ac:dyDescent="0.3">
      <c r="A160" s="11" t="s">
        <v>26</v>
      </c>
      <c r="B160" s="4">
        <f>0.001*1.5</f>
        <v>1.5E-3</v>
      </c>
      <c r="C160" s="4">
        <f>C19</f>
        <v>1.9076697528669799E-2</v>
      </c>
    </row>
    <row r="161" spans="1:7" x14ac:dyDescent="0.3">
      <c r="A161" s="11" t="s">
        <v>27</v>
      </c>
      <c r="B161" s="4">
        <f>0.001*2</f>
        <v>2E-3</v>
      </c>
      <c r="C161" s="4">
        <f>C36</f>
        <v>2.1893523264155935E-2</v>
      </c>
    </row>
    <row r="162" spans="1:7" x14ac:dyDescent="0.3">
      <c r="A162" s="11" t="s">
        <v>28</v>
      </c>
      <c r="B162" s="4">
        <f>0.001*2.5</f>
        <v>2.5000000000000001E-3</v>
      </c>
      <c r="C162" s="4">
        <f>C53</f>
        <v>2.51472499688946E-2</v>
      </c>
    </row>
    <row r="163" spans="1:7" x14ac:dyDescent="0.3">
      <c r="A163" s="11" t="s">
        <v>29</v>
      </c>
      <c r="B163" s="4">
        <f>0.001*3</f>
        <v>3.0000000000000001E-3</v>
      </c>
      <c r="C163" s="4">
        <f>C70</f>
        <v>2.8994171753865535E-2</v>
      </c>
    </row>
    <row r="164" spans="1:7" x14ac:dyDescent="0.3">
      <c r="A164" s="11" t="s">
        <v>30</v>
      </c>
      <c r="B164" s="4">
        <f>0.001*3.5</f>
        <v>3.5000000000000001E-3</v>
      </c>
      <c r="C164" s="4">
        <f>C87</f>
        <v>3.3410938260204727E-2</v>
      </c>
    </row>
    <row r="165" spans="1:7" x14ac:dyDescent="0.3">
      <c r="A165" s="11" t="s">
        <v>31</v>
      </c>
      <c r="B165" s="4">
        <f>0.001*4</f>
        <v>4.0000000000000001E-3</v>
      </c>
      <c r="C165" s="4">
        <f>C104</f>
        <v>3.889313619420761E-2</v>
      </c>
    </row>
    <row r="166" spans="1:7" x14ac:dyDescent="0.3">
      <c r="A166" s="11" t="s">
        <v>32</v>
      </c>
      <c r="B166" s="4">
        <f>0.001*4.5</f>
        <v>4.5000000000000005E-3</v>
      </c>
      <c r="C166" s="4">
        <f>C121</f>
        <v>4.5543848159903332E-2</v>
      </c>
    </row>
    <row r="167" spans="1:7" x14ac:dyDescent="0.3">
      <c r="A167" s="4" t="s">
        <v>33</v>
      </c>
      <c r="B167" s="4">
        <f>0.001*5</f>
        <v>5.0000000000000001E-3</v>
      </c>
      <c r="C167" s="4">
        <f>C138</f>
        <v>5.3688778105251064E-2</v>
      </c>
    </row>
    <row r="172" spans="1:7" x14ac:dyDescent="0.3">
      <c r="A172" s="14" t="s">
        <v>34</v>
      </c>
      <c r="B172" s="14"/>
      <c r="C172" s="14"/>
      <c r="D172" s="14"/>
    </row>
    <row r="173" spans="1:7" x14ac:dyDescent="0.3">
      <c r="A173" s="2" t="s">
        <v>21</v>
      </c>
      <c r="B173" s="2" t="s">
        <v>22</v>
      </c>
      <c r="C173" s="2" t="s">
        <v>35</v>
      </c>
      <c r="D173" s="2" t="s">
        <v>36</v>
      </c>
      <c r="F173" s="8"/>
      <c r="G173" s="8"/>
    </row>
    <row r="174" spans="1:7" x14ac:dyDescent="0.3">
      <c r="A174" s="2" t="s">
        <v>24</v>
      </c>
      <c r="B174" s="4">
        <f>0.001*0</f>
        <v>0</v>
      </c>
      <c r="C174" s="4">
        <f t="shared" ref="C174:C183" si="22">LN(C158)</f>
        <v>-4.4228486291941369</v>
      </c>
      <c r="D174" s="4">
        <f t="shared" ref="D174:D183" si="23">C174-B174*$C$187-$D$187</f>
        <v>-1.1448629194136473E-2</v>
      </c>
      <c r="F174" s="2"/>
      <c r="G174" s="2"/>
    </row>
    <row r="175" spans="1:7" x14ac:dyDescent="0.3">
      <c r="A175" s="11" t="s">
        <v>25</v>
      </c>
      <c r="B175" s="4">
        <f>0.001*1</f>
        <v>1E-3</v>
      </c>
      <c r="C175" s="4">
        <f t="shared" si="22"/>
        <v>-4.0987204752878146</v>
      </c>
      <c r="D175" s="4">
        <f t="shared" si="23"/>
        <v>1.902952471218633E-2</v>
      </c>
    </row>
    <row r="176" spans="1:7" x14ac:dyDescent="0.3">
      <c r="A176" s="11" t="s">
        <v>26</v>
      </c>
      <c r="B176" s="4">
        <f>0.001*1.5</f>
        <v>1.5E-3</v>
      </c>
      <c r="C176" s="4">
        <f t="shared" si="22"/>
        <v>-3.9592877134425066</v>
      </c>
      <c r="D176" s="4">
        <f t="shared" si="23"/>
        <v>1.1637286557493631E-2</v>
      </c>
    </row>
    <row r="177" spans="1:4" x14ac:dyDescent="0.3">
      <c r="A177" s="11" t="s">
        <v>27</v>
      </c>
      <c r="B177" s="4">
        <f>0.001*2</f>
        <v>2E-3</v>
      </c>
      <c r="C177" s="4">
        <f t="shared" si="22"/>
        <v>-3.8215644272625253</v>
      </c>
      <c r="D177" s="4">
        <f>C177-B177*$C$187-$D$187</f>
        <v>2.535572737475178E-3</v>
      </c>
    </row>
    <row r="178" spans="1:4" x14ac:dyDescent="0.3">
      <c r="A178" s="11" t="s">
        <v>28</v>
      </c>
      <c r="B178" s="4">
        <f>0.001*2.5</f>
        <v>2.5000000000000001E-3</v>
      </c>
      <c r="C178" s="4">
        <f t="shared" si="22"/>
        <v>-3.6830067335881851</v>
      </c>
      <c r="D178" s="4">
        <f>C178-B178*$C$187-$D$187</f>
        <v>-5.7317335881847953E-3</v>
      </c>
    </row>
    <row r="179" spans="1:4" x14ac:dyDescent="0.3">
      <c r="A179" s="11" t="s">
        <v>29</v>
      </c>
      <c r="B179" s="4">
        <f>0.001*3</f>
        <v>3.0000000000000001E-3</v>
      </c>
      <c r="C179" s="4">
        <f t="shared" si="22"/>
        <v>-3.5406604431982811</v>
      </c>
      <c r="D179" s="4">
        <f t="shared" si="23"/>
        <v>-1.0210443198280572E-2</v>
      </c>
    </row>
    <row r="180" spans="1:4" x14ac:dyDescent="0.3">
      <c r="A180" s="11" t="s">
        <v>30</v>
      </c>
      <c r="B180" s="4">
        <f>0.001*3.5</f>
        <v>3.5000000000000001E-3</v>
      </c>
      <c r="C180" s="4">
        <f t="shared" si="22"/>
        <v>-3.3988719397930502</v>
      </c>
      <c r="D180" s="4">
        <f t="shared" si="23"/>
        <v>-1.5246939793049918E-2</v>
      </c>
    </row>
    <row r="181" spans="1:4" x14ac:dyDescent="0.3">
      <c r="A181" s="11" t="s">
        <v>31</v>
      </c>
      <c r="B181" s="4">
        <f>0.001*4</f>
        <v>4.0000000000000001E-3</v>
      </c>
      <c r="C181" s="4">
        <f t="shared" si="22"/>
        <v>-3.2469374913760949</v>
      </c>
      <c r="D181" s="4">
        <f t="shared" si="23"/>
        <v>-1.0137491376093877E-2</v>
      </c>
    </row>
    <row r="182" spans="1:4" x14ac:dyDescent="0.3">
      <c r="A182" s="11" t="s">
        <v>32</v>
      </c>
      <c r="B182" s="4">
        <f>0.001*4.5</f>
        <v>4.5000000000000005E-3</v>
      </c>
      <c r="C182" s="4">
        <f t="shared" si="22"/>
        <v>-3.0890797212598842</v>
      </c>
      <c r="D182" s="4">
        <f t="shared" si="23"/>
        <v>8.9527874011618991E-4</v>
      </c>
    </row>
    <row r="183" spans="1:4" x14ac:dyDescent="0.3">
      <c r="A183" s="4" t="s">
        <v>33</v>
      </c>
      <c r="B183" s="4">
        <f>0.001*5</f>
        <v>5.0000000000000001E-3</v>
      </c>
      <c r="C183" s="4">
        <f t="shared" si="22"/>
        <v>-2.924551273136843</v>
      </c>
      <c r="D183" s="4">
        <f t="shared" si="23"/>
        <v>1.8598726863157111E-2</v>
      </c>
    </row>
    <row r="184" spans="1:4" x14ac:dyDescent="0.3">
      <c r="A184" s="2"/>
      <c r="C184" s="4"/>
    </row>
    <row r="185" spans="1:4" x14ac:dyDescent="0.3">
      <c r="A185" s="2"/>
      <c r="C185" s="14" t="s">
        <v>37</v>
      </c>
      <c r="D185" s="14"/>
    </row>
    <row r="186" spans="1:4" x14ac:dyDescent="0.3">
      <c r="A186" s="2"/>
      <c r="C186" s="2" t="s">
        <v>38</v>
      </c>
      <c r="D186" s="2" t="s">
        <v>39</v>
      </c>
    </row>
    <row r="187" spans="1:4" x14ac:dyDescent="0.3">
      <c r="A187" s="2"/>
      <c r="C187" s="4">
        <v>293.64999999999998</v>
      </c>
      <c r="D187" s="4">
        <v>-4.4114000000000004</v>
      </c>
    </row>
    <row r="188" spans="1:4" x14ac:dyDescent="0.3">
      <c r="A188" s="2"/>
      <c r="C188" s="4"/>
    </row>
    <row r="189" spans="1:4" x14ac:dyDescent="0.3">
      <c r="A189" s="14" t="s">
        <v>40</v>
      </c>
      <c r="B189" s="14"/>
      <c r="C189" s="14"/>
    </row>
    <row r="190" spans="1:4" x14ac:dyDescent="0.3">
      <c r="A190" s="2" t="s">
        <v>36</v>
      </c>
      <c r="B190" s="2" t="s">
        <v>5</v>
      </c>
      <c r="C190" s="2" t="s">
        <v>41</v>
      </c>
    </row>
    <row r="191" spans="1:4" x14ac:dyDescent="0.3">
      <c r="A191" s="4">
        <v>-1.5071939793049438E-2</v>
      </c>
      <c r="B191" s="4">
        <f>1/10-0.5/10</f>
        <v>0.05</v>
      </c>
      <c r="C191" s="4">
        <f t="shared" ref="C191:C200" si="24">4.91*(B191^0.14-(1-B191)^0.14)</f>
        <v>-1.646839288608541</v>
      </c>
    </row>
    <row r="192" spans="1:4" x14ac:dyDescent="0.3">
      <c r="A192" s="4">
        <v>-1.1448629194136473E-2</v>
      </c>
      <c r="B192" s="4">
        <f>B191+1/10</f>
        <v>0.15000000000000002</v>
      </c>
      <c r="C192" s="4">
        <f t="shared" si="24"/>
        <v>-1.0348120568824539</v>
      </c>
    </row>
    <row r="193" spans="1:3" x14ac:dyDescent="0.3">
      <c r="A193" s="4">
        <v>-1.0060443198280922E-2</v>
      </c>
      <c r="B193" s="4">
        <f t="shared" ref="B193:B199" si="25">B192+1/10</f>
        <v>0.25</v>
      </c>
      <c r="C193" s="4">
        <f t="shared" si="24"/>
        <v>-0.67234481227438181</v>
      </c>
    </row>
    <row r="194" spans="1:3" x14ac:dyDescent="0.3">
      <c r="A194" s="4">
        <v>-9.9374913760943429E-3</v>
      </c>
      <c r="B194" s="4">
        <f t="shared" si="25"/>
        <v>0.35</v>
      </c>
      <c r="C194" s="4">
        <f t="shared" si="24"/>
        <v>-0.38375344638642911</v>
      </c>
    </row>
    <row r="195" spans="1:3" x14ac:dyDescent="0.3">
      <c r="A195" s="4">
        <v>-5.6067335881850866E-3</v>
      </c>
      <c r="B195" s="4">
        <f t="shared" si="25"/>
        <v>0.44999999999999996</v>
      </c>
      <c r="C195" s="4">
        <f t="shared" si="24"/>
        <v>-0.12510020748818707</v>
      </c>
    </row>
    <row r="196" spans="1:3" x14ac:dyDescent="0.3">
      <c r="A196" s="4">
        <v>1.1202787401156655E-3</v>
      </c>
      <c r="B196" s="4">
        <f t="shared" si="25"/>
        <v>0.54999999999999993</v>
      </c>
      <c r="C196" s="4">
        <f t="shared" si="24"/>
        <v>0.12510020748818651</v>
      </c>
    </row>
    <row r="197" spans="1:3" x14ac:dyDescent="0.3">
      <c r="A197" s="4">
        <v>2.6355727374749449E-3</v>
      </c>
      <c r="B197" s="4">
        <f t="shared" si="25"/>
        <v>0.64999999999999991</v>
      </c>
      <c r="C197" s="4">
        <f t="shared" si="24"/>
        <v>0.383753446386428</v>
      </c>
    </row>
    <row r="198" spans="1:3" x14ac:dyDescent="0.3">
      <c r="A198" s="4">
        <v>1.1712286557493456E-2</v>
      </c>
      <c r="B198" s="4">
        <f t="shared" si="25"/>
        <v>0.74999999999999989</v>
      </c>
      <c r="C198" s="4">
        <f t="shared" si="24"/>
        <v>0.67234481227438181</v>
      </c>
    </row>
    <row r="199" spans="1:3" x14ac:dyDescent="0.3">
      <c r="A199" s="4">
        <v>1.8848726863157417E-2</v>
      </c>
      <c r="B199" s="4">
        <f t="shared" si="25"/>
        <v>0.84999999999999987</v>
      </c>
      <c r="C199" s="4">
        <f t="shared" si="24"/>
        <v>1.0348120568824539</v>
      </c>
    </row>
    <row r="200" spans="1:3" x14ac:dyDescent="0.3">
      <c r="A200" s="4">
        <v>1.9079524712186213E-2</v>
      </c>
      <c r="B200" s="4">
        <f>B199+1/10</f>
        <v>0.94999999999999984</v>
      </c>
      <c r="C200" s="4">
        <f t="shared" si="24"/>
        <v>1.6468392886085399</v>
      </c>
    </row>
    <row r="202" spans="1:3" x14ac:dyDescent="0.3">
      <c r="A202" s="14" t="s">
        <v>42</v>
      </c>
      <c r="B202" s="14"/>
    </row>
    <row r="203" spans="1:3" x14ac:dyDescent="0.3">
      <c r="A203" s="2" t="s">
        <v>36</v>
      </c>
      <c r="B203" s="2" t="s">
        <v>43</v>
      </c>
    </row>
    <row r="204" spans="1:3" x14ac:dyDescent="0.3">
      <c r="A204" s="4">
        <v>-1.1448629194136473E-2</v>
      </c>
      <c r="B204" s="4">
        <f t="shared" ref="B204:B213" si="26">B174*$C$187+$D$187</f>
        <v>-4.4114000000000004</v>
      </c>
    </row>
    <row r="205" spans="1:3" x14ac:dyDescent="0.3">
      <c r="A205" s="4">
        <v>1.9079524712186213E-2</v>
      </c>
      <c r="B205" s="4">
        <f t="shared" si="26"/>
        <v>-4.1177500000000009</v>
      </c>
    </row>
    <row r="206" spans="1:3" x14ac:dyDescent="0.3">
      <c r="A206" s="4">
        <v>1.1712286557493456E-2</v>
      </c>
      <c r="B206" s="4">
        <f t="shared" si="26"/>
        <v>-3.9709250000000003</v>
      </c>
    </row>
    <row r="207" spans="1:3" x14ac:dyDescent="0.3">
      <c r="A207" s="4">
        <v>2.6355727374749449E-3</v>
      </c>
      <c r="B207" s="4">
        <f t="shared" si="26"/>
        <v>-3.8241000000000005</v>
      </c>
    </row>
    <row r="208" spans="1:3" x14ac:dyDescent="0.3">
      <c r="A208" s="4">
        <v>-5.6067335881850866E-3</v>
      </c>
      <c r="B208" s="4">
        <f t="shared" si="26"/>
        <v>-3.6772750000000007</v>
      </c>
    </row>
    <row r="209" spans="1:2" x14ac:dyDescent="0.3">
      <c r="A209" s="4">
        <v>-1.0060443198280922E-2</v>
      </c>
      <c r="B209" s="4">
        <f t="shared" si="26"/>
        <v>-3.5304500000000005</v>
      </c>
    </row>
    <row r="210" spans="1:2" x14ac:dyDescent="0.3">
      <c r="A210" s="4">
        <v>-1.5071939793049438E-2</v>
      </c>
      <c r="B210" s="4">
        <f t="shared" si="26"/>
        <v>-3.3836250000000003</v>
      </c>
    </row>
    <row r="211" spans="1:2" x14ac:dyDescent="0.3">
      <c r="A211" s="4">
        <v>-9.9374913760943429E-3</v>
      </c>
      <c r="B211" s="4">
        <f t="shared" si="26"/>
        <v>-3.2368000000000006</v>
      </c>
    </row>
    <row r="212" spans="1:2" x14ac:dyDescent="0.3">
      <c r="A212" s="4">
        <v>1.1202787401156655E-3</v>
      </c>
      <c r="B212" s="4">
        <f t="shared" si="26"/>
        <v>-3.0899750000000004</v>
      </c>
    </row>
    <row r="213" spans="1:2" x14ac:dyDescent="0.3">
      <c r="A213" s="4">
        <v>1.8848726863157417E-2</v>
      </c>
      <c r="B213" s="4">
        <f t="shared" si="26"/>
        <v>-2.9431500000000006</v>
      </c>
    </row>
    <row r="215" spans="1:2" x14ac:dyDescent="0.3">
      <c r="A215" s="14" t="s">
        <v>44</v>
      </c>
      <c r="B215" s="14"/>
    </row>
    <row r="216" spans="1:2" x14ac:dyDescent="0.3">
      <c r="A216" s="2" t="s">
        <v>36</v>
      </c>
      <c r="B216" s="2" t="s">
        <v>45</v>
      </c>
    </row>
    <row r="217" spans="1:2" x14ac:dyDescent="0.3">
      <c r="A217" s="4">
        <v>-1.1448629194136473E-2</v>
      </c>
      <c r="B217" s="4">
        <v>1</v>
      </c>
    </row>
    <row r="218" spans="1:2" x14ac:dyDescent="0.3">
      <c r="A218" s="4">
        <v>1.9079524712186213E-2</v>
      </c>
      <c r="B218" s="4">
        <v>2</v>
      </c>
    </row>
    <row r="219" spans="1:2" x14ac:dyDescent="0.3">
      <c r="A219" s="4">
        <v>1.1712286557493456E-2</v>
      </c>
      <c r="B219" s="4">
        <v>3</v>
      </c>
    </row>
    <row r="220" spans="1:2" x14ac:dyDescent="0.3">
      <c r="A220" s="4">
        <v>2.6355727374749449E-3</v>
      </c>
      <c r="B220" s="4">
        <v>4</v>
      </c>
    </row>
    <row r="221" spans="1:2" x14ac:dyDescent="0.3">
      <c r="A221" s="4">
        <v>-5.6067335881850866E-3</v>
      </c>
      <c r="B221" s="4">
        <v>5</v>
      </c>
    </row>
    <row r="222" spans="1:2" x14ac:dyDescent="0.3">
      <c r="A222" s="4">
        <v>-1.0060443198280922E-2</v>
      </c>
      <c r="B222" s="4">
        <v>6</v>
      </c>
    </row>
    <row r="223" spans="1:2" x14ac:dyDescent="0.3">
      <c r="A223" s="4">
        <v>-1.5071939793049438E-2</v>
      </c>
      <c r="B223" s="4">
        <v>7</v>
      </c>
    </row>
    <row r="224" spans="1:2" x14ac:dyDescent="0.3">
      <c r="A224" s="4">
        <v>-9.9374913760943429E-3</v>
      </c>
      <c r="B224" s="4">
        <v>8</v>
      </c>
    </row>
    <row r="225" spans="1:12" x14ac:dyDescent="0.3">
      <c r="A225" s="4">
        <v>1.1202787401156655E-3</v>
      </c>
      <c r="B225" s="4">
        <v>9</v>
      </c>
    </row>
    <row r="226" spans="1:12" x14ac:dyDescent="0.3">
      <c r="A226" s="4">
        <v>1.8848726863157417E-2</v>
      </c>
      <c r="B226" s="4">
        <v>10</v>
      </c>
    </row>
    <row r="229" spans="1:12" x14ac:dyDescent="0.3">
      <c r="A229" s="14" t="s">
        <v>46</v>
      </c>
      <c r="B229" s="14"/>
      <c r="C229" s="14"/>
      <c r="E229" s="2" t="s">
        <v>47</v>
      </c>
      <c r="F229" s="2" t="s">
        <v>48</v>
      </c>
      <c r="G229" s="2" t="s">
        <v>49</v>
      </c>
      <c r="H229" s="2" t="s">
        <v>50</v>
      </c>
      <c r="L229" s="2" t="s">
        <v>51</v>
      </c>
    </row>
    <row r="230" spans="1:12" x14ac:dyDescent="0.3">
      <c r="A230" s="2"/>
      <c r="B230" s="2" t="s">
        <v>38</v>
      </c>
      <c r="C230" s="2" t="s">
        <v>39</v>
      </c>
      <c r="E230" s="4">
        <v>2.306</v>
      </c>
      <c r="F230" s="4">
        <f>SUM(D174*D174,D175*D175, D176*D176,D177*D177,D178*D178,D179*D179,D180*D180,D181*D181,D182*D182,D183*D183)</f>
        <v>1.4541074783621262E-3</v>
      </c>
      <c r="G230" s="4">
        <f>SUM(C174:C183)/10</f>
        <v>-3.6185528847539326</v>
      </c>
      <c r="H230" s="4">
        <f>SUM(C174*C174,C175*C175,C176*C176,C177*C177,C178*C178,C179*C179,C180*C180,C181*C181,C182*C182,C183*C183)-10*G230*G230</f>
        <v>1.9933257864396978</v>
      </c>
      <c r="L230" s="4">
        <f>(C174-$G$230)^2</f>
        <v>0.64689164452462256</v>
      </c>
    </row>
    <row r="231" spans="1:12" x14ac:dyDescent="0.3">
      <c r="A231" s="2" t="s">
        <v>52</v>
      </c>
      <c r="B231" s="4">
        <f>$C$187+$E$230*SQRT(($F$230/8)*(1/$H$230))</f>
        <v>293.67202030961062</v>
      </c>
      <c r="C231" s="4">
        <f>$D$187+$E$230*SQRT(($F$230/(10*8))*(($G$230^2)/$H$230))</f>
        <v>-4.3862024482895929</v>
      </c>
      <c r="L231" s="4">
        <f t="shared" ref="L231:L238" si="27">(C175-$G$230)^2</f>
        <v>0.2305609149991138</v>
      </c>
    </row>
    <row r="232" spans="1:12" x14ac:dyDescent="0.3">
      <c r="A232" s="2" t="s">
        <v>53</v>
      </c>
      <c r="B232" s="4">
        <f>$C$187-$E$230*SQRT(($F$230/8)*(1/$H$230))</f>
        <v>293.62797969038934</v>
      </c>
      <c r="C232" s="4">
        <f>$D$187-$E$230*SQRT(($F$230/(10*8))*(($G$230^2)/$H$230))</f>
        <v>-4.4365975517104079</v>
      </c>
      <c r="E232" s="2" t="s">
        <v>54</v>
      </c>
      <c r="F232" s="2" t="s">
        <v>55</v>
      </c>
      <c r="L232" s="4">
        <f t="shared" si="27"/>
        <v>0.11610022348143192</v>
      </c>
    </row>
    <row r="233" spans="1:12" x14ac:dyDescent="0.3">
      <c r="E233" s="4">
        <f>SUM(L230:L239)</f>
        <v>1.9933257864397196</v>
      </c>
      <c r="F233" s="4">
        <f>($E$233 - $F$230)/$E$233</f>
        <v>0.9992705118810713</v>
      </c>
      <c r="L233" s="4">
        <f t="shared" si="27"/>
        <v>4.1213686391718171E-2</v>
      </c>
    </row>
    <row r="234" spans="1:12" x14ac:dyDescent="0.3">
      <c r="A234" s="14" t="s">
        <v>56</v>
      </c>
      <c r="B234" s="14"/>
      <c r="C234" s="14"/>
      <c r="L234" s="4">
        <f t="shared" si="27"/>
        <v>4.1542986295486769E-3</v>
      </c>
    </row>
    <row r="235" spans="1:12" x14ac:dyDescent="0.3">
      <c r="A235" s="2" t="s">
        <v>43</v>
      </c>
      <c r="B235" s="2" t="s">
        <v>11</v>
      </c>
      <c r="C235" s="2" t="s">
        <v>10</v>
      </c>
      <c r="L235" s="4">
        <f t="shared" si="27"/>
        <v>6.067232451500577E-3</v>
      </c>
    </row>
    <row r="236" spans="1:12" x14ac:dyDescent="0.3">
      <c r="A236" s="4">
        <f t="shared" ref="A236:A245" si="28">B174*$C$187+$D$187</f>
        <v>-4.4114000000000004</v>
      </c>
      <c r="B236" s="4">
        <f t="shared" ref="B236:B245" si="29">$A236-$E$230*SQRT(($F$230/8)*(1 + 0.1+((B174-$G$230)^2)/$H$230))</f>
        <v>-4.4974951397279366</v>
      </c>
      <c r="C236" s="4">
        <f t="shared" ref="C236:C245" si="30">$A236+$E$230*SQRT(($F$230/8)*(1 + 0.1+((C174-$G$230)^2)/$H$230))</f>
        <v>-4.3742936546836964</v>
      </c>
      <c r="L236" s="4">
        <f t="shared" si="27"/>
        <v>4.8259717578906201E-2</v>
      </c>
    </row>
    <row r="237" spans="1:12" x14ac:dyDescent="0.3">
      <c r="A237" s="4">
        <f t="shared" si="28"/>
        <v>-4.1177500000000009</v>
      </c>
      <c r="B237" s="4">
        <f t="shared" si="29"/>
        <v>-4.203865520082549</v>
      </c>
      <c r="C237" s="4">
        <f t="shared" si="30"/>
        <v>-4.0834716602611278</v>
      </c>
      <c r="L237" s="4">
        <f t="shared" si="27"/>
        <v>0.13809800059536503</v>
      </c>
    </row>
    <row r="238" spans="1:12" x14ac:dyDescent="0.3">
      <c r="A238" s="4">
        <f t="shared" si="28"/>
        <v>-3.9709250000000003</v>
      </c>
      <c r="B238" s="4">
        <f t="shared" si="29"/>
        <v>-4.057050710562617</v>
      </c>
      <c r="C238" s="4">
        <f t="shared" si="30"/>
        <v>-3.9374660211056165</v>
      </c>
      <c r="L238" s="4">
        <f t="shared" si="27"/>
        <v>0.28034183086039527</v>
      </c>
    </row>
    <row r="239" spans="1:12" x14ac:dyDescent="0.3">
      <c r="A239" s="4">
        <f t="shared" si="28"/>
        <v>-3.8241000000000005</v>
      </c>
      <c r="B239" s="4">
        <f t="shared" si="29"/>
        <v>-3.910235901244433</v>
      </c>
      <c r="C239" s="4">
        <f t="shared" si="30"/>
        <v>-3.7911881292921219</v>
      </c>
      <c r="L239" s="4">
        <f>(C183-$G$230)^2</f>
        <v>0.48163823692711755</v>
      </c>
    </row>
    <row r="240" spans="1:12" x14ac:dyDescent="0.3">
      <c r="A240" s="4">
        <f t="shared" si="28"/>
        <v>-3.6772750000000007</v>
      </c>
      <c r="B240" s="4">
        <f t="shared" si="29"/>
        <v>-3.7634210921279236</v>
      </c>
      <c r="C240" s="4">
        <f t="shared" si="30"/>
        <v>-3.6446372709519714</v>
      </c>
    </row>
    <row r="241" spans="1:3" x14ac:dyDescent="0.3">
      <c r="A241" s="4">
        <f t="shared" si="28"/>
        <v>-3.5304500000000005</v>
      </c>
      <c r="B241" s="4">
        <f t="shared" si="29"/>
        <v>-3.6166062832130175</v>
      </c>
      <c r="C241" s="4">
        <f t="shared" si="30"/>
        <v>-3.4977980639530699</v>
      </c>
    </row>
    <row r="242" spans="1:3" x14ac:dyDescent="0.3">
      <c r="A242" s="4">
        <f t="shared" si="28"/>
        <v>-3.3836250000000003</v>
      </c>
      <c r="B242" s="4">
        <f t="shared" si="29"/>
        <v>-3.4697914744996434</v>
      </c>
      <c r="C242" s="4">
        <f t="shared" si="30"/>
        <v>-3.3506612651996526</v>
      </c>
    </row>
    <row r="243" spans="1:3" x14ac:dyDescent="0.3">
      <c r="A243" s="4">
        <f t="shared" si="28"/>
        <v>-3.2368000000000006</v>
      </c>
      <c r="B243" s="4">
        <f t="shared" si="29"/>
        <v>-3.32297666598773</v>
      </c>
      <c r="C243" s="4">
        <f t="shared" si="30"/>
        <v>-3.2031820009582921</v>
      </c>
    </row>
    <row r="244" spans="1:3" x14ac:dyDescent="0.3">
      <c r="A244" s="4">
        <f t="shared" si="28"/>
        <v>-3.0899750000000004</v>
      </c>
      <c r="B244" s="4">
        <f t="shared" si="29"/>
        <v>-3.1761618576772053</v>
      </c>
      <c r="C244" s="4">
        <f t="shared" si="30"/>
        <v>-3.0553463551459359</v>
      </c>
    </row>
    <row r="245" spans="1:3" x14ac:dyDescent="0.3">
      <c r="A245" s="4">
        <f t="shared" si="28"/>
        <v>-2.9431500000000006</v>
      </c>
      <c r="B245" s="4">
        <f t="shared" si="29"/>
        <v>-3.0293470495679982</v>
      </c>
      <c r="C245" s="4">
        <f t="shared" si="30"/>
        <v>-2.907139578299224</v>
      </c>
    </row>
  </sheetData>
  <sortState xmlns:xlrd2="http://schemas.microsoft.com/office/spreadsheetml/2017/richdata2" ref="A191:A200">
    <sortCondition ref="A191:A200"/>
  </sortState>
  <mergeCells count="8">
    <mergeCell ref="A234:C234"/>
    <mergeCell ref="A189:C189"/>
    <mergeCell ref="A202:B202"/>
    <mergeCell ref="A172:D172"/>
    <mergeCell ref="A156:C156"/>
    <mergeCell ref="C185:D185"/>
    <mergeCell ref="A215:B215"/>
    <mergeCell ref="A229:C229"/>
  </mergeCells>
  <phoneticPr fontId="7" type="noConversion"/>
  <pageMargins left="0.7" right="0.7" top="0.75" bottom="0.75" header="0.3" footer="0.3"/>
  <pageSetup paperSize="9" orientation="portrait" horizontalDpi="144" verticalDpi="14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48C-F844-4C07-AE4C-307CDAC7CC6C}">
  <dimension ref="A1:L300"/>
  <sheetViews>
    <sheetView topLeftCell="A170" workbookViewId="0">
      <selection activeCell="J187" sqref="J187"/>
    </sheetView>
  </sheetViews>
  <sheetFormatPr defaultColWidth="9.109375" defaultRowHeight="14.4" x14ac:dyDescent="0.3"/>
  <cols>
    <col min="1" max="1" width="29.109375" style="4" customWidth="1"/>
    <col min="2" max="2" width="17.33203125" style="4" customWidth="1"/>
    <col min="3" max="3" width="17" style="9" customWidth="1"/>
    <col min="4" max="4" width="28" style="4" customWidth="1"/>
    <col min="5" max="5" width="16.88671875" style="4" customWidth="1"/>
    <col min="6" max="6" width="26.6640625" style="4" customWidth="1"/>
    <col min="7" max="7" width="9.109375" style="4" bestFit="1"/>
    <col min="8" max="8" width="21" style="4" customWidth="1"/>
    <col min="9" max="9" width="15.6640625" style="4" customWidth="1"/>
    <col min="10" max="10" width="15.88671875" style="4" customWidth="1"/>
    <col min="11" max="11" width="14.5546875" style="4" customWidth="1"/>
    <col min="12" max="12" width="12" style="4" customWidth="1"/>
    <col min="13" max="16384" width="9.109375" style="4"/>
  </cols>
  <sheetData>
    <row r="1" spans="1:11" x14ac:dyDescent="0.3">
      <c r="A1" s="2" t="s">
        <v>57</v>
      </c>
      <c r="C1" s="8" t="s">
        <v>1</v>
      </c>
      <c r="D1" s="2" t="s">
        <v>2</v>
      </c>
      <c r="E1" s="2" t="s">
        <v>3</v>
      </c>
      <c r="H1" s="2" t="s">
        <v>4</v>
      </c>
      <c r="I1" s="2" t="s">
        <v>5</v>
      </c>
      <c r="J1" s="2" t="s">
        <v>6</v>
      </c>
      <c r="K1" s="2"/>
    </row>
    <row r="2" spans="1:11" x14ac:dyDescent="0.3">
      <c r="A2" s="5">
        <v>2.0482180796645998E-2</v>
      </c>
      <c r="C2" s="9">
        <f>AVERAGE(A2:A16)</f>
        <v>2.032655878315907E-2</v>
      </c>
      <c r="D2" s="4">
        <f>_xlfn.VAR.S(A2:A16)</f>
        <v>4.6436668727944847E-8</v>
      </c>
      <c r="E2" s="4">
        <f>SQRT(D2)/C2</f>
        <v>1.0601484143121889E-2</v>
      </c>
      <c r="H2" s="5">
        <v>1.9701354047665001E-2</v>
      </c>
      <c r="I2" s="4">
        <f>1/15 - 0.5/15</f>
        <v>3.3333333333333333E-2</v>
      </c>
      <c r="J2" s="4">
        <f t="shared" ref="J2:J16" si="0">4.91*(I2^0.14-(1-I2)^0.14)</f>
        <v>-1.836858897688687</v>
      </c>
    </row>
    <row r="3" spans="1:11" x14ac:dyDescent="0.3">
      <c r="A3" s="5">
        <v>2.0470509059707001E-2</v>
      </c>
      <c r="H3" s="5">
        <v>2.0176779764380998E-2</v>
      </c>
      <c r="I3" s="4">
        <f t="shared" ref="I3:I16" si="1">I2+1/15</f>
        <v>0.1</v>
      </c>
      <c r="J3" s="4">
        <f t="shared" si="0"/>
        <v>-1.2811261510381207</v>
      </c>
    </row>
    <row r="4" spans="1:11" x14ac:dyDescent="0.3">
      <c r="A4" s="5">
        <v>2.0176779764380998E-2</v>
      </c>
      <c r="C4" s="8" t="s">
        <v>7</v>
      </c>
      <c r="E4" s="2" t="s">
        <v>8</v>
      </c>
      <c r="H4" s="5">
        <v>2.0192187051539998E-2</v>
      </c>
      <c r="I4" s="4">
        <f t="shared" si="1"/>
        <v>0.16666666666666669</v>
      </c>
      <c r="J4" s="4">
        <f t="shared" si="0"/>
        <v>-0.96558119772402384</v>
      </c>
    </row>
    <row r="5" spans="1:11" x14ac:dyDescent="0.3">
      <c r="A5" s="5">
        <v>2.0305062851719999E-2</v>
      </c>
      <c r="C5" s="9">
        <f>MEDIAN(A2:A16)</f>
        <v>2.0340437182820002E-2</v>
      </c>
      <c r="E5" s="4">
        <v>2.145</v>
      </c>
      <c r="H5" s="5">
        <v>2.0226648444156E-2</v>
      </c>
      <c r="I5" s="4">
        <f t="shared" si="1"/>
        <v>0.23333333333333334</v>
      </c>
      <c r="J5" s="4">
        <f t="shared" si="0"/>
        <v>-0.72575040815577163</v>
      </c>
    </row>
    <row r="6" spans="1:11" x14ac:dyDescent="0.3">
      <c r="A6" s="5">
        <v>2.0468020701798002E-2</v>
      </c>
      <c r="H6" s="5">
        <v>2.0254957835305998E-2</v>
      </c>
      <c r="I6" s="4">
        <f t="shared" si="1"/>
        <v>0.3</v>
      </c>
      <c r="J6" s="4">
        <f t="shared" si="0"/>
        <v>-0.52246305252576009</v>
      </c>
    </row>
    <row r="7" spans="1:11" x14ac:dyDescent="0.3">
      <c r="A7" s="5">
        <v>2.0423499236159E-2</v>
      </c>
      <c r="C7" s="8"/>
      <c r="D7" s="2" t="s">
        <v>9</v>
      </c>
      <c r="H7" s="5">
        <v>2.0305062851719999E-2</v>
      </c>
      <c r="I7" s="4">
        <f t="shared" si="1"/>
        <v>0.36666666666666664</v>
      </c>
      <c r="J7" s="4">
        <f t="shared" si="0"/>
        <v>-0.33927638280750583</v>
      </c>
    </row>
    <row r="8" spans="1:11" x14ac:dyDescent="0.3">
      <c r="A8" s="5">
        <v>2.0402853824802E-2</v>
      </c>
      <c r="C8" s="8" t="s">
        <v>10</v>
      </c>
      <c r="D8" s="4">
        <f>C2+E5*SQRT(D2)/(SQRT(15))</f>
        <v>2.0445905972410708E-2</v>
      </c>
      <c r="H8" s="5">
        <v>2.0306227426320999E-2</v>
      </c>
      <c r="I8" s="4">
        <f t="shared" si="1"/>
        <v>0.43333333333333329</v>
      </c>
      <c r="J8" s="4">
        <f t="shared" si="0"/>
        <v>-0.16715058832373922</v>
      </c>
    </row>
    <row r="9" spans="1:11" x14ac:dyDescent="0.3">
      <c r="A9" s="5">
        <v>2.0340437182820002E-2</v>
      </c>
      <c r="C9" s="8" t="s">
        <v>11</v>
      </c>
      <c r="D9" s="4">
        <f>C2-E5*SQRT(D2)/(SQRT(15))</f>
        <v>2.0207211593907433E-2</v>
      </c>
      <c r="H9" s="5">
        <v>2.0340437182820002E-2</v>
      </c>
      <c r="I9" s="4">
        <f t="shared" si="1"/>
        <v>0.49999999999999994</v>
      </c>
      <c r="J9" s="4">
        <f t="shared" si="0"/>
        <v>0</v>
      </c>
    </row>
    <row r="10" spans="1:11" x14ac:dyDescent="0.3">
      <c r="A10" s="5">
        <v>2.0566467702479E-2</v>
      </c>
      <c r="H10" s="5">
        <v>2.0402853824802E-2</v>
      </c>
      <c r="I10" s="4">
        <f t="shared" si="1"/>
        <v>0.56666666666666665</v>
      </c>
      <c r="J10" s="4">
        <f t="shared" si="0"/>
        <v>0.16715058832373922</v>
      </c>
    </row>
    <row r="11" spans="1:11" x14ac:dyDescent="0.3">
      <c r="A11" s="5">
        <v>2.0581195821886E-2</v>
      </c>
      <c r="H11" s="5">
        <v>2.0423499236159E-2</v>
      </c>
      <c r="I11" s="4">
        <f t="shared" si="1"/>
        <v>0.6333333333333333</v>
      </c>
      <c r="J11" s="4">
        <f t="shared" si="0"/>
        <v>0.33927638280750583</v>
      </c>
    </row>
    <row r="12" spans="1:11" x14ac:dyDescent="0.3">
      <c r="A12" s="5">
        <v>1.9701354047665001E-2</v>
      </c>
      <c r="H12" s="5">
        <v>2.0468020701798002E-2</v>
      </c>
      <c r="I12" s="4">
        <f t="shared" si="1"/>
        <v>0.7</v>
      </c>
      <c r="J12" s="4">
        <f t="shared" si="0"/>
        <v>0.52246305252576009</v>
      </c>
    </row>
    <row r="13" spans="1:11" x14ac:dyDescent="0.3">
      <c r="A13" s="5">
        <v>2.0254957835305998E-2</v>
      </c>
      <c r="H13" s="5">
        <v>2.0470509059707001E-2</v>
      </c>
      <c r="I13" s="4">
        <f t="shared" si="1"/>
        <v>0.76666666666666661</v>
      </c>
      <c r="J13" s="4">
        <f t="shared" si="0"/>
        <v>0.72575040815577163</v>
      </c>
    </row>
    <row r="14" spans="1:11" x14ac:dyDescent="0.3">
      <c r="A14" s="5">
        <v>2.0226648444156E-2</v>
      </c>
      <c r="H14" s="5">
        <v>2.0482180796645998E-2</v>
      </c>
      <c r="I14" s="4">
        <f t="shared" si="1"/>
        <v>0.83333333333333326</v>
      </c>
      <c r="J14" s="4">
        <f t="shared" si="0"/>
        <v>0.96558119772402329</v>
      </c>
    </row>
    <row r="15" spans="1:11" x14ac:dyDescent="0.3">
      <c r="A15" s="5">
        <v>2.0192187051539998E-2</v>
      </c>
      <c r="H15" s="5">
        <v>2.0566467702479E-2</v>
      </c>
      <c r="I15" s="4">
        <f t="shared" si="1"/>
        <v>0.89999999999999991</v>
      </c>
      <c r="J15" s="4">
        <f t="shared" si="0"/>
        <v>1.2811261510381207</v>
      </c>
    </row>
    <row r="16" spans="1:11" x14ac:dyDescent="0.3">
      <c r="A16" s="5">
        <v>2.0306227426320999E-2</v>
      </c>
      <c r="H16" s="5">
        <v>2.0581195821886E-2</v>
      </c>
      <c r="I16" s="4">
        <f t="shared" si="1"/>
        <v>0.96666666666666656</v>
      </c>
      <c r="J16" s="4">
        <f t="shared" si="0"/>
        <v>1.8368588976886859</v>
      </c>
    </row>
    <row r="17" spans="1:10" s="3" customFormat="1" x14ac:dyDescent="0.3">
      <c r="C17" s="10"/>
    </row>
    <row r="18" spans="1:10" x14ac:dyDescent="0.3">
      <c r="A18" s="2" t="s">
        <v>58</v>
      </c>
      <c r="C18" s="8" t="s">
        <v>1</v>
      </c>
      <c r="D18" s="2" t="s">
        <v>2</v>
      </c>
      <c r="E18" s="2" t="s">
        <v>3</v>
      </c>
      <c r="F18" s="2"/>
      <c r="G18" s="2"/>
      <c r="H18" s="2" t="s">
        <v>4</v>
      </c>
      <c r="I18" s="2" t="s">
        <v>5</v>
      </c>
      <c r="J18" s="2" t="s">
        <v>6</v>
      </c>
    </row>
    <row r="19" spans="1:10" x14ac:dyDescent="0.3">
      <c r="A19" s="6">
        <v>2.2570107734837998E-2</v>
      </c>
      <c r="C19" s="9">
        <f>AVERAGE(A19:A33)</f>
        <v>2.2618170438779468E-2</v>
      </c>
      <c r="D19" s="4">
        <f>_xlfn.VAR.S(A19:A33)</f>
        <v>6.1436833728461344E-8</v>
      </c>
      <c r="E19" s="4">
        <f>SQRT(D19)/C19</f>
        <v>1.0958647066966556E-2</v>
      </c>
      <c r="H19" s="6">
        <v>2.2090385913780999E-2</v>
      </c>
      <c r="I19" s="4">
        <f>1/15 - 0.5/15</f>
        <v>3.3333333333333333E-2</v>
      </c>
      <c r="J19" s="4">
        <f t="shared" ref="J19:J33" si="2">4.91*(I19^0.14-(1-I19)^0.14)</f>
        <v>-1.836858897688687</v>
      </c>
    </row>
    <row r="20" spans="1:10" x14ac:dyDescent="0.3">
      <c r="A20" s="6">
        <v>2.2808905902568E-2</v>
      </c>
      <c r="H20" s="6">
        <v>2.2280054081655998E-2</v>
      </c>
      <c r="I20" s="4">
        <f t="shared" ref="I20:I33" si="3">I19+1/15</f>
        <v>0.1</v>
      </c>
      <c r="J20" s="4">
        <f t="shared" si="2"/>
        <v>-1.2811261510381207</v>
      </c>
    </row>
    <row r="21" spans="1:10" x14ac:dyDescent="0.3">
      <c r="A21" s="6">
        <v>2.2603117164767001E-2</v>
      </c>
      <c r="C21" s="8" t="s">
        <v>7</v>
      </c>
      <c r="E21" s="2" t="s">
        <v>8</v>
      </c>
      <c r="H21" s="6">
        <v>2.2293744542803001E-2</v>
      </c>
      <c r="I21" s="4">
        <f t="shared" si="3"/>
        <v>0.16666666666666669</v>
      </c>
      <c r="J21" s="4">
        <f t="shared" si="2"/>
        <v>-0.96558119772402384</v>
      </c>
    </row>
    <row r="22" spans="1:10" x14ac:dyDescent="0.3">
      <c r="A22" s="6">
        <v>2.2786377464193E-2</v>
      </c>
      <c r="C22" s="9">
        <f>MEDIAN(A19:A33)</f>
        <v>2.2627010850577001E-2</v>
      </c>
      <c r="E22" s="4">
        <v>2.145</v>
      </c>
      <c r="H22" s="6">
        <v>2.2459024684342001E-2</v>
      </c>
      <c r="I22" s="4">
        <f t="shared" si="3"/>
        <v>0.23333333333333334</v>
      </c>
      <c r="J22" s="4">
        <f t="shared" si="2"/>
        <v>-0.72575040815577163</v>
      </c>
    </row>
    <row r="23" spans="1:10" x14ac:dyDescent="0.3">
      <c r="A23" s="6">
        <v>2.2715476757661002E-2</v>
      </c>
      <c r="H23" s="6">
        <v>2.2570107734837998E-2</v>
      </c>
      <c r="I23" s="4">
        <f t="shared" si="3"/>
        <v>0.3</v>
      </c>
      <c r="J23" s="4">
        <f t="shared" si="2"/>
        <v>-0.52246305252576009</v>
      </c>
    </row>
    <row r="24" spans="1:10" x14ac:dyDescent="0.3">
      <c r="A24" s="6">
        <v>2.2459024684342001E-2</v>
      </c>
      <c r="C24" s="8"/>
      <c r="D24" s="2" t="s">
        <v>9</v>
      </c>
      <c r="H24" s="6">
        <v>2.2603117164767001E-2</v>
      </c>
      <c r="I24" s="4">
        <f t="shared" si="3"/>
        <v>0.36666666666666664</v>
      </c>
      <c r="J24" s="4">
        <f t="shared" si="2"/>
        <v>-0.33927638280750583</v>
      </c>
    </row>
    <row r="25" spans="1:10" x14ac:dyDescent="0.3">
      <c r="A25" s="6">
        <v>2.2928888233016E-2</v>
      </c>
      <c r="C25" s="8" t="s">
        <v>10</v>
      </c>
      <c r="D25" s="4">
        <f>C19+E22*SQRT(D19)/(SQRT(15))</f>
        <v>2.275544690141491E-2</v>
      </c>
      <c r="H25" s="6">
        <v>2.2607155902906E-2</v>
      </c>
      <c r="I25" s="4">
        <f t="shared" si="3"/>
        <v>0.43333333333333329</v>
      </c>
      <c r="J25" s="4">
        <f t="shared" si="2"/>
        <v>-0.16715058832373922</v>
      </c>
    </row>
    <row r="26" spans="1:10" x14ac:dyDescent="0.3">
      <c r="A26" s="6">
        <v>2.2775267762015002E-2</v>
      </c>
      <c r="C26" s="8" t="s">
        <v>11</v>
      </c>
      <c r="D26" s="4">
        <f>C19-E22*SQRT(D19)/(SQRT(15))</f>
        <v>2.2480893976144025E-2</v>
      </c>
      <c r="H26" s="6">
        <v>2.2627010850577001E-2</v>
      </c>
      <c r="I26" s="4">
        <f t="shared" si="3"/>
        <v>0.49999999999999994</v>
      </c>
      <c r="J26" s="4">
        <f t="shared" si="2"/>
        <v>0</v>
      </c>
    </row>
    <row r="27" spans="1:10" x14ac:dyDescent="0.3">
      <c r="A27" s="6">
        <v>2.2958811444168E-2</v>
      </c>
      <c r="H27" s="6">
        <v>2.2715476757661002E-2</v>
      </c>
      <c r="I27" s="4">
        <f t="shared" si="3"/>
        <v>0.56666666666666665</v>
      </c>
      <c r="J27" s="4">
        <f t="shared" si="2"/>
        <v>0.16715058832373922</v>
      </c>
    </row>
    <row r="28" spans="1:10" x14ac:dyDescent="0.3">
      <c r="A28" s="6">
        <v>2.2627010850577001E-2</v>
      </c>
      <c r="H28" s="6">
        <v>2.2768228142400999E-2</v>
      </c>
      <c r="I28" s="4">
        <f t="shared" si="3"/>
        <v>0.6333333333333333</v>
      </c>
      <c r="J28" s="4">
        <f t="shared" si="2"/>
        <v>0.33927638280750583</v>
      </c>
    </row>
    <row r="29" spans="1:10" x14ac:dyDescent="0.3">
      <c r="A29" s="6">
        <v>2.2293744542803001E-2</v>
      </c>
      <c r="H29" s="6">
        <v>2.2775267762015002E-2</v>
      </c>
      <c r="I29" s="4">
        <f t="shared" si="3"/>
        <v>0.7</v>
      </c>
      <c r="J29" s="4">
        <f t="shared" si="2"/>
        <v>0.52246305252576009</v>
      </c>
    </row>
    <row r="30" spans="1:10" x14ac:dyDescent="0.3">
      <c r="A30" s="6">
        <v>2.2768228142400999E-2</v>
      </c>
      <c r="H30" s="6">
        <v>2.2786377464193E-2</v>
      </c>
      <c r="I30" s="4">
        <f t="shared" si="3"/>
        <v>0.76666666666666661</v>
      </c>
      <c r="J30" s="4">
        <f t="shared" si="2"/>
        <v>0.72575040815577163</v>
      </c>
    </row>
    <row r="31" spans="1:10" x14ac:dyDescent="0.3">
      <c r="A31" s="6">
        <v>2.2280054081655998E-2</v>
      </c>
      <c r="H31" s="6">
        <v>2.2808905902568E-2</v>
      </c>
      <c r="I31" s="4">
        <f t="shared" si="3"/>
        <v>0.83333333333333326</v>
      </c>
      <c r="J31" s="4">
        <f t="shared" si="2"/>
        <v>0.96558119772402329</v>
      </c>
    </row>
    <row r="32" spans="1:10" x14ac:dyDescent="0.3">
      <c r="A32" s="6">
        <v>2.2090385913780999E-2</v>
      </c>
      <c r="H32" s="6">
        <v>2.2928888233016E-2</v>
      </c>
      <c r="I32" s="4">
        <f t="shared" si="3"/>
        <v>0.89999999999999991</v>
      </c>
      <c r="J32" s="4">
        <f t="shared" si="2"/>
        <v>1.2811261510381207</v>
      </c>
    </row>
    <row r="33" spans="1:10" x14ac:dyDescent="0.3">
      <c r="A33" s="6">
        <v>2.2607155902906E-2</v>
      </c>
      <c r="H33" s="6">
        <v>2.2958811444168E-2</v>
      </c>
      <c r="I33" s="4">
        <f t="shared" si="3"/>
        <v>0.96666666666666656</v>
      </c>
      <c r="J33" s="4">
        <f t="shared" si="2"/>
        <v>1.8368588976886859</v>
      </c>
    </row>
    <row r="34" spans="1:10" s="3" customFormat="1" x14ac:dyDescent="0.3">
      <c r="C34" s="10"/>
    </row>
    <row r="35" spans="1:10" x14ac:dyDescent="0.3">
      <c r="A35" s="2" t="s">
        <v>59</v>
      </c>
      <c r="C35" s="8" t="s">
        <v>1</v>
      </c>
      <c r="D35" s="2" t="s">
        <v>2</v>
      </c>
      <c r="E35" s="2" t="s">
        <v>3</v>
      </c>
      <c r="F35" s="2"/>
      <c r="H35" s="2" t="s">
        <v>4</v>
      </c>
      <c r="I35" s="2" t="s">
        <v>5</v>
      </c>
      <c r="J35" s="2" t="s">
        <v>6</v>
      </c>
    </row>
    <row r="36" spans="1:10" x14ac:dyDescent="0.3">
      <c r="A36" s="7">
        <v>2.5056280488970999E-2</v>
      </c>
      <c r="C36" s="9">
        <f>AVERAGE(A36:A50)</f>
        <v>2.5046698112566136E-2</v>
      </c>
      <c r="D36" s="4">
        <f>_xlfn.VAR.S(A36:A50)</f>
        <v>8.4175948911607347E-8</v>
      </c>
      <c r="E36" s="4">
        <f>SQRT(D36)/C36</f>
        <v>1.1583599384837887E-2</v>
      </c>
      <c r="H36" s="7">
        <v>2.447809973505E-2</v>
      </c>
      <c r="I36" s="4">
        <f>1/15 - 0.5/15</f>
        <v>3.3333333333333333E-2</v>
      </c>
      <c r="J36" s="4">
        <f t="shared" ref="J36:J50" si="4">4.91*(I36^0.14-(1-I36)^0.14)</f>
        <v>-1.836858897688687</v>
      </c>
    </row>
    <row r="37" spans="1:10" x14ac:dyDescent="0.3">
      <c r="A37" s="7">
        <v>2.5016953467381999E-2</v>
      </c>
      <c r="H37" s="7">
        <v>2.4688255547183999E-2</v>
      </c>
      <c r="I37" s="4">
        <f t="shared" ref="I37:I50" si="5">I36+1/15</f>
        <v>0.1</v>
      </c>
      <c r="J37" s="4">
        <f t="shared" si="4"/>
        <v>-1.2811261510381207</v>
      </c>
    </row>
    <row r="38" spans="1:10" x14ac:dyDescent="0.3">
      <c r="A38" s="7">
        <v>2.5122312481092E-2</v>
      </c>
      <c r="C38" s="8" t="s">
        <v>7</v>
      </c>
      <c r="E38" s="2" t="s">
        <v>8</v>
      </c>
      <c r="H38" s="7">
        <v>2.4742532765240001E-2</v>
      </c>
      <c r="I38" s="4">
        <f t="shared" si="5"/>
        <v>0.16666666666666669</v>
      </c>
      <c r="J38" s="4">
        <f t="shared" si="4"/>
        <v>-0.96558119772402384</v>
      </c>
    </row>
    <row r="39" spans="1:10" x14ac:dyDescent="0.3">
      <c r="A39" s="7">
        <v>2.5099011343112002E-2</v>
      </c>
      <c r="C39" s="9">
        <f>MEDIAN(A36:A50)</f>
        <v>2.5056280488970999E-2</v>
      </c>
      <c r="E39" s="4">
        <v>2.145</v>
      </c>
      <c r="H39" s="7">
        <v>2.4852332365122E-2</v>
      </c>
      <c r="I39" s="4">
        <f t="shared" si="5"/>
        <v>0.23333333333333334</v>
      </c>
      <c r="J39" s="4">
        <f t="shared" si="4"/>
        <v>-0.72575040815577163</v>
      </c>
    </row>
    <row r="40" spans="1:10" x14ac:dyDescent="0.3">
      <c r="A40" s="7">
        <v>2.4977563120661E-2</v>
      </c>
      <c r="H40" s="7">
        <v>2.4972727986246002E-2</v>
      </c>
      <c r="I40" s="4">
        <f t="shared" si="5"/>
        <v>0.3</v>
      </c>
      <c r="J40" s="4">
        <f t="shared" si="4"/>
        <v>-0.52246305252576009</v>
      </c>
    </row>
    <row r="41" spans="1:10" x14ac:dyDescent="0.3">
      <c r="A41" s="7">
        <v>2.5124962532833001E-2</v>
      </c>
      <c r="C41" s="8"/>
      <c r="D41" s="2" t="s">
        <v>9</v>
      </c>
      <c r="H41" s="7">
        <v>2.4977563120661E-2</v>
      </c>
      <c r="I41" s="4">
        <f t="shared" si="5"/>
        <v>0.36666666666666664</v>
      </c>
      <c r="J41" s="4">
        <f t="shared" si="4"/>
        <v>-0.33927638280750583</v>
      </c>
    </row>
    <row r="42" spans="1:10" x14ac:dyDescent="0.3">
      <c r="A42" s="7">
        <v>2.4972727986246002E-2</v>
      </c>
      <c r="C42" s="8" t="s">
        <v>10</v>
      </c>
      <c r="D42" s="4">
        <f>C36+E39*SQRT(D36)/(SQRT(15))</f>
        <v>2.5207383238478282E-2</v>
      </c>
      <c r="H42" s="7">
        <v>2.5016953467381999E-2</v>
      </c>
      <c r="I42" s="4">
        <f t="shared" si="5"/>
        <v>0.43333333333333329</v>
      </c>
      <c r="J42" s="4">
        <f t="shared" si="4"/>
        <v>-0.16715058832373922</v>
      </c>
    </row>
    <row r="43" spans="1:10" x14ac:dyDescent="0.3">
      <c r="A43" s="7">
        <v>2.5590398906987E-2</v>
      </c>
      <c r="C43" s="8" t="s">
        <v>11</v>
      </c>
      <c r="D43" s="4">
        <f>C36-E39*SQRT(D36)/(SQRT(15))</f>
        <v>2.488601298665399E-2</v>
      </c>
      <c r="H43" s="7">
        <v>2.5056280488970999E-2</v>
      </c>
      <c r="I43" s="4">
        <f t="shared" si="5"/>
        <v>0.49999999999999994</v>
      </c>
      <c r="J43" s="4">
        <f t="shared" si="4"/>
        <v>0</v>
      </c>
    </row>
    <row r="44" spans="1:10" x14ac:dyDescent="0.3">
      <c r="A44" s="7">
        <v>2.5489613436552001E-2</v>
      </c>
      <c r="H44" s="7">
        <v>2.5099011343112002E-2</v>
      </c>
      <c r="I44" s="4">
        <f t="shared" si="5"/>
        <v>0.56666666666666665</v>
      </c>
      <c r="J44" s="4">
        <f t="shared" si="4"/>
        <v>0.16715058832373922</v>
      </c>
    </row>
    <row r="45" spans="1:10" x14ac:dyDescent="0.3">
      <c r="A45" s="7">
        <v>2.5258338143051E-2</v>
      </c>
      <c r="H45" s="7">
        <v>2.5122312481092E-2</v>
      </c>
      <c r="I45" s="4">
        <f t="shared" si="5"/>
        <v>0.6333333333333333</v>
      </c>
      <c r="J45" s="4">
        <f t="shared" si="4"/>
        <v>0.33927638280750583</v>
      </c>
    </row>
    <row r="46" spans="1:10" x14ac:dyDescent="0.3">
      <c r="A46" s="7">
        <v>2.447809973505E-2</v>
      </c>
      <c r="H46" s="7">
        <v>2.5124962532833001E-2</v>
      </c>
      <c r="I46" s="4">
        <f t="shared" si="5"/>
        <v>0.7</v>
      </c>
      <c r="J46" s="4">
        <f t="shared" si="4"/>
        <v>0.52246305252576009</v>
      </c>
    </row>
    <row r="47" spans="1:10" x14ac:dyDescent="0.3">
      <c r="A47" s="7">
        <v>2.5231089369008999E-2</v>
      </c>
      <c r="H47" s="7">
        <v>2.5231089369008999E-2</v>
      </c>
      <c r="I47" s="4">
        <f t="shared" si="5"/>
        <v>0.76666666666666661</v>
      </c>
      <c r="J47" s="4">
        <f t="shared" si="4"/>
        <v>0.72575040815577163</v>
      </c>
    </row>
    <row r="48" spans="1:10" x14ac:dyDescent="0.3">
      <c r="A48" s="7">
        <v>2.4852332365122E-2</v>
      </c>
      <c r="H48" s="7">
        <v>2.5258338143051E-2</v>
      </c>
      <c r="I48" s="4">
        <f t="shared" si="5"/>
        <v>0.83333333333333326</v>
      </c>
      <c r="J48" s="4">
        <f t="shared" si="4"/>
        <v>0.96558119772402329</v>
      </c>
    </row>
    <row r="49" spans="1:10" x14ac:dyDescent="0.3">
      <c r="A49" s="7">
        <v>2.4688255547183999E-2</v>
      </c>
      <c r="H49" s="7">
        <v>2.5489613436552001E-2</v>
      </c>
      <c r="I49" s="4">
        <f t="shared" si="5"/>
        <v>0.89999999999999991</v>
      </c>
      <c r="J49" s="4">
        <f t="shared" si="4"/>
        <v>1.2811261510381207</v>
      </c>
    </row>
    <row r="50" spans="1:10" x14ac:dyDescent="0.3">
      <c r="A50" s="7">
        <v>2.4742532765240001E-2</v>
      </c>
      <c r="H50" s="7">
        <v>2.5590398906987E-2</v>
      </c>
      <c r="I50" s="4">
        <f t="shared" si="5"/>
        <v>0.96666666666666656</v>
      </c>
      <c r="J50" s="4">
        <f t="shared" si="4"/>
        <v>1.8368588976886859</v>
      </c>
    </row>
    <row r="51" spans="1:10" s="3" customFormat="1" x14ac:dyDescent="0.3">
      <c r="C51" s="10"/>
    </row>
    <row r="52" spans="1:10" x14ac:dyDescent="0.3">
      <c r="A52" s="2" t="s">
        <v>60</v>
      </c>
      <c r="C52" s="8" t="s">
        <v>1</v>
      </c>
      <c r="D52" s="2" t="s">
        <v>2</v>
      </c>
      <c r="E52" s="2" t="s">
        <v>3</v>
      </c>
      <c r="F52" s="2"/>
      <c r="H52" s="2" t="s">
        <v>4</v>
      </c>
      <c r="I52" s="2" t="s">
        <v>5</v>
      </c>
      <c r="J52" s="2" t="s">
        <v>6</v>
      </c>
    </row>
    <row r="53" spans="1:10" x14ac:dyDescent="0.3">
      <c r="A53" s="7">
        <v>2.7697989787692001E-2</v>
      </c>
      <c r="C53" s="9">
        <f>AVERAGE(A53:A67)</f>
        <v>2.7990329739061334E-2</v>
      </c>
      <c r="D53" s="4">
        <f>_xlfn.VAR.S(A53:A67)</f>
        <v>1.2652282432270068E-7</v>
      </c>
      <c r="E53" s="4">
        <f>SQRT(D53)/C53</f>
        <v>1.2707977121601375E-2</v>
      </c>
      <c r="H53" s="7">
        <v>2.7243135338163998E-2</v>
      </c>
      <c r="I53" s="4">
        <f>1/15 - 0.5/15</f>
        <v>3.3333333333333333E-2</v>
      </c>
      <c r="J53" s="4">
        <f t="shared" ref="J53:J67" si="6">4.91*(I53^0.14-(1-I53)^0.14)</f>
        <v>-1.836858897688687</v>
      </c>
    </row>
    <row r="54" spans="1:10" x14ac:dyDescent="0.3">
      <c r="A54" s="7">
        <v>2.8357641077529999E-2</v>
      </c>
      <c r="H54" s="7">
        <v>2.7357397320508001E-2</v>
      </c>
      <c r="I54" s="4">
        <f t="shared" ref="I54:I67" si="7">I53+1/15</f>
        <v>0.1</v>
      </c>
      <c r="J54" s="4">
        <f t="shared" si="6"/>
        <v>-1.2811261510381207</v>
      </c>
    </row>
    <row r="55" spans="1:10" x14ac:dyDescent="0.3">
      <c r="A55" s="7">
        <v>2.8112815006887001E-2</v>
      </c>
      <c r="C55" s="8" t="s">
        <v>7</v>
      </c>
      <c r="E55" s="2" t="s">
        <v>8</v>
      </c>
      <c r="H55" s="7">
        <v>2.7697989787692001E-2</v>
      </c>
      <c r="I55" s="4">
        <f t="shared" si="7"/>
        <v>0.16666666666666669</v>
      </c>
      <c r="J55" s="4">
        <f t="shared" si="6"/>
        <v>-0.96558119772402384</v>
      </c>
    </row>
    <row r="56" spans="1:10" x14ac:dyDescent="0.3">
      <c r="A56" s="7">
        <v>2.8111316863665001E-2</v>
      </c>
      <c r="C56" s="9">
        <f>MEDIAN(A53:A67)</f>
        <v>2.8103203836958E-2</v>
      </c>
      <c r="E56" s="4">
        <v>2.145</v>
      </c>
      <c r="H56" s="7">
        <v>2.7774184785303999E-2</v>
      </c>
      <c r="I56" s="4">
        <f t="shared" si="7"/>
        <v>0.23333333333333334</v>
      </c>
      <c r="J56" s="4">
        <f t="shared" si="6"/>
        <v>-0.72575040815577163</v>
      </c>
    </row>
    <row r="57" spans="1:10" x14ac:dyDescent="0.3">
      <c r="A57" s="7">
        <v>2.7774184785303999E-2</v>
      </c>
      <c r="H57" s="7">
        <v>2.7811832762651999E-2</v>
      </c>
      <c r="I57" s="4">
        <f t="shared" si="7"/>
        <v>0.3</v>
      </c>
      <c r="J57" s="4">
        <f t="shared" si="6"/>
        <v>-0.52246305252576009</v>
      </c>
    </row>
    <row r="58" spans="1:10" x14ac:dyDescent="0.3">
      <c r="A58" s="7">
        <v>2.8067489235124001E-2</v>
      </c>
      <c r="C58" s="8"/>
      <c r="D58" s="2" t="s">
        <v>9</v>
      </c>
      <c r="H58" s="7">
        <v>2.8039967832840001E-2</v>
      </c>
      <c r="I58" s="4">
        <f t="shared" si="7"/>
        <v>0.36666666666666664</v>
      </c>
      <c r="J58" s="4">
        <f t="shared" si="6"/>
        <v>-0.33927638280750583</v>
      </c>
    </row>
    <row r="59" spans="1:10" x14ac:dyDescent="0.3">
      <c r="A59" s="7">
        <v>2.8103203836958E-2</v>
      </c>
      <c r="C59" s="8" t="s">
        <v>10</v>
      </c>
      <c r="D59" s="4">
        <f>C53+E56*SQRT(D53)/(SQRT(15))</f>
        <v>2.8187329684540068E-2</v>
      </c>
      <c r="H59" s="7">
        <v>2.8067489235124001E-2</v>
      </c>
      <c r="I59" s="4">
        <f t="shared" si="7"/>
        <v>0.43333333333333329</v>
      </c>
      <c r="J59" s="4">
        <f t="shared" si="6"/>
        <v>-0.16715058832373922</v>
      </c>
    </row>
    <row r="60" spans="1:10" x14ac:dyDescent="0.3">
      <c r="A60" s="7">
        <v>2.8235019438829001E-2</v>
      </c>
      <c r="C60" s="8" t="s">
        <v>11</v>
      </c>
      <c r="D60" s="4">
        <f>C53-E56*SQRT(D53)/(SQRT(15))</f>
        <v>2.7793329793582601E-2</v>
      </c>
      <c r="H60" s="7">
        <v>2.8103203836958E-2</v>
      </c>
      <c r="I60" s="4">
        <f t="shared" si="7"/>
        <v>0.49999999999999994</v>
      </c>
      <c r="J60" s="4">
        <f t="shared" si="6"/>
        <v>0</v>
      </c>
    </row>
    <row r="61" spans="1:10" x14ac:dyDescent="0.3">
      <c r="A61" s="7">
        <v>2.8542442538564E-2</v>
      </c>
      <c r="H61" s="7">
        <v>2.8111316863665001E-2</v>
      </c>
      <c r="I61" s="4">
        <f t="shared" si="7"/>
        <v>0.56666666666666665</v>
      </c>
      <c r="J61" s="4">
        <f t="shared" si="6"/>
        <v>0.16715058832373922</v>
      </c>
    </row>
    <row r="62" spans="1:10" x14ac:dyDescent="0.3">
      <c r="A62" s="7">
        <v>2.8270322938056001E-2</v>
      </c>
      <c r="H62" s="7">
        <v>2.8112815006887001E-2</v>
      </c>
      <c r="I62" s="4">
        <f t="shared" si="7"/>
        <v>0.6333333333333333</v>
      </c>
      <c r="J62" s="4">
        <f t="shared" si="6"/>
        <v>0.33927638280750583</v>
      </c>
    </row>
    <row r="63" spans="1:10" x14ac:dyDescent="0.3">
      <c r="A63" s="7">
        <v>2.7243135338163998E-2</v>
      </c>
      <c r="H63" s="7">
        <v>2.8130187323147E-2</v>
      </c>
      <c r="I63" s="4">
        <f t="shared" si="7"/>
        <v>0.7</v>
      </c>
      <c r="J63" s="4">
        <f t="shared" si="6"/>
        <v>0.52246305252576009</v>
      </c>
    </row>
    <row r="64" spans="1:10" x14ac:dyDescent="0.3">
      <c r="A64" s="7">
        <v>2.8130187323147E-2</v>
      </c>
      <c r="H64" s="7">
        <v>2.8235019438829001E-2</v>
      </c>
      <c r="I64" s="4">
        <f t="shared" si="7"/>
        <v>0.76666666666666661</v>
      </c>
      <c r="J64" s="4">
        <f t="shared" si="6"/>
        <v>0.72575040815577163</v>
      </c>
    </row>
    <row r="65" spans="1:10" x14ac:dyDescent="0.3">
      <c r="A65" s="7">
        <v>2.7811832762651999E-2</v>
      </c>
      <c r="H65" s="7">
        <v>2.8270322938056001E-2</v>
      </c>
      <c r="I65" s="4">
        <f t="shared" si="7"/>
        <v>0.83333333333333326</v>
      </c>
      <c r="J65" s="4">
        <f t="shared" si="6"/>
        <v>0.96558119772402329</v>
      </c>
    </row>
    <row r="66" spans="1:10" x14ac:dyDescent="0.3">
      <c r="A66" s="7">
        <v>2.7357397320508001E-2</v>
      </c>
      <c r="H66" s="7">
        <v>2.8357641077529999E-2</v>
      </c>
      <c r="I66" s="4">
        <f t="shared" si="7"/>
        <v>0.89999999999999991</v>
      </c>
      <c r="J66" s="4">
        <f t="shared" si="6"/>
        <v>1.2811261510381207</v>
      </c>
    </row>
    <row r="67" spans="1:10" x14ac:dyDescent="0.3">
      <c r="A67" s="7">
        <v>2.8039967832840001E-2</v>
      </c>
      <c r="H67" s="7">
        <v>2.8542442538564E-2</v>
      </c>
      <c r="I67" s="4">
        <f t="shared" si="7"/>
        <v>0.96666666666666656</v>
      </c>
      <c r="J67" s="4">
        <f t="shared" si="6"/>
        <v>1.8368588976886859</v>
      </c>
    </row>
    <row r="68" spans="1:10" s="3" customFormat="1" x14ac:dyDescent="0.3">
      <c r="C68" s="10"/>
    </row>
    <row r="69" spans="1:10" x14ac:dyDescent="0.3">
      <c r="A69" s="2" t="s">
        <v>61</v>
      </c>
      <c r="C69" s="8" t="s">
        <v>1</v>
      </c>
      <c r="D69" s="2" t="s">
        <v>2</v>
      </c>
      <c r="E69" s="2" t="s">
        <v>3</v>
      </c>
      <c r="F69" s="2"/>
      <c r="H69" s="2" t="s">
        <v>4</v>
      </c>
      <c r="I69" s="2" t="s">
        <v>5</v>
      </c>
      <c r="J69" s="2" t="s">
        <v>6</v>
      </c>
    </row>
    <row r="70" spans="1:10" x14ac:dyDescent="0.3">
      <c r="A70" s="5">
        <v>3.1675257531659E-2</v>
      </c>
      <c r="C70" s="9">
        <f>AVERAGE(A70:A84)</f>
        <v>3.1339957716917596E-2</v>
      </c>
      <c r="D70" s="4">
        <f>_xlfn.VAR.S(A70:A84)</f>
        <v>2.5929392002383341E-7</v>
      </c>
      <c r="E70" s="4">
        <f>SQRT(D70)/C70</f>
        <v>1.624791956882779E-2</v>
      </c>
      <c r="H70" s="5">
        <v>3.0300328539005002E-2</v>
      </c>
      <c r="I70" s="4">
        <f>1/15 - 0.5/15</f>
        <v>3.3333333333333333E-2</v>
      </c>
      <c r="J70" s="4">
        <f t="shared" ref="J70:J84" si="8">4.91*(I70^0.14-(1-I70)^0.14)</f>
        <v>-1.836858897688687</v>
      </c>
    </row>
    <row r="71" spans="1:10" x14ac:dyDescent="0.3">
      <c r="A71" s="5">
        <v>3.1897522868897001E-2</v>
      </c>
      <c r="H71" s="5">
        <v>3.055358147583E-2</v>
      </c>
      <c r="I71" s="4">
        <f t="shared" ref="I71:I84" si="9">I70+1/15</f>
        <v>0.1</v>
      </c>
      <c r="J71" s="4">
        <f t="shared" si="8"/>
        <v>-1.2811261510381207</v>
      </c>
    </row>
    <row r="72" spans="1:10" x14ac:dyDescent="0.3">
      <c r="A72" s="5">
        <v>3.0825995561397E-2</v>
      </c>
      <c r="C72" s="8" t="s">
        <v>7</v>
      </c>
      <c r="E72" s="2" t="s">
        <v>8</v>
      </c>
      <c r="H72" s="5">
        <v>3.0825995561397E-2</v>
      </c>
      <c r="I72" s="4">
        <f t="shared" si="9"/>
        <v>0.16666666666666669</v>
      </c>
      <c r="J72" s="4">
        <f t="shared" si="8"/>
        <v>-0.96558119772402384</v>
      </c>
    </row>
    <row r="73" spans="1:10" x14ac:dyDescent="0.3">
      <c r="A73" s="5">
        <v>3.1078979618423999E-2</v>
      </c>
      <c r="C73" s="9">
        <f>MEDIAN(A70:A84)</f>
        <v>3.1620401243906998E-2</v>
      </c>
      <c r="E73" s="4">
        <v>2.145</v>
      </c>
      <c r="H73" s="5">
        <v>3.0975702446749E-2</v>
      </c>
      <c r="I73" s="4">
        <f t="shared" si="9"/>
        <v>0.23333333333333334</v>
      </c>
      <c r="J73" s="4">
        <f t="shared" si="8"/>
        <v>-0.72575040815577163</v>
      </c>
    </row>
    <row r="74" spans="1:10" x14ac:dyDescent="0.3">
      <c r="A74" s="5">
        <v>3.1718253568135998E-2</v>
      </c>
      <c r="H74" s="5">
        <v>3.1078979618423999E-2</v>
      </c>
      <c r="I74" s="4">
        <f t="shared" si="9"/>
        <v>0.3</v>
      </c>
      <c r="J74" s="4">
        <f t="shared" si="8"/>
        <v>-0.52246305252576009</v>
      </c>
    </row>
    <row r="75" spans="1:10" x14ac:dyDescent="0.3">
      <c r="A75" s="5">
        <v>3.1099425098568001E-2</v>
      </c>
      <c r="C75" s="8"/>
      <c r="D75" s="2" t="s">
        <v>9</v>
      </c>
      <c r="H75" s="5">
        <v>3.1099425098568001E-2</v>
      </c>
      <c r="I75" s="4">
        <f t="shared" si="9"/>
        <v>0.36666666666666664</v>
      </c>
      <c r="J75" s="4">
        <f t="shared" si="8"/>
        <v>-0.33927638280750583</v>
      </c>
    </row>
    <row r="76" spans="1:10" x14ac:dyDescent="0.3">
      <c r="A76" s="5">
        <v>3.1624888759099003E-2</v>
      </c>
      <c r="C76" s="8" t="s">
        <v>10</v>
      </c>
      <c r="D76" s="4">
        <f>C70+E73*SQRT(D70)/(SQRT(15))</f>
        <v>3.1621976369773236E-2</v>
      </c>
      <c r="H76" s="5">
        <v>3.1298050964283002E-2</v>
      </c>
      <c r="I76" s="4">
        <f t="shared" si="9"/>
        <v>0.43333333333333329</v>
      </c>
      <c r="J76" s="4">
        <f t="shared" si="8"/>
        <v>-0.16715058832373922</v>
      </c>
    </row>
    <row r="77" spans="1:10" x14ac:dyDescent="0.3">
      <c r="A77" s="5">
        <v>3.1710431494323003E-2</v>
      </c>
      <c r="C77" s="8" t="s">
        <v>11</v>
      </c>
      <c r="D77" s="4">
        <f>C70-E73*SQRT(D70)/(SQRT(15))</f>
        <v>3.1057939064061957E-2</v>
      </c>
      <c r="H77" s="5">
        <v>3.1620401243906998E-2</v>
      </c>
      <c r="I77" s="4">
        <f t="shared" si="9"/>
        <v>0.49999999999999994</v>
      </c>
      <c r="J77" s="4">
        <f t="shared" si="8"/>
        <v>0</v>
      </c>
    </row>
    <row r="78" spans="1:10" x14ac:dyDescent="0.3">
      <c r="A78" s="5">
        <v>3.1833972378609E-2</v>
      </c>
      <c r="H78" s="5">
        <v>3.1624888759099003E-2</v>
      </c>
      <c r="I78" s="4">
        <f t="shared" si="9"/>
        <v>0.56666666666666665</v>
      </c>
      <c r="J78" s="4">
        <f t="shared" si="8"/>
        <v>0.16715058832373922</v>
      </c>
    </row>
    <row r="79" spans="1:10" x14ac:dyDescent="0.3">
      <c r="A79" s="5">
        <v>3.1886574204877997E-2</v>
      </c>
      <c r="H79" s="5">
        <v>3.1675257531659E-2</v>
      </c>
      <c r="I79" s="4">
        <f t="shared" si="9"/>
        <v>0.6333333333333333</v>
      </c>
      <c r="J79" s="4">
        <f t="shared" si="8"/>
        <v>0.33927638280750583</v>
      </c>
    </row>
    <row r="80" spans="1:10" x14ac:dyDescent="0.3">
      <c r="A80" s="5">
        <v>3.0300328539005002E-2</v>
      </c>
      <c r="H80" s="5">
        <v>3.1710431494323003E-2</v>
      </c>
      <c r="I80" s="4">
        <f t="shared" si="9"/>
        <v>0.7</v>
      </c>
      <c r="J80" s="4">
        <f t="shared" si="8"/>
        <v>0.52246305252576009</v>
      </c>
    </row>
    <row r="81" spans="1:10" x14ac:dyDescent="0.3">
      <c r="A81" s="5">
        <v>3.1620401243906998E-2</v>
      </c>
      <c r="H81" s="5">
        <v>3.1718253568135998E-2</v>
      </c>
      <c r="I81" s="4">
        <f t="shared" si="9"/>
        <v>0.76666666666666661</v>
      </c>
      <c r="J81" s="4">
        <f t="shared" si="8"/>
        <v>0.72575040815577163</v>
      </c>
    </row>
    <row r="82" spans="1:10" x14ac:dyDescent="0.3">
      <c r="A82" s="5">
        <v>3.0975702446749E-2</v>
      </c>
      <c r="H82" s="5">
        <v>3.1833972378609E-2</v>
      </c>
      <c r="I82" s="4">
        <f t="shared" si="9"/>
        <v>0.83333333333333326</v>
      </c>
      <c r="J82" s="4">
        <f t="shared" si="8"/>
        <v>0.96558119772402329</v>
      </c>
    </row>
    <row r="83" spans="1:10" x14ac:dyDescent="0.3">
      <c r="A83" s="5">
        <v>3.055358147583E-2</v>
      </c>
      <c r="H83" s="5">
        <v>3.1886574204877997E-2</v>
      </c>
      <c r="I83" s="4">
        <f t="shared" si="9"/>
        <v>0.89999999999999991</v>
      </c>
      <c r="J83" s="4">
        <f t="shared" si="8"/>
        <v>1.2811261510381207</v>
      </c>
    </row>
    <row r="84" spans="1:10" x14ac:dyDescent="0.3">
      <c r="A84" s="5">
        <v>3.1298050964283002E-2</v>
      </c>
      <c r="H84" s="5">
        <v>3.1897522868897001E-2</v>
      </c>
      <c r="I84" s="4">
        <f t="shared" si="9"/>
        <v>0.96666666666666656</v>
      </c>
      <c r="J84" s="4">
        <f t="shared" si="8"/>
        <v>1.8368588976886859</v>
      </c>
    </row>
    <row r="85" spans="1:10" s="3" customFormat="1" x14ac:dyDescent="0.3">
      <c r="C85" s="10"/>
    </row>
    <row r="86" spans="1:10" x14ac:dyDescent="0.3">
      <c r="A86" s="2" t="s">
        <v>62</v>
      </c>
      <c r="C86" s="8" t="s">
        <v>1</v>
      </c>
      <c r="D86" s="2" t="s">
        <v>2</v>
      </c>
      <c r="E86" s="2" t="s">
        <v>3</v>
      </c>
      <c r="F86" s="2"/>
      <c r="H86" s="2" t="s">
        <v>4</v>
      </c>
      <c r="I86" s="2" t="s">
        <v>5</v>
      </c>
      <c r="J86" s="2" t="s">
        <v>6</v>
      </c>
    </row>
    <row r="87" spans="1:10" x14ac:dyDescent="0.3">
      <c r="A87" s="7">
        <v>3.5462525037686002E-2</v>
      </c>
      <c r="C87" s="9">
        <f>AVERAGE(A87:A101)</f>
        <v>3.5405223061840928E-2</v>
      </c>
      <c r="D87" s="4">
        <f>_xlfn.VAR.S(A87:A101)</f>
        <v>4.9210555737702184E-7</v>
      </c>
      <c r="E87" s="4">
        <f>SQRT(D87)/C87</f>
        <v>1.9813527403327567E-2</v>
      </c>
      <c r="H87" s="7">
        <v>3.3640923051398E-2</v>
      </c>
      <c r="I87" s="4">
        <f>1/15 - 0.5/15</f>
        <v>3.3333333333333333E-2</v>
      </c>
      <c r="J87" s="4">
        <f t="shared" ref="J87:J101" si="10">4.91*(I87^0.14-(1-I87)^0.14)</f>
        <v>-1.836858897688687</v>
      </c>
    </row>
    <row r="88" spans="1:10" x14ac:dyDescent="0.3">
      <c r="A88" s="7">
        <v>3.5402900073208003E-2</v>
      </c>
      <c r="H88" s="7">
        <v>3.4548527762173001E-2</v>
      </c>
      <c r="I88" s="4">
        <f t="shared" ref="I88:I101" si="11">I87+1/15</f>
        <v>0.1</v>
      </c>
      <c r="J88" s="4">
        <f t="shared" si="10"/>
        <v>-1.2811261510381207</v>
      </c>
    </row>
    <row r="89" spans="1:10" x14ac:dyDescent="0.3">
      <c r="A89" s="7">
        <v>3.4864519417476002E-2</v>
      </c>
      <c r="C89" s="8" t="s">
        <v>7</v>
      </c>
      <c r="E89" s="2" t="s">
        <v>8</v>
      </c>
      <c r="H89" s="7">
        <v>3.4657192349296997E-2</v>
      </c>
      <c r="I89" s="4">
        <f t="shared" si="11"/>
        <v>0.16666666666666669</v>
      </c>
      <c r="J89" s="4">
        <f t="shared" si="10"/>
        <v>-0.96558119772402384</v>
      </c>
    </row>
    <row r="90" spans="1:10" x14ac:dyDescent="0.3">
      <c r="A90" s="7">
        <v>3.5521278408535001E-2</v>
      </c>
      <c r="C90" s="9">
        <f>MEDIAN(A87:A101)</f>
        <v>3.5579050635712997E-2</v>
      </c>
      <c r="E90" s="4">
        <v>2.145</v>
      </c>
      <c r="H90" s="7">
        <v>3.4864519417476002E-2</v>
      </c>
      <c r="I90" s="4">
        <f t="shared" si="11"/>
        <v>0.23333333333333334</v>
      </c>
      <c r="J90" s="4">
        <f t="shared" si="10"/>
        <v>-0.72575040815577163</v>
      </c>
    </row>
    <row r="91" spans="1:10" x14ac:dyDescent="0.3">
      <c r="A91" s="7">
        <v>3.5956749672589002E-2</v>
      </c>
      <c r="H91" s="7">
        <v>3.5402900073208003E-2</v>
      </c>
      <c r="I91" s="4">
        <f t="shared" si="11"/>
        <v>0.3</v>
      </c>
      <c r="J91" s="4">
        <f t="shared" si="10"/>
        <v>-0.52246305252576009</v>
      </c>
    </row>
    <row r="92" spans="1:10" x14ac:dyDescent="0.3">
      <c r="A92" s="7">
        <v>3.5818619535211003E-2</v>
      </c>
      <c r="C92" s="8"/>
      <c r="D92" s="2" t="s">
        <v>9</v>
      </c>
      <c r="H92" s="7">
        <v>3.5462525037686002E-2</v>
      </c>
      <c r="I92" s="4">
        <f t="shared" si="11"/>
        <v>0.36666666666666664</v>
      </c>
      <c r="J92" s="4">
        <f t="shared" si="10"/>
        <v>-0.33927638280750583</v>
      </c>
    </row>
    <row r="93" spans="1:10" x14ac:dyDescent="0.3">
      <c r="A93" s="7">
        <v>3.6135338893678003E-2</v>
      </c>
      <c r="C93" s="8" t="s">
        <v>10</v>
      </c>
      <c r="D93" s="4">
        <f>C87+E90*SQRT(D87)/(SQRT(15))</f>
        <v>3.5793740755314524E-2</v>
      </c>
      <c r="H93" s="7">
        <v>3.5521278408535001E-2</v>
      </c>
      <c r="I93" s="4">
        <f t="shared" si="11"/>
        <v>0.43333333333333329</v>
      </c>
      <c r="J93" s="4">
        <f t="shared" si="10"/>
        <v>-0.16715058832373922</v>
      </c>
    </row>
    <row r="94" spans="1:10" x14ac:dyDescent="0.3">
      <c r="A94" s="7">
        <v>3.5739108725675997E-2</v>
      </c>
      <c r="C94" s="8" t="s">
        <v>11</v>
      </c>
      <c r="D94" s="4">
        <f>C87-E90*SQRT(D87)/(SQRT(15))</f>
        <v>3.5016705368367332E-2</v>
      </c>
      <c r="H94" s="7">
        <v>3.5579050635712997E-2</v>
      </c>
      <c r="I94" s="4">
        <f t="shared" si="11"/>
        <v>0.49999999999999994</v>
      </c>
      <c r="J94" s="4">
        <f t="shared" si="10"/>
        <v>0</v>
      </c>
    </row>
    <row r="95" spans="1:10" x14ac:dyDescent="0.3">
      <c r="A95" s="7">
        <v>3.6277683084762001E-2</v>
      </c>
      <c r="H95" s="7">
        <v>3.5590346380151003E-2</v>
      </c>
      <c r="I95" s="4">
        <f t="shared" si="11"/>
        <v>0.56666666666666665</v>
      </c>
      <c r="J95" s="4">
        <f t="shared" si="10"/>
        <v>0.16715058832373922</v>
      </c>
    </row>
    <row r="96" spans="1:10" x14ac:dyDescent="0.3">
      <c r="A96" s="7">
        <v>3.5590346380151003E-2</v>
      </c>
      <c r="H96" s="7">
        <v>3.5739108725675997E-2</v>
      </c>
      <c r="I96" s="4">
        <f t="shared" si="11"/>
        <v>0.6333333333333333</v>
      </c>
      <c r="J96" s="4">
        <f t="shared" si="10"/>
        <v>0.33927638280750583</v>
      </c>
    </row>
    <row r="97" spans="1:10" x14ac:dyDescent="0.3">
      <c r="A97" s="7">
        <v>3.3640923051398E-2</v>
      </c>
      <c r="H97" s="7">
        <v>3.5818619535211003E-2</v>
      </c>
      <c r="I97" s="4">
        <f t="shared" si="11"/>
        <v>0.7</v>
      </c>
      <c r="J97" s="4">
        <f t="shared" si="10"/>
        <v>0.52246305252576009</v>
      </c>
    </row>
    <row r="98" spans="1:10" x14ac:dyDescent="0.3">
      <c r="A98" s="7">
        <v>3.5883582900061002E-2</v>
      </c>
      <c r="H98" s="7">
        <v>3.5883582900061002E-2</v>
      </c>
      <c r="I98" s="4">
        <f t="shared" si="11"/>
        <v>0.76666666666666661</v>
      </c>
      <c r="J98" s="4">
        <f t="shared" si="10"/>
        <v>0.72575040815577163</v>
      </c>
    </row>
    <row r="99" spans="1:10" x14ac:dyDescent="0.3">
      <c r="A99" s="7">
        <v>3.4657192349296997E-2</v>
      </c>
      <c r="H99" s="7">
        <v>3.5956749672589002E-2</v>
      </c>
      <c r="I99" s="4">
        <f t="shared" si="11"/>
        <v>0.83333333333333326</v>
      </c>
      <c r="J99" s="4">
        <f t="shared" si="10"/>
        <v>0.96558119772402329</v>
      </c>
    </row>
    <row r="100" spans="1:10" x14ac:dyDescent="0.3">
      <c r="A100" s="7">
        <v>3.4548527762173001E-2</v>
      </c>
      <c r="H100" s="7">
        <v>3.6135338893678003E-2</v>
      </c>
      <c r="I100" s="4">
        <f t="shared" si="11"/>
        <v>0.89999999999999991</v>
      </c>
      <c r="J100" s="4">
        <f t="shared" si="10"/>
        <v>1.2811261510381207</v>
      </c>
    </row>
    <row r="101" spans="1:10" x14ac:dyDescent="0.3">
      <c r="A101" s="7">
        <v>3.5579050635712997E-2</v>
      </c>
      <c r="H101" s="7">
        <v>3.6277683084762001E-2</v>
      </c>
      <c r="I101" s="4">
        <f t="shared" si="11"/>
        <v>0.96666666666666656</v>
      </c>
      <c r="J101" s="4">
        <f t="shared" si="10"/>
        <v>1.8368588976886859</v>
      </c>
    </row>
    <row r="102" spans="1:10" s="3" customFormat="1" x14ac:dyDescent="0.3">
      <c r="C102" s="10"/>
    </row>
    <row r="103" spans="1:10" x14ac:dyDescent="0.3">
      <c r="A103" s="2" t="s">
        <v>63</v>
      </c>
      <c r="C103" s="8" t="s">
        <v>1</v>
      </c>
      <c r="D103" s="2" t="s">
        <v>2</v>
      </c>
      <c r="E103" s="2" t="s">
        <v>3</v>
      </c>
      <c r="F103" s="2"/>
      <c r="H103" s="2" t="s">
        <v>4</v>
      </c>
      <c r="I103" s="2" t="s">
        <v>5</v>
      </c>
      <c r="J103" s="2" t="s">
        <v>6</v>
      </c>
    </row>
    <row r="104" spans="1:10" x14ac:dyDescent="0.3">
      <c r="A104" s="5">
        <v>4.0621822391529998E-2</v>
      </c>
      <c r="C104" s="9">
        <f>AVERAGE(A104:A118)</f>
        <v>4.0479609951126996E-2</v>
      </c>
      <c r="D104" s="4">
        <f>_xlfn.VAR.S(A104:A118)</f>
        <v>3.8994180449457422E-7</v>
      </c>
      <c r="E104" s="4">
        <f>SQRT(D104)/C104</f>
        <v>1.5426364166088953E-2</v>
      </c>
      <c r="H104" s="5">
        <v>3.9231322043880003E-2</v>
      </c>
      <c r="I104" s="4">
        <f>1/15 - 0.5/15</f>
        <v>3.3333333333333333E-2</v>
      </c>
      <c r="J104" s="4">
        <f t="shared" ref="J104:J118" si="12">4.91*(I104^0.14-(1-I104)^0.14)</f>
        <v>-1.836858897688687</v>
      </c>
    </row>
    <row r="105" spans="1:10" x14ac:dyDescent="0.3">
      <c r="A105" s="5">
        <v>4.0885490640035001E-2</v>
      </c>
      <c r="H105" s="5">
        <v>3.9491063604585999E-2</v>
      </c>
      <c r="I105" s="4">
        <f t="shared" ref="I105:I118" si="13">I104+1/15</f>
        <v>0.1</v>
      </c>
      <c r="J105" s="4">
        <f t="shared" si="12"/>
        <v>-1.2811261510381207</v>
      </c>
    </row>
    <row r="106" spans="1:10" x14ac:dyDescent="0.3">
      <c r="A106" s="5">
        <v>3.9902903670934999E-2</v>
      </c>
      <c r="C106" s="8" t="s">
        <v>7</v>
      </c>
      <c r="E106" s="2" t="s">
        <v>8</v>
      </c>
      <c r="H106" s="5">
        <v>3.9902903670934999E-2</v>
      </c>
      <c r="I106" s="4">
        <f t="shared" si="13"/>
        <v>0.16666666666666669</v>
      </c>
      <c r="J106" s="4">
        <f t="shared" si="12"/>
        <v>-0.96558119772402384</v>
      </c>
    </row>
    <row r="107" spans="1:10" x14ac:dyDescent="0.3">
      <c r="A107" s="5">
        <v>4.0076206096890998E-2</v>
      </c>
      <c r="C107" s="9">
        <f>MEDIAN(A104:A118)</f>
        <v>4.0621822391529998E-2</v>
      </c>
      <c r="E107" s="4">
        <v>2.145</v>
      </c>
      <c r="H107" s="5">
        <v>4.0076206096890998E-2</v>
      </c>
      <c r="I107" s="4">
        <f t="shared" si="13"/>
        <v>0.23333333333333334</v>
      </c>
      <c r="J107" s="4">
        <f t="shared" si="12"/>
        <v>-0.72575040815577163</v>
      </c>
    </row>
    <row r="108" spans="1:10" x14ac:dyDescent="0.3">
      <c r="A108" s="5">
        <v>4.1565002814020001E-2</v>
      </c>
      <c r="H108" s="5">
        <v>4.0132646732727997E-2</v>
      </c>
      <c r="I108" s="4">
        <f t="shared" si="13"/>
        <v>0.3</v>
      </c>
      <c r="J108" s="4">
        <f t="shared" si="12"/>
        <v>-0.52246305252576009</v>
      </c>
    </row>
    <row r="109" spans="1:10" x14ac:dyDescent="0.3">
      <c r="A109" s="5">
        <v>4.0800628505589999E-2</v>
      </c>
      <c r="C109" s="8"/>
      <c r="D109" s="2" t="s">
        <v>9</v>
      </c>
      <c r="H109" s="5">
        <v>4.0307464532859001E-2</v>
      </c>
      <c r="I109" s="4">
        <f t="shared" si="13"/>
        <v>0.36666666666666664</v>
      </c>
      <c r="J109" s="4">
        <f t="shared" si="12"/>
        <v>-0.33927638280750583</v>
      </c>
    </row>
    <row r="110" spans="1:10" x14ac:dyDescent="0.3">
      <c r="A110" s="5">
        <v>4.0850605624959999E-2</v>
      </c>
      <c r="C110" s="8" t="s">
        <v>10</v>
      </c>
      <c r="D110" s="4">
        <f>C104+E107*SQRT(D104)/(SQRT(15))</f>
        <v>4.0825455002272221E-2</v>
      </c>
      <c r="H110" s="5">
        <v>4.0561849935469997E-2</v>
      </c>
      <c r="I110" s="4">
        <f t="shared" si="13"/>
        <v>0.43333333333333329</v>
      </c>
      <c r="J110" s="4">
        <f t="shared" si="12"/>
        <v>-0.16715058832373922</v>
      </c>
    </row>
    <row r="111" spans="1:10" x14ac:dyDescent="0.3">
      <c r="A111" s="5">
        <v>4.0132646732727997E-2</v>
      </c>
      <c r="C111" s="8" t="s">
        <v>11</v>
      </c>
      <c r="D111" s="4">
        <f>C104-E107*SQRT(D104)/(SQRT(15))</f>
        <v>4.0133764899981772E-2</v>
      </c>
      <c r="H111" s="5">
        <v>4.0621822391529998E-2</v>
      </c>
      <c r="I111" s="4">
        <f t="shared" si="13"/>
        <v>0.49999999999999994</v>
      </c>
      <c r="J111" s="4">
        <f t="shared" si="12"/>
        <v>0</v>
      </c>
    </row>
    <row r="112" spans="1:10" x14ac:dyDescent="0.3">
      <c r="A112" s="5">
        <v>4.1135883516084999E-2</v>
      </c>
      <c r="H112" s="5">
        <v>4.0740171998302002E-2</v>
      </c>
      <c r="I112" s="4">
        <f t="shared" si="13"/>
        <v>0.56666666666666665</v>
      </c>
      <c r="J112" s="4">
        <f t="shared" si="12"/>
        <v>0.16715058832373922</v>
      </c>
    </row>
    <row r="113" spans="1:10" x14ac:dyDescent="0.3">
      <c r="A113" s="5">
        <v>4.0740171998302002E-2</v>
      </c>
      <c r="H113" s="5">
        <v>4.0800628505589999E-2</v>
      </c>
      <c r="I113" s="4">
        <f t="shared" si="13"/>
        <v>0.6333333333333333</v>
      </c>
      <c r="J113" s="4">
        <f t="shared" si="12"/>
        <v>0.33927638280750583</v>
      </c>
    </row>
    <row r="114" spans="1:10" x14ac:dyDescent="0.3">
      <c r="A114" s="5">
        <v>3.9231322043880003E-2</v>
      </c>
      <c r="H114" s="5">
        <v>4.0850605624959999E-2</v>
      </c>
      <c r="I114" s="4">
        <f t="shared" si="13"/>
        <v>0.7</v>
      </c>
      <c r="J114" s="4">
        <f t="shared" si="12"/>
        <v>0.52246305252576009</v>
      </c>
    </row>
    <row r="115" spans="1:10" x14ac:dyDescent="0.3">
      <c r="A115" s="5">
        <v>4.0891087159034001E-2</v>
      </c>
      <c r="H115" s="5">
        <v>4.0885490640035001E-2</v>
      </c>
      <c r="I115" s="4">
        <f t="shared" si="13"/>
        <v>0.76666666666666661</v>
      </c>
      <c r="J115" s="4">
        <f t="shared" si="12"/>
        <v>0.72575040815577163</v>
      </c>
    </row>
    <row r="116" spans="1:10" x14ac:dyDescent="0.3">
      <c r="A116" s="5">
        <v>4.0307464532859001E-2</v>
      </c>
      <c r="H116" s="5">
        <v>4.0891087159034001E-2</v>
      </c>
      <c r="I116" s="4">
        <f t="shared" si="13"/>
        <v>0.83333333333333326</v>
      </c>
      <c r="J116" s="4">
        <f t="shared" si="12"/>
        <v>0.96558119772402329</v>
      </c>
    </row>
    <row r="117" spans="1:10" x14ac:dyDescent="0.3">
      <c r="A117" s="5">
        <v>3.9491063604585999E-2</v>
      </c>
      <c r="H117" s="5">
        <v>4.1135883516084999E-2</v>
      </c>
      <c r="I117" s="4">
        <f t="shared" si="13"/>
        <v>0.89999999999999991</v>
      </c>
      <c r="J117" s="4">
        <f t="shared" si="12"/>
        <v>1.2811261510381207</v>
      </c>
    </row>
    <row r="118" spans="1:10" x14ac:dyDescent="0.3">
      <c r="A118" s="5">
        <v>4.0561849935469997E-2</v>
      </c>
      <c r="H118" s="5">
        <v>4.1565002814020001E-2</v>
      </c>
      <c r="I118" s="4">
        <f t="shared" si="13"/>
        <v>0.96666666666666656</v>
      </c>
      <c r="J118" s="4">
        <f t="shared" si="12"/>
        <v>1.8368588976886859</v>
      </c>
    </row>
    <row r="119" spans="1:10" s="3" customFormat="1" x14ac:dyDescent="0.3">
      <c r="C119" s="10"/>
    </row>
    <row r="120" spans="1:10" x14ac:dyDescent="0.3">
      <c r="A120" s="2" t="s">
        <v>64</v>
      </c>
      <c r="C120" s="8" t="s">
        <v>1</v>
      </c>
      <c r="D120" s="2" t="s">
        <v>2</v>
      </c>
      <c r="E120" s="2" t="s">
        <v>3</v>
      </c>
      <c r="F120" s="2"/>
      <c r="H120" s="2" t="s">
        <v>4</v>
      </c>
      <c r="I120" s="2" t="s">
        <v>5</v>
      </c>
      <c r="J120" s="2" t="s">
        <v>6</v>
      </c>
    </row>
    <row r="121" spans="1:10" x14ac:dyDescent="0.3">
      <c r="A121" s="5">
        <v>4.6251305436987002E-2</v>
      </c>
      <c r="C121" s="9">
        <f>AVERAGE(A121:A135)</f>
        <v>4.6037828277324326E-2</v>
      </c>
      <c r="D121" s="4">
        <f>_xlfn.VAR.S(A121:A135)</f>
        <v>8.2436694121245623E-7</v>
      </c>
      <c r="E121" s="4">
        <f>SQRT(D121)/C121</f>
        <v>1.9721750263472424E-2</v>
      </c>
      <c r="H121" s="5">
        <v>4.4632720081178003E-2</v>
      </c>
      <c r="I121" s="4">
        <f>1/15 - 0.5/15</f>
        <v>3.3333333333333333E-2</v>
      </c>
      <c r="J121" s="4">
        <f t="shared" ref="J121:J135" si="14">4.91*(I121^0.14-(1-I121)^0.14)</f>
        <v>-1.836858897688687</v>
      </c>
    </row>
    <row r="122" spans="1:10" x14ac:dyDescent="0.3">
      <c r="A122" s="5">
        <v>4.6325618055624997E-2</v>
      </c>
      <c r="H122" s="5">
        <v>4.4882842307169997E-2</v>
      </c>
      <c r="I122" s="4">
        <f t="shared" ref="I122:I135" si="15">I121+1/15</f>
        <v>0.1</v>
      </c>
      <c r="J122" s="4">
        <f t="shared" si="14"/>
        <v>-1.2811261510381207</v>
      </c>
    </row>
    <row r="123" spans="1:10" x14ac:dyDescent="0.3">
      <c r="A123" s="5">
        <v>4.5341437974616997E-2</v>
      </c>
      <c r="C123" s="8" t="s">
        <v>7</v>
      </c>
      <c r="E123" s="2" t="s">
        <v>8</v>
      </c>
      <c r="H123" s="5">
        <v>4.5341437974616997E-2</v>
      </c>
      <c r="I123" s="4">
        <f t="shared" si="15"/>
        <v>0.16666666666666669</v>
      </c>
      <c r="J123" s="4">
        <f t="shared" si="14"/>
        <v>-0.96558119772402384</v>
      </c>
    </row>
    <row r="124" spans="1:10" x14ac:dyDescent="0.3">
      <c r="A124" s="5">
        <v>4.5401462591468003E-2</v>
      </c>
      <c r="C124" s="9">
        <f>MEDIAN(A121:A135)</f>
        <v>4.5908040598366E-2</v>
      </c>
      <c r="E124" s="4">
        <v>2.145</v>
      </c>
      <c r="H124" s="5">
        <v>4.5401462591468003E-2</v>
      </c>
      <c r="I124" s="4">
        <f t="shared" si="15"/>
        <v>0.23333333333333334</v>
      </c>
      <c r="J124" s="4">
        <f t="shared" si="14"/>
        <v>-0.72575040815577163</v>
      </c>
    </row>
    <row r="125" spans="1:10" x14ac:dyDescent="0.3">
      <c r="A125" s="5">
        <v>4.7916864394151E-2</v>
      </c>
      <c r="H125" s="5">
        <v>4.5506574953766997E-2</v>
      </c>
      <c r="I125" s="4">
        <f t="shared" si="15"/>
        <v>0.3</v>
      </c>
      <c r="J125" s="4">
        <f t="shared" si="14"/>
        <v>-0.52246305252576009</v>
      </c>
    </row>
    <row r="126" spans="1:10" x14ac:dyDescent="0.3">
      <c r="A126" s="5">
        <v>4.6569977281067002E-2</v>
      </c>
      <c r="C126" s="8"/>
      <c r="D126" s="2" t="s">
        <v>9</v>
      </c>
      <c r="H126" s="5">
        <v>4.5602364240119E-2</v>
      </c>
      <c r="I126" s="4">
        <f t="shared" si="15"/>
        <v>0.36666666666666664</v>
      </c>
      <c r="J126" s="4">
        <f t="shared" si="14"/>
        <v>-0.33927638280750583</v>
      </c>
    </row>
    <row r="127" spans="1:10" x14ac:dyDescent="0.3">
      <c r="A127" s="5">
        <v>4.6275565226653E-2</v>
      </c>
      <c r="C127" s="8" t="s">
        <v>10</v>
      </c>
      <c r="D127" s="4">
        <f>C121+E124*SQRT(D121)/(SQRT(15))</f>
        <v>4.6540682325446447E-2</v>
      </c>
      <c r="H127" s="5">
        <v>4.5901442820895998E-2</v>
      </c>
      <c r="I127" s="4">
        <f t="shared" si="15"/>
        <v>0.43333333333333329</v>
      </c>
      <c r="J127" s="4">
        <f t="shared" si="14"/>
        <v>-0.16715058832373922</v>
      </c>
    </row>
    <row r="128" spans="1:10" x14ac:dyDescent="0.3">
      <c r="A128" s="5">
        <v>4.5506574953766997E-2</v>
      </c>
      <c r="C128" s="8" t="s">
        <v>11</v>
      </c>
      <c r="D128" s="4">
        <f>C121-E124*SQRT(D121)/(SQRT(15))</f>
        <v>4.5534974229202205E-2</v>
      </c>
      <c r="H128" s="5">
        <v>4.5908040598366E-2</v>
      </c>
      <c r="I128" s="4">
        <f t="shared" si="15"/>
        <v>0.49999999999999994</v>
      </c>
      <c r="J128" s="4">
        <f t="shared" si="14"/>
        <v>0</v>
      </c>
    </row>
    <row r="129" spans="1:10" x14ac:dyDescent="0.3">
      <c r="A129" s="5">
        <v>4.7690928906046003E-2</v>
      </c>
      <c r="H129" s="5">
        <v>4.6251305436987002E-2</v>
      </c>
      <c r="I129" s="4">
        <f t="shared" si="15"/>
        <v>0.56666666666666665</v>
      </c>
      <c r="J129" s="4">
        <f t="shared" si="14"/>
        <v>0.16715058832373922</v>
      </c>
    </row>
    <row r="130" spans="1:10" x14ac:dyDescent="0.3">
      <c r="A130" s="5">
        <v>4.6360279291754999E-2</v>
      </c>
      <c r="H130" s="5">
        <v>4.6275565226653E-2</v>
      </c>
      <c r="I130" s="4">
        <f t="shared" si="15"/>
        <v>0.6333333333333333</v>
      </c>
      <c r="J130" s="4">
        <f t="shared" si="14"/>
        <v>0.33927638280750583</v>
      </c>
    </row>
    <row r="131" spans="1:10" x14ac:dyDescent="0.3">
      <c r="A131" s="5">
        <v>4.4882842307169997E-2</v>
      </c>
      <c r="H131" s="5">
        <v>4.6325618055624997E-2</v>
      </c>
      <c r="I131" s="4">
        <f t="shared" si="15"/>
        <v>0.7</v>
      </c>
      <c r="J131" s="4">
        <f t="shared" si="14"/>
        <v>0.52246305252576009</v>
      </c>
    </row>
    <row r="132" spans="1:10" x14ac:dyDescent="0.3">
      <c r="A132" s="5">
        <v>4.5908040598366E-2</v>
      </c>
      <c r="H132" s="5">
        <v>4.6360279291754999E-2</v>
      </c>
      <c r="I132" s="4">
        <f t="shared" si="15"/>
        <v>0.76666666666666661</v>
      </c>
      <c r="J132" s="4">
        <f t="shared" si="14"/>
        <v>0.72575040815577163</v>
      </c>
    </row>
    <row r="133" spans="1:10" x14ac:dyDescent="0.3">
      <c r="A133" s="5">
        <v>4.5901442820895998E-2</v>
      </c>
      <c r="H133" s="5">
        <v>4.6569977281067002E-2</v>
      </c>
      <c r="I133" s="4">
        <f t="shared" si="15"/>
        <v>0.83333333333333326</v>
      </c>
      <c r="J133" s="4">
        <f t="shared" si="14"/>
        <v>0.96558119772402329</v>
      </c>
    </row>
    <row r="134" spans="1:10" x14ac:dyDescent="0.3">
      <c r="A134" s="5">
        <v>4.4632720081178003E-2</v>
      </c>
      <c r="H134" s="5">
        <v>4.7690928906046003E-2</v>
      </c>
      <c r="I134" s="4">
        <f t="shared" si="15"/>
        <v>0.89999999999999991</v>
      </c>
      <c r="J134" s="4">
        <f t="shared" si="14"/>
        <v>1.2811261510381207</v>
      </c>
    </row>
    <row r="135" spans="1:10" x14ac:dyDescent="0.3">
      <c r="A135" s="5">
        <v>4.5602364240119E-2</v>
      </c>
      <c r="H135" s="5">
        <v>4.7916864394151E-2</v>
      </c>
      <c r="I135" s="4">
        <f t="shared" si="15"/>
        <v>0.96666666666666656</v>
      </c>
      <c r="J135" s="4">
        <f t="shared" si="14"/>
        <v>1.8368588976886859</v>
      </c>
    </row>
    <row r="136" spans="1:10" s="3" customFormat="1" x14ac:dyDescent="0.3">
      <c r="C136" s="10"/>
    </row>
    <row r="137" spans="1:10" x14ac:dyDescent="0.3">
      <c r="A137" s="2" t="s">
        <v>19</v>
      </c>
      <c r="C137" s="8" t="s">
        <v>1</v>
      </c>
      <c r="D137" s="2" t="s">
        <v>2</v>
      </c>
      <c r="E137" s="2" t="s">
        <v>3</v>
      </c>
      <c r="F137" s="2"/>
      <c r="H137" s="2" t="s">
        <v>4</v>
      </c>
      <c r="I137" s="2" t="s">
        <v>5</v>
      </c>
      <c r="J137" s="2" t="s">
        <v>6</v>
      </c>
    </row>
    <row r="138" spans="1:10" x14ac:dyDescent="0.3">
      <c r="A138" s="5">
        <v>5.3145477366407998E-2</v>
      </c>
      <c r="C138" s="9">
        <f>AVERAGE(A138:A152)</f>
        <v>5.3688778105251064E-2</v>
      </c>
      <c r="D138" s="4">
        <f>_xlfn.VAR.S(A138:A152)</f>
        <v>1.6255566919048949E-6</v>
      </c>
      <c r="E138" s="4">
        <f>SQRT(D138)/C138</f>
        <v>2.3747480520619601E-2</v>
      </c>
      <c r="H138" s="5">
        <v>5.1216482315226998E-2</v>
      </c>
      <c r="I138" s="4">
        <f>1/15 - 0.5/15</f>
        <v>3.3333333333333333E-2</v>
      </c>
      <c r="J138" s="4">
        <f t="shared" ref="J138:J152" si="16">4.91*(I138^0.14-(1-I138)^0.14)</f>
        <v>-1.836858897688687</v>
      </c>
    </row>
    <row r="139" spans="1:10" x14ac:dyDescent="0.3">
      <c r="A139" s="5">
        <v>5.3611598159719998E-2</v>
      </c>
      <c r="H139" s="5">
        <v>5.1465253285807998E-2</v>
      </c>
      <c r="I139" s="4">
        <f t="shared" ref="I139:I152" si="17">I138+1/15</f>
        <v>0.1</v>
      </c>
      <c r="J139" s="4">
        <f t="shared" si="16"/>
        <v>-1.2811261510381207</v>
      </c>
    </row>
    <row r="140" spans="1:10" x14ac:dyDescent="0.3">
      <c r="A140" s="5">
        <v>5.3023438675764999E-2</v>
      </c>
      <c r="C140" s="8" t="s">
        <v>7</v>
      </c>
      <c r="E140" s="2" t="s">
        <v>8</v>
      </c>
      <c r="H140" s="5">
        <v>5.3023438675764999E-2</v>
      </c>
      <c r="I140" s="4">
        <f t="shared" si="17"/>
        <v>0.16666666666666669</v>
      </c>
      <c r="J140" s="4">
        <f t="shared" si="16"/>
        <v>-0.96558119772402384</v>
      </c>
    </row>
    <row r="141" spans="1:10" x14ac:dyDescent="0.3">
      <c r="A141" s="5">
        <v>5.3585320278143E-2</v>
      </c>
      <c r="C141" s="9">
        <f>MEDIAN(A138:A152)</f>
        <v>5.3611598159719998E-2</v>
      </c>
      <c r="E141" s="4">
        <v>2.145</v>
      </c>
      <c r="H141" s="5">
        <v>5.3145477366407998E-2</v>
      </c>
      <c r="I141" s="4">
        <f t="shared" si="17"/>
        <v>0.23333333333333334</v>
      </c>
      <c r="J141" s="4">
        <f t="shared" si="16"/>
        <v>-0.72575040815577163</v>
      </c>
    </row>
    <row r="142" spans="1:10" x14ac:dyDescent="0.3">
      <c r="A142" s="5">
        <v>5.5823100311259997E-2</v>
      </c>
      <c r="H142" s="5">
        <v>5.3304457131086003E-2</v>
      </c>
      <c r="I142" s="4">
        <f t="shared" si="17"/>
        <v>0.3</v>
      </c>
      <c r="J142" s="4">
        <f t="shared" si="16"/>
        <v>-0.52246305252576009</v>
      </c>
    </row>
    <row r="143" spans="1:10" x14ac:dyDescent="0.3">
      <c r="A143" s="5">
        <v>5.3684442692662003E-2</v>
      </c>
      <c r="C143" s="8"/>
      <c r="D143" s="2" t="s">
        <v>9</v>
      </c>
      <c r="H143" s="5">
        <v>5.3465775062067997E-2</v>
      </c>
      <c r="I143" s="4">
        <f t="shared" si="17"/>
        <v>0.36666666666666664</v>
      </c>
      <c r="J143" s="4">
        <f t="shared" si="16"/>
        <v>-0.33927638280750583</v>
      </c>
    </row>
    <row r="144" spans="1:10" x14ac:dyDescent="0.3">
      <c r="A144" s="5">
        <v>5.5538761306237999E-2</v>
      </c>
      <c r="C144" s="8" t="s">
        <v>10</v>
      </c>
      <c r="D144" s="4">
        <f>C138+E141*SQRT(D138)/(SQRT(15))</f>
        <v>5.4394904957800555E-2</v>
      </c>
      <c r="H144" s="5">
        <v>5.3585320278143E-2</v>
      </c>
      <c r="I144" s="4">
        <f t="shared" si="17"/>
        <v>0.43333333333333329</v>
      </c>
      <c r="J144" s="4">
        <f t="shared" si="16"/>
        <v>-0.16715058832373922</v>
      </c>
    </row>
    <row r="145" spans="1:10" x14ac:dyDescent="0.3">
      <c r="A145" s="5">
        <v>5.3465775062067997E-2</v>
      </c>
      <c r="C145" s="8" t="s">
        <v>11</v>
      </c>
      <c r="D145" s="4">
        <f>C138-E141*SQRT(D138)/(SQRT(15))</f>
        <v>5.2982651252701574E-2</v>
      </c>
      <c r="H145" s="5">
        <v>5.3611598159719998E-2</v>
      </c>
      <c r="I145" s="4">
        <f t="shared" si="17"/>
        <v>0.49999999999999994</v>
      </c>
      <c r="J145" s="4">
        <f t="shared" si="16"/>
        <v>0</v>
      </c>
    </row>
    <row r="146" spans="1:10" x14ac:dyDescent="0.3">
      <c r="A146" s="5">
        <v>5.5195393417013003E-2</v>
      </c>
      <c r="H146" s="5">
        <v>5.3684442692662003E-2</v>
      </c>
      <c r="I146" s="4">
        <f t="shared" si="17"/>
        <v>0.56666666666666665</v>
      </c>
      <c r="J146" s="4">
        <f t="shared" si="16"/>
        <v>0.16715058832373922</v>
      </c>
    </row>
    <row r="147" spans="1:10" x14ac:dyDescent="0.3">
      <c r="A147" s="5">
        <v>5.3998690654273998E-2</v>
      </c>
      <c r="H147" s="5">
        <v>5.3998690654273998E-2</v>
      </c>
      <c r="I147" s="4">
        <f t="shared" si="17"/>
        <v>0.6333333333333333</v>
      </c>
      <c r="J147" s="4">
        <f t="shared" si="16"/>
        <v>0.33927638280750583</v>
      </c>
    </row>
    <row r="148" spans="1:10" x14ac:dyDescent="0.3">
      <c r="A148" s="5">
        <v>5.1216482315226998E-2</v>
      </c>
      <c r="H148" s="5">
        <v>5.4089437411247998E-2</v>
      </c>
      <c r="I148" s="4">
        <f t="shared" si="17"/>
        <v>0.7</v>
      </c>
      <c r="J148" s="4">
        <f t="shared" si="16"/>
        <v>0.52246305252576009</v>
      </c>
    </row>
    <row r="149" spans="1:10" x14ac:dyDescent="0.3">
      <c r="A149" s="5">
        <v>5.3304457131086003E-2</v>
      </c>
      <c r="H149" s="5">
        <v>5.4184043511845997E-2</v>
      </c>
      <c r="I149" s="4">
        <f t="shared" si="17"/>
        <v>0.76666666666666661</v>
      </c>
      <c r="J149" s="4">
        <f t="shared" si="16"/>
        <v>0.72575040815577163</v>
      </c>
    </row>
    <row r="150" spans="1:10" x14ac:dyDescent="0.3">
      <c r="A150" s="5">
        <v>5.4184043511845997E-2</v>
      </c>
      <c r="H150" s="5">
        <v>5.5195393417013003E-2</v>
      </c>
      <c r="I150" s="4">
        <f t="shared" si="17"/>
        <v>0.83333333333333326</v>
      </c>
      <c r="J150" s="4">
        <f t="shared" si="16"/>
        <v>0.96558119772402329</v>
      </c>
    </row>
    <row r="151" spans="1:10" x14ac:dyDescent="0.3">
      <c r="A151" s="5">
        <v>5.1465253285807998E-2</v>
      </c>
      <c r="H151" s="5">
        <v>5.5538761306237999E-2</v>
      </c>
      <c r="I151" s="4">
        <f t="shared" si="17"/>
        <v>0.89999999999999991</v>
      </c>
      <c r="J151" s="4">
        <f t="shared" si="16"/>
        <v>1.2811261510381207</v>
      </c>
    </row>
    <row r="152" spans="1:10" x14ac:dyDescent="0.3">
      <c r="A152" s="5">
        <v>5.4089437411247998E-2</v>
      </c>
      <c r="H152" s="5">
        <v>5.5823100311259997E-2</v>
      </c>
      <c r="I152" s="4">
        <f t="shared" si="17"/>
        <v>0.96666666666666656</v>
      </c>
      <c r="J152" s="4">
        <f t="shared" si="16"/>
        <v>1.8368588976886859</v>
      </c>
    </row>
    <row r="153" spans="1:10" s="3" customFormat="1" x14ac:dyDescent="0.3">
      <c r="C153" s="10"/>
    </row>
    <row r="155" spans="1:10" x14ac:dyDescent="0.3">
      <c r="A155" s="2"/>
      <c r="C155" s="2"/>
      <c r="D155" s="2"/>
      <c r="E155" s="2"/>
    </row>
    <row r="156" spans="1:10" x14ac:dyDescent="0.3">
      <c r="A156" s="14" t="s">
        <v>20</v>
      </c>
      <c r="B156" s="14"/>
      <c r="C156" s="14"/>
    </row>
    <row r="157" spans="1:10" x14ac:dyDescent="0.3">
      <c r="A157" s="2" t="s">
        <v>21</v>
      </c>
      <c r="B157" s="2" t="s">
        <v>65</v>
      </c>
      <c r="C157" s="2" t="s">
        <v>23</v>
      </c>
    </row>
    <row r="158" spans="1:10" x14ac:dyDescent="0.3">
      <c r="A158" s="11" t="s">
        <v>66</v>
      </c>
      <c r="B158" s="4">
        <f>3*0.001</f>
        <v>3.0000000000000001E-3</v>
      </c>
      <c r="C158" s="4">
        <f>C2</f>
        <v>2.032655878315907E-2</v>
      </c>
    </row>
    <row r="159" spans="1:10" x14ac:dyDescent="0.3">
      <c r="A159" s="11" t="s">
        <v>67</v>
      </c>
      <c r="B159" s="4">
        <f>3.5*0.001</f>
        <v>3.5000000000000001E-3</v>
      </c>
      <c r="C159" s="4">
        <f>C19</f>
        <v>2.2618170438779468E-2</v>
      </c>
    </row>
    <row r="160" spans="1:10" x14ac:dyDescent="0.3">
      <c r="A160" s="11" t="s">
        <v>68</v>
      </c>
      <c r="B160" s="4">
        <f>4*0.001</f>
        <v>4.0000000000000001E-3</v>
      </c>
      <c r="C160" s="4">
        <f>C36</f>
        <v>2.5046698112566136E-2</v>
      </c>
    </row>
    <row r="161" spans="1:7" x14ac:dyDescent="0.3">
      <c r="A161" s="11" t="s">
        <v>69</v>
      </c>
      <c r="B161" s="4">
        <f>4.5*0.001</f>
        <v>4.5000000000000005E-3</v>
      </c>
      <c r="C161" s="4">
        <f>C53</f>
        <v>2.7990329739061334E-2</v>
      </c>
    </row>
    <row r="162" spans="1:7" x14ac:dyDescent="0.3">
      <c r="A162" s="11" t="s">
        <v>70</v>
      </c>
      <c r="B162" s="4">
        <f>5*0.001</f>
        <v>5.0000000000000001E-3</v>
      </c>
      <c r="C162" s="4">
        <f>C70</f>
        <v>3.1339957716917596E-2</v>
      </c>
    </row>
    <row r="163" spans="1:7" x14ac:dyDescent="0.3">
      <c r="A163" s="11" t="s">
        <v>71</v>
      </c>
      <c r="B163" s="4">
        <f>5.5*0.001</f>
        <v>5.4999999999999997E-3</v>
      </c>
      <c r="C163" s="4">
        <f>C87</f>
        <v>3.5405223061840928E-2</v>
      </c>
    </row>
    <row r="164" spans="1:7" x14ac:dyDescent="0.3">
      <c r="A164" s="11" t="s">
        <v>72</v>
      </c>
      <c r="B164" s="4">
        <f>6*0.001</f>
        <v>6.0000000000000001E-3</v>
      </c>
      <c r="C164" s="4">
        <f>C104</f>
        <v>4.0479609951126996E-2</v>
      </c>
    </row>
    <row r="165" spans="1:7" x14ac:dyDescent="0.3">
      <c r="A165" s="11" t="s">
        <v>73</v>
      </c>
      <c r="B165" s="4">
        <f>6.5*0.001</f>
        <v>6.5000000000000006E-3</v>
      </c>
      <c r="C165" s="4">
        <f>C121</f>
        <v>4.6037828277324326E-2</v>
      </c>
    </row>
    <row r="166" spans="1:7" x14ac:dyDescent="0.3">
      <c r="A166" s="4" t="s">
        <v>33</v>
      </c>
      <c r="B166" s="4">
        <f>7*0.001</f>
        <v>7.0000000000000001E-3</v>
      </c>
      <c r="C166" s="4">
        <f>C138</f>
        <v>5.3688778105251064E-2</v>
      </c>
    </row>
    <row r="167" spans="1:7" x14ac:dyDescent="0.3">
      <c r="C167" s="4"/>
    </row>
    <row r="171" spans="1:7" x14ac:dyDescent="0.3">
      <c r="A171" s="14" t="s">
        <v>34</v>
      </c>
      <c r="B171" s="14"/>
      <c r="C171" s="14"/>
      <c r="D171" s="14"/>
    </row>
    <row r="172" spans="1:7" x14ac:dyDescent="0.3">
      <c r="A172" s="2" t="s">
        <v>21</v>
      </c>
      <c r="B172" s="2" t="s">
        <v>65</v>
      </c>
      <c r="C172" s="2" t="s">
        <v>35</v>
      </c>
      <c r="D172" s="2" t="s">
        <v>36</v>
      </c>
      <c r="F172" s="8"/>
      <c r="G172" s="8"/>
    </row>
    <row r="173" spans="1:7" x14ac:dyDescent="0.3">
      <c r="A173" s="11" t="s">
        <v>66</v>
      </c>
      <c r="B173" s="4">
        <f>0.001*3</f>
        <v>3.0000000000000001E-3</v>
      </c>
      <c r="C173" s="4">
        <f t="shared" ref="C173:C181" si="18">LN(C158)</f>
        <v>-3.8958269335906577</v>
      </c>
      <c r="D173" s="4">
        <f t="shared" ref="D173:D181" si="19">C173-B173*$C$185-$D$185</f>
        <v>2.5143066409341941E-2</v>
      </c>
    </row>
    <row r="174" spans="1:7" x14ac:dyDescent="0.3">
      <c r="A174" s="11" t="s">
        <v>67</v>
      </c>
      <c r="B174" s="4">
        <f>0.001*3.5</f>
        <v>3.5000000000000001E-3</v>
      </c>
      <c r="C174" s="4">
        <f t="shared" si="18"/>
        <v>-3.7890016940242348</v>
      </c>
      <c r="D174" s="4">
        <f t="shared" si="19"/>
        <v>1.1763305975764915E-2</v>
      </c>
    </row>
    <row r="175" spans="1:7" x14ac:dyDescent="0.3">
      <c r="A175" s="11" t="s">
        <v>68</v>
      </c>
      <c r="B175" s="4">
        <f>0.001*4</f>
        <v>4.0000000000000001E-3</v>
      </c>
      <c r="C175" s="4">
        <f t="shared" si="18"/>
        <v>-3.6870132720128193</v>
      </c>
      <c r="D175" s="4">
        <f t="shared" si="19"/>
        <v>-6.453272012818978E-3</v>
      </c>
    </row>
    <row r="176" spans="1:7" x14ac:dyDescent="0.3">
      <c r="A176" s="11" t="s">
        <v>69</v>
      </c>
      <c r="B176" s="4">
        <f>0.001*4.5</f>
        <v>4.5000000000000005E-3</v>
      </c>
      <c r="C176" s="4">
        <f t="shared" si="18"/>
        <v>-3.5758961949217598</v>
      </c>
      <c r="D176" s="4">
        <f t="shared" si="19"/>
        <v>-1.5541194921760315E-2</v>
      </c>
    </row>
    <row r="177" spans="1:4" x14ac:dyDescent="0.3">
      <c r="A177" s="11" t="s">
        <v>70</v>
      </c>
      <c r="B177" s="4">
        <f>0.001*5</f>
        <v>5.0000000000000001E-3</v>
      </c>
      <c r="C177" s="4">
        <f t="shared" si="18"/>
        <v>-3.4628613912281909</v>
      </c>
      <c r="D177" s="4">
        <f t="shared" si="19"/>
        <v>-2.2711391228191324E-2</v>
      </c>
    </row>
    <row r="178" spans="1:4" x14ac:dyDescent="0.3">
      <c r="A178" s="11" t="s">
        <v>71</v>
      </c>
      <c r="B178" s="4">
        <f>0.001*5.5</f>
        <v>5.4999999999999997E-3</v>
      </c>
      <c r="C178" s="4">
        <f t="shared" si="18"/>
        <v>-3.340895925606171</v>
      </c>
      <c r="D178" s="4">
        <f t="shared" si="19"/>
        <v>-2.0950925606171289E-2</v>
      </c>
    </row>
    <row r="179" spans="1:4" x14ac:dyDescent="0.3">
      <c r="A179" s="11" t="s">
        <v>72</v>
      </c>
      <c r="B179" s="4">
        <f>0.001*6</f>
        <v>6.0000000000000001E-3</v>
      </c>
      <c r="C179" s="4">
        <f t="shared" si="18"/>
        <v>-3.2069568896440384</v>
      </c>
      <c r="D179" s="4">
        <f t="shared" si="19"/>
        <v>-7.2168896440389929E-3</v>
      </c>
    </row>
    <row r="180" spans="1:4" x14ac:dyDescent="0.3">
      <c r="A180" s="11" t="s">
        <v>73</v>
      </c>
      <c r="B180" s="4">
        <f>0.001*6.5</f>
        <v>6.5000000000000006E-3</v>
      </c>
      <c r="C180" s="4">
        <f t="shared" si="18"/>
        <v>-3.0782918665858343</v>
      </c>
      <c r="D180" s="4">
        <f t="shared" si="19"/>
        <v>1.2431334141655981E-3</v>
      </c>
    </row>
    <row r="181" spans="1:4" x14ac:dyDescent="0.3">
      <c r="A181" s="4" t="s">
        <v>33</v>
      </c>
      <c r="B181" s="4">
        <f>0.001*7</f>
        <v>7.0000000000000001E-3</v>
      </c>
      <c r="C181" s="4">
        <f t="shared" si="18"/>
        <v>-2.924551273136843</v>
      </c>
      <c r="D181" s="4">
        <f t="shared" si="19"/>
        <v>3.4778726863156528E-2</v>
      </c>
    </row>
    <row r="182" spans="1:4" x14ac:dyDescent="0.3">
      <c r="A182" s="2"/>
      <c r="C182" s="4"/>
    </row>
    <row r="183" spans="1:4" x14ac:dyDescent="0.3">
      <c r="A183" s="2"/>
      <c r="C183" s="14" t="s">
        <v>37</v>
      </c>
      <c r="D183" s="14"/>
    </row>
    <row r="184" spans="1:4" x14ac:dyDescent="0.3">
      <c r="A184" s="2"/>
      <c r="C184" s="2" t="s">
        <v>38</v>
      </c>
      <c r="D184" s="2" t="s">
        <v>39</v>
      </c>
    </row>
    <row r="185" spans="1:4" x14ac:dyDescent="0.3">
      <c r="A185" s="2"/>
      <c r="C185" s="4">
        <v>240.41</v>
      </c>
      <c r="D185" s="4">
        <v>-4.6421999999999999</v>
      </c>
    </row>
    <row r="186" spans="1:4" x14ac:dyDescent="0.3">
      <c r="A186" s="2"/>
      <c r="C186" s="4"/>
    </row>
    <row r="187" spans="1:4" x14ac:dyDescent="0.3">
      <c r="A187" s="14" t="s">
        <v>40</v>
      </c>
      <c r="B187" s="14"/>
      <c r="C187" s="14"/>
    </row>
    <row r="188" spans="1:4" x14ac:dyDescent="0.3">
      <c r="A188" s="2" t="s">
        <v>36</v>
      </c>
      <c r="B188" s="2" t="s">
        <v>5</v>
      </c>
      <c r="C188" s="2" t="s">
        <v>41</v>
      </c>
    </row>
    <row r="189" spans="1:4" x14ac:dyDescent="0.3">
      <c r="A189" s="4">
        <v>-2.2661391228191441E-2</v>
      </c>
      <c r="B189" s="4">
        <f>1/9-0.5/9</f>
        <v>5.5555555555555552E-2</v>
      </c>
      <c r="C189" s="4">
        <f t="shared" ref="C189:C197" si="20">4.91*(B189^0.14-(1-B189)^0.14)</f>
        <v>-1.5948702548629692</v>
      </c>
    </row>
    <row r="190" spans="1:4" x14ac:dyDescent="0.3">
      <c r="A190" s="4">
        <v>-2.0895925606171595E-2</v>
      </c>
      <c r="B190" s="4">
        <f t="shared" ref="B190:B197" si="21">B189+1/9</f>
        <v>0.16666666666666666</v>
      </c>
      <c r="C190" s="4">
        <f t="shared" si="20"/>
        <v>-0.96558119772402384</v>
      </c>
    </row>
    <row r="191" spans="1:4" x14ac:dyDescent="0.3">
      <c r="A191" s="4">
        <v>-1.5496194921760242E-2</v>
      </c>
      <c r="B191" s="4">
        <f t="shared" si="21"/>
        <v>0.27777777777777779</v>
      </c>
      <c r="C191" s="4">
        <f t="shared" si="20"/>
        <v>-0.58740139704861805</v>
      </c>
    </row>
    <row r="192" spans="1:4" x14ac:dyDescent="0.3">
      <c r="A192" s="4">
        <v>-7.1568896440385998E-3</v>
      </c>
      <c r="B192" s="4">
        <f t="shared" si="21"/>
        <v>0.3888888888888889</v>
      </c>
      <c r="C192" s="4">
        <f t="shared" si="20"/>
        <v>-0.28101035460789436</v>
      </c>
    </row>
    <row r="193" spans="1:3" x14ac:dyDescent="0.3">
      <c r="A193" s="4">
        <v>-6.4132720128196041E-3</v>
      </c>
      <c r="B193" s="4">
        <f t="shared" si="21"/>
        <v>0.5</v>
      </c>
      <c r="C193" s="4">
        <f t="shared" si="20"/>
        <v>0</v>
      </c>
    </row>
    <row r="194" spans="1:3" x14ac:dyDescent="0.3">
      <c r="A194" s="4">
        <v>1.3081334141658019E-3</v>
      </c>
      <c r="B194" s="4">
        <f t="shared" si="21"/>
        <v>0.61111111111111116</v>
      </c>
      <c r="C194" s="4">
        <f t="shared" si="20"/>
        <v>0.28101035460789436</v>
      </c>
    </row>
    <row r="195" spans="1:3" x14ac:dyDescent="0.3">
      <c r="A195" s="4">
        <v>1.1798305975765366E-2</v>
      </c>
      <c r="B195" s="4">
        <f t="shared" si="21"/>
        <v>0.72222222222222232</v>
      </c>
      <c r="C195" s="4">
        <f t="shared" si="20"/>
        <v>0.5874013970486186</v>
      </c>
    </row>
    <row r="196" spans="1:3" x14ac:dyDescent="0.3">
      <c r="A196" s="4">
        <v>2.5173066409341693E-2</v>
      </c>
      <c r="B196" s="4">
        <f t="shared" si="21"/>
        <v>0.83333333333333348</v>
      </c>
      <c r="C196" s="4">
        <f t="shared" si="20"/>
        <v>0.96558119772402384</v>
      </c>
    </row>
    <row r="197" spans="1:3" x14ac:dyDescent="0.3">
      <c r="A197" s="4">
        <v>3.4848726863156543E-2</v>
      </c>
      <c r="B197" s="4">
        <f t="shared" si="21"/>
        <v>0.94444444444444464</v>
      </c>
      <c r="C197" s="4">
        <f t="shared" si="20"/>
        <v>1.5948702548629707</v>
      </c>
    </row>
    <row r="199" spans="1:3" x14ac:dyDescent="0.3">
      <c r="A199" s="14" t="s">
        <v>42</v>
      </c>
      <c r="B199" s="14"/>
    </row>
    <row r="200" spans="1:3" x14ac:dyDescent="0.3">
      <c r="A200" s="2" t="s">
        <v>36</v>
      </c>
      <c r="B200" s="2" t="s">
        <v>43</v>
      </c>
    </row>
    <row r="201" spans="1:3" x14ac:dyDescent="0.3">
      <c r="A201" s="4">
        <v>2.5173066409341693E-2</v>
      </c>
      <c r="B201" s="4">
        <f t="shared" ref="B201:B209" si="22">B173*$C$185+$D$185</f>
        <v>-3.9209699999999996</v>
      </c>
    </row>
    <row r="202" spans="1:3" x14ac:dyDescent="0.3">
      <c r="A202" s="4">
        <v>1.1798305975765366E-2</v>
      </c>
      <c r="B202" s="4">
        <f t="shared" si="22"/>
        <v>-3.8007649999999997</v>
      </c>
    </row>
    <row r="203" spans="1:3" x14ac:dyDescent="0.3">
      <c r="A203" s="4">
        <v>-6.4132720128196041E-3</v>
      </c>
      <c r="B203" s="4">
        <f t="shared" si="22"/>
        <v>-3.6805599999999998</v>
      </c>
    </row>
    <row r="204" spans="1:3" x14ac:dyDescent="0.3">
      <c r="A204" s="4">
        <v>-1.5496194921760242E-2</v>
      </c>
      <c r="B204" s="4">
        <f t="shared" si="22"/>
        <v>-3.5603549999999995</v>
      </c>
    </row>
    <row r="205" spans="1:3" x14ac:dyDescent="0.3">
      <c r="A205" s="4">
        <v>-2.2661391228191441E-2</v>
      </c>
      <c r="B205" s="4">
        <f t="shared" si="22"/>
        <v>-3.44015</v>
      </c>
    </row>
    <row r="206" spans="1:3" x14ac:dyDescent="0.3">
      <c r="A206" s="4">
        <v>-2.0895925606171595E-2</v>
      </c>
      <c r="B206" s="4">
        <f t="shared" si="22"/>
        <v>-3.3199449999999997</v>
      </c>
    </row>
    <row r="207" spans="1:3" x14ac:dyDescent="0.3">
      <c r="A207" s="4">
        <v>-7.1568896440385998E-3</v>
      </c>
      <c r="B207" s="4">
        <f t="shared" si="22"/>
        <v>-3.1997399999999998</v>
      </c>
    </row>
    <row r="208" spans="1:3" x14ac:dyDescent="0.3">
      <c r="A208" s="4">
        <v>1.3081334141658019E-3</v>
      </c>
      <c r="B208" s="4">
        <f t="shared" si="22"/>
        <v>-3.0795349999999999</v>
      </c>
    </row>
    <row r="209" spans="1:12" x14ac:dyDescent="0.3">
      <c r="A209" s="4">
        <v>3.4848726863156543E-2</v>
      </c>
      <c r="B209" s="4">
        <f t="shared" si="22"/>
        <v>-2.9593299999999996</v>
      </c>
    </row>
    <row r="211" spans="1:12" x14ac:dyDescent="0.3">
      <c r="A211" s="14" t="s">
        <v>44</v>
      </c>
      <c r="B211" s="14"/>
    </row>
    <row r="212" spans="1:12" x14ac:dyDescent="0.3">
      <c r="A212" s="2" t="s">
        <v>36</v>
      </c>
      <c r="B212" s="2" t="s">
        <v>45</v>
      </c>
    </row>
    <row r="213" spans="1:12" x14ac:dyDescent="0.3">
      <c r="A213" s="4">
        <v>2.5173066409341693E-2</v>
      </c>
      <c r="B213" s="4">
        <v>1</v>
      </c>
    </row>
    <row r="214" spans="1:12" x14ac:dyDescent="0.3">
      <c r="A214" s="4">
        <v>1.1798305975765366E-2</v>
      </c>
      <c r="B214" s="4">
        <v>2</v>
      </c>
    </row>
    <row r="215" spans="1:12" x14ac:dyDescent="0.3">
      <c r="A215" s="4">
        <v>-6.4132720128196041E-3</v>
      </c>
      <c r="B215" s="4">
        <v>3</v>
      </c>
    </row>
    <row r="216" spans="1:12" x14ac:dyDescent="0.3">
      <c r="A216" s="4">
        <v>-1.5496194921760242E-2</v>
      </c>
      <c r="B216" s="4">
        <v>4</v>
      </c>
    </row>
    <row r="217" spans="1:12" x14ac:dyDescent="0.3">
      <c r="A217" s="4">
        <v>-2.2661391228191441E-2</v>
      </c>
      <c r="B217" s="4">
        <v>5</v>
      </c>
    </row>
    <row r="218" spans="1:12" x14ac:dyDescent="0.3">
      <c r="A218" s="4">
        <v>-2.0895925606171595E-2</v>
      </c>
      <c r="B218" s="4">
        <v>6</v>
      </c>
    </row>
    <row r="219" spans="1:12" x14ac:dyDescent="0.3">
      <c r="A219" s="4">
        <v>-7.1568896440385998E-3</v>
      </c>
      <c r="B219" s="4">
        <v>7</v>
      </c>
    </row>
    <row r="220" spans="1:12" x14ac:dyDescent="0.3">
      <c r="A220" s="4">
        <v>1.3081334141658019E-3</v>
      </c>
      <c r="B220" s="4">
        <v>8</v>
      </c>
    </row>
    <row r="221" spans="1:12" x14ac:dyDescent="0.3">
      <c r="A221" s="4">
        <v>3.4848726863156543E-2</v>
      </c>
      <c r="B221" s="4">
        <v>9</v>
      </c>
    </row>
    <row r="224" spans="1:12" x14ac:dyDescent="0.3">
      <c r="A224" s="14" t="s">
        <v>46</v>
      </c>
      <c r="B224" s="14"/>
      <c r="C224" s="14"/>
      <c r="E224" s="2" t="s">
        <v>47</v>
      </c>
      <c r="F224" s="2" t="s">
        <v>48</v>
      </c>
      <c r="G224" s="2" t="s">
        <v>49</v>
      </c>
      <c r="H224" s="2" t="s">
        <v>50</v>
      </c>
      <c r="L224" s="2" t="s">
        <v>51</v>
      </c>
    </row>
    <row r="225" spans="1:12" x14ac:dyDescent="0.3">
      <c r="A225" s="2"/>
      <c r="B225" s="2" t="s">
        <v>38</v>
      </c>
      <c r="C225" s="2" t="s">
        <v>39</v>
      </c>
      <c r="E225" s="4">
        <v>2.3650000000000002</v>
      </c>
      <c r="F225" s="4">
        <f>SUM(D173*D173,D174*D174,D175*D175,D176*D176,D177*D177,D178*D178,D179*D179,D180*D180,D181*D181)</f>
        <v>3.2716599095286144E-3</v>
      </c>
      <c r="G225" s="4">
        <f>SUM(C173:C181)/9</f>
        <v>-3.4401439378611727</v>
      </c>
      <c r="H225" s="4">
        <f>SUM(C173*C173,C174*C174,C175*C175,C176*C176,C177*C177,C178*C178,C179*C179,C180*C180,C181*C181)-9*G225*G225</f>
        <v>0.87023703755767201</v>
      </c>
      <c r="L225" s="4">
        <f t="shared" ref="L225:L233" si="23">(C173-G$225)^2</f>
        <v>0.20764699259699784</v>
      </c>
    </row>
    <row r="226" spans="1:12" x14ac:dyDescent="0.3">
      <c r="A226" s="2" t="s">
        <v>52</v>
      </c>
      <c r="B226" s="4">
        <f>$C$185+$E$225*SQRT(($F$225/7)*(1/$H$225))</f>
        <v>240.46480843730384</v>
      </c>
      <c r="C226" s="4">
        <f>$D$185+$E$225*SQRT(($F$225/(9*7))*(($G$225^2)/$H$225))</f>
        <v>-4.579350362221831</v>
      </c>
      <c r="L226" s="4">
        <f t="shared" si="23"/>
        <v>0.12170173403512652</v>
      </c>
    </row>
    <row r="227" spans="1:12" x14ac:dyDescent="0.3">
      <c r="A227" s="2" t="s">
        <v>53</v>
      </c>
      <c r="B227" s="4">
        <f>$C$185-$E$225*SQRT(($F$225/7)*(1/$H$225))</f>
        <v>240.35519156269615</v>
      </c>
      <c r="C227" s="4">
        <f>$D$185-$E$225*SQRT(($F$225/(9*7))*(($G$225^2)/$H$225))</f>
        <v>-4.7050496377781688</v>
      </c>
      <c r="E227" s="2" t="s">
        <v>54</v>
      </c>
      <c r="F227" s="2" t="s">
        <v>55</v>
      </c>
      <c r="L227" s="4">
        <f t="shared" si="23"/>
        <v>6.0944468144477335E-2</v>
      </c>
    </row>
    <row r="228" spans="1:12" x14ac:dyDescent="0.3">
      <c r="E228" s="4">
        <f>SUM(L225:L233)</f>
        <v>0.87023703755770465</v>
      </c>
      <c r="F228" s="4">
        <f>($E$228 - $F$225)/$E$228</f>
        <v>0.9962404956714892</v>
      </c>
      <c r="L228" s="4">
        <f t="shared" si="23"/>
        <v>1.8428675297043728E-2</v>
      </c>
    </row>
    <row r="229" spans="1:12" x14ac:dyDescent="0.3">
      <c r="A229" s="14" t="s">
        <v>56</v>
      </c>
      <c r="B229" s="14"/>
      <c r="C229" s="14"/>
      <c r="L229" s="4">
        <f t="shared" si="23"/>
        <v>5.1608268748264867E-4</v>
      </c>
    </row>
    <row r="230" spans="1:12" x14ac:dyDescent="0.3">
      <c r="A230" s="2" t="s">
        <v>43</v>
      </c>
      <c r="B230" s="2" t="s">
        <v>11</v>
      </c>
      <c r="C230" s="2" t="s">
        <v>10</v>
      </c>
      <c r="L230" s="4">
        <f t="shared" si="23"/>
        <v>9.8501679365689647E-3</v>
      </c>
    </row>
    <row r="231" spans="1:12" x14ac:dyDescent="0.3">
      <c r="A231" s="4">
        <f>B201</f>
        <v>-3.9209699999999996</v>
      </c>
      <c r="B231" s="4">
        <f t="shared" ref="B231:B239" si="24">$A231-$E$225*SQRT(($F$225/7)*(1 + 1/9+(($B173-$G$225)^2)/$H$225))</f>
        <v>-4.1172283705022554</v>
      </c>
      <c r="C231" s="4">
        <f t="shared" ref="C231:C239" si="25">$A231+$E$225*SQRT(($F$225/7)*(1 + 1/9+(($B173-$G$225)^2)/$H$225))</f>
        <v>-3.7247116294977438</v>
      </c>
      <c r="L231" s="4">
        <f t="shared" si="23"/>
        <v>5.4376199456220124E-2</v>
      </c>
    </row>
    <row r="232" spans="1:12" x14ac:dyDescent="0.3">
      <c r="A232" s="4">
        <f t="shared" ref="A232:A239" si="26">B202</f>
        <v>-3.8007649999999997</v>
      </c>
      <c r="B232" s="4">
        <f t="shared" si="24"/>
        <v>-3.9970497213269067</v>
      </c>
      <c r="C232" s="4">
        <f t="shared" si="25"/>
        <v>-3.6044802786730927</v>
      </c>
      <c r="L232" s="4">
        <f t="shared" si="23"/>
        <v>0.13093692148625255</v>
      </c>
    </row>
    <row r="233" spans="1:12" x14ac:dyDescent="0.3">
      <c r="A233" s="4">
        <f t="shared" si="26"/>
        <v>-3.6805599999999998</v>
      </c>
      <c r="B233" s="4">
        <f t="shared" si="24"/>
        <v>-3.8768710724400046</v>
      </c>
      <c r="C233" s="4">
        <f t="shared" si="25"/>
        <v>-3.484248927559995</v>
      </c>
      <c r="L233" s="4">
        <f t="shared" si="23"/>
        <v>0.26583579591753498</v>
      </c>
    </row>
    <row r="234" spans="1:12" x14ac:dyDescent="0.3">
      <c r="A234" s="4">
        <f t="shared" si="26"/>
        <v>-3.5603549999999995</v>
      </c>
      <c r="B234" s="4">
        <f t="shared" si="24"/>
        <v>-3.7566924238414319</v>
      </c>
      <c r="C234" s="4">
        <f t="shared" si="25"/>
        <v>-3.3640175761585671</v>
      </c>
    </row>
    <row r="235" spans="1:12" x14ac:dyDescent="0.3">
      <c r="A235" s="4">
        <f t="shared" si="26"/>
        <v>-3.44015</v>
      </c>
      <c r="B235" s="4">
        <f t="shared" si="24"/>
        <v>-3.6365137755310748</v>
      </c>
      <c r="C235" s="4">
        <f t="shared" si="25"/>
        <v>-3.2437862244689253</v>
      </c>
    </row>
    <row r="236" spans="1:12" x14ac:dyDescent="0.3">
      <c r="A236" s="4">
        <f t="shared" si="26"/>
        <v>-3.3199449999999997</v>
      </c>
      <c r="B236" s="4">
        <f t="shared" si="24"/>
        <v>-3.5163351275088148</v>
      </c>
      <c r="C236" s="4">
        <f t="shared" si="25"/>
        <v>-3.1235548724911846</v>
      </c>
    </row>
    <row r="237" spans="1:12" x14ac:dyDescent="0.3">
      <c r="A237" s="4">
        <f t="shared" si="26"/>
        <v>-3.1997399999999998</v>
      </c>
      <c r="B237" s="4">
        <f t="shared" si="24"/>
        <v>-3.3961564797745378</v>
      </c>
      <c r="C237" s="4">
        <f t="shared" si="25"/>
        <v>-3.0033235202254618</v>
      </c>
    </row>
    <row r="238" spans="1:12" x14ac:dyDescent="0.3">
      <c r="A238" s="4">
        <f t="shared" si="26"/>
        <v>-3.0795349999999999</v>
      </c>
      <c r="B238" s="4">
        <f t="shared" si="24"/>
        <v>-3.2759778323281274</v>
      </c>
      <c r="C238" s="4">
        <f t="shared" si="25"/>
        <v>-2.8830921676718724</v>
      </c>
    </row>
    <row r="239" spans="1:12" x14ac:dyDescent="0.3">
      <c r="A239" s="4">
        <f t="shared" si="26"/>
        <v>-2.9593299999999996</v>
      </c>
      <c r="B239" s="4">
        <f t="shared" si="24"/>
        <v>-3.1557991851694664</v>
      </c>
      <c r="C239" s="4">
        <f t="shared" si="25"/>
        <v>-2.7628608148305327</v>
      </c>
    </row>
    <row r="240" spans="1:12" x14ac:dyDescent="0.3">
      <c r="C240" s="4"/>
    </row>
    <row r="241" spans="1:7" x14ac:dyDescent="0.3">
      <c r="A241" s="2"/>
      <c r="B241" s="2"/>
      <c r="C241" s="2"/>
      <c r="D241" s="2"/>
      <c r="F241" s="8"/>
      <c r="G241" s="8"/>
    </row>
    <row r="242" spans="1:7" x14ac:dyDescent="0.3">
      <c r="A242" s="2"/>
      <c r="C242" s="4"/>
      <c r="F242" s="2"/>
      <c r="G242" s="2"/>
    </row>
    <row r="243" spans="1:7" x14ac:dyDescent="0.3">
      <c r="A243" s="11"/>
      <c r="C243" s="4"/>
    </row>
    <row r="244" spans="1:7" x14ac:dyDescent="0.3">
      <c r="A244" s="11"/>
      <c r="C244" s="4"/>
    </row>
    <row r="245" spans="1:7" x14ac:dyDescent="0.3">
      <c r="A245" s="11"/>
      <c r="C245" s="4"/>
    </row>
    <row r="246" spans="1:7" x14ac:dyDescent="0.3">
      <c r="A246" s="11"/>
      <c r="C246" s="4"/>
    </row>
    <row r="247" spans="1:7" x14ac:dyDescent="0.3">
      <c r="A247" s="11"/>
      <c r="C247" s="4"/>
    </row>
    <row r="248" spans="1:7" x14ac:dyDescent="0.3">
      <c r="A248" s="11"/>
      <c r="C248" s="4"/>
    </row>
    <row r="249" spans="1:7" x14ac:dyDescent="0.3">
      <c r="A249" s="11"/>
      <c r="C249" s="4"/>
    </row>
    <row r="250" spans="1:7" x14ac:dyDescent="0.3">
      <c r="A250" s="11"/>
      <c r="C250" s="4"/>
    </row>
    <row r="251" spans="1:7" x14ac:dyDescent="0.3">
      <c r="C251" s="4"/>
    </row>
    <row r="252" spans="1:7" x14ac:dyDescent="0.3">
      <c r="A252" s="2"/>
      <c r="C252" s="4"/>
    </row>
    <row r="253" spans="1:7" x14ac:dyDescent="0.3">
      <c r="A253" s="2"/>
      <c r="C253" s="15"/>
      <c r="D253" s="15"/>
    </row>
    <row r="254" spans="1:7" x14ac:dyDescent="0.3">
      <c r="A254" s="2"/>
      <c r="C254" s="2"/>
      <c r="D254" s="2"/>
    </row>
    <row r="255" spans="1:7" x14ac:dyDescent="0.3">
      <c r="A255" s="2"/>
      <c r="C255" s="4"/>
    </row>
    <row r="256" spans="1:7" x14ac:dyDescent="0.3">
      <c r="A256" s="2"/>
      <c r="C256" s="4"/>
    </row>
    <row r="257" spans="1:3" x14ac:dyDescent="0.3">
      <c r="A257" s="8"/>
      <c r="B257" s="8"/>
      <c r="C257" s="8"/>
    </row>
    <row r="258" spans="1:3" x14ac:dyDescent="0.3">
      <c r="A258" s="2"/>
      <c r="B258" s="2"/>
      <c r="C258" s="2"/>
    </row>
    <row r="259" spans="1:3" x14ac:dyDescent="0.3">
      <c r="C259" s="4"/>
    </row>
    <row r="260" spans="1:3" x14ac:dyDescent="0.3">
      <c r="C260" s="4"/>
    </row>
    <row r="261" spans="1:3" x14ac:dyDescent="0.3">
      <c r="C261" s="4"/>
    </row>
    <row r="262" spans="1:3" x14ac:dyDescent="0.3">
      <c r="C262" s="4"/>
    </row>
    <row r="263" spans="1:3" x14ac:dyDescent="0.3">
      <c r="C263" s="4"/>
    </row>
    <row r="264" spans="1:3" x14ac:dyDescent="0.3">
      <c r="C264" s="4"/>
    </row>
    <row r="265" spans="1:3" x14ac:dyDescent="0.3">
      <c r="C265" s="4"/>
    </row>
    <row r="266" spans="1:3" x14ac:dyDescent="0.3">
      <c r="C266" s="4"/>
    </row>
    <row r="267" spans="1:3" x14ac:dyDescent="0.3">
      <c r="C267" s="4"/>
    </row>
    <row r="268" spans="1:3" x14ac:dyDescent="0.3">
      <c r="C268" s="4"/>
    </row>
    <row r="270" spans="1:3" x14ac:dyDescent="0.3">
      <c r="A270" s="15"/>
      <c r="B270" s="15"/>
    </row>
    <row r="271" spans="1:3" x14ac:dyDescent="0.3">
      <c r="A271" s="2"/>
      <c r="B271" s="2"/>
    </row>
    <row r="283" spans="1:2" x14ac:dyDescent="0.3">
      <c r="A283" s="15"/>
      <c r="B283" s="15"/>
    </row>
    <row r="284" spans="1:2" x14ac:dyDescent="0.3">
      <c r="A284" s="2"/>
      <c r="B284" s="2"/>
    </row>
    <row r="297" spans="1:3" x14ac:dyDescent="0.3">
      <c r="A297" s="15"/>
      <c r="B297" s="15"/>
      <c r="C297" s="15"/>
    </row>
    <row r="298" spans="1:3" x14ac:dyDescent="0.3">
      <c r="A298" s="2"/>
      <c r="B298" s="2"/>
      <c r="C298" s="2"/>
    </row>
    <row r="299" spans="1:3" x14ac:dyDescent="0.3">
      <c r="A299" s="2"/>
    </row>
    <row r="300" spans="1:3" x14ac:dyDescent="0.3">
      <c r="A300" s="2"/>
    </row>
  </sheetData>
  <sortState xmlns:xlrd2="http://schemas.microsoft.com/office/spreadsheetml/2017/richdata2" ref="A189:A197">
    <sortCondition ref="A189:A197"/>
  </sortState>
  <mergeCells count="12">
    <mergeCell ref="A297:C297"/>
    <mergeCell ref="A156:C156"/>
    <mergeCell ref="A171:D171"/>
    <mergeCell ref="C183:D183"/>
    <mergeCell ref="A187:C187"/>
    <mergeCell ref="A199:B199"/>
    <mergeCell ref="A211:B211"/>
    <mergeCell ref="A224:C224"/>
    <mergeCell ref="C253:D253"/>
    <mergeCell ref="A270:B270"/>
    <mergeCell ref="A283:B283"/>
    <mergeCell ref="A229:C2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3D8FF-A226-42D5-94F8-01BA3F598CB7}">
  <dimension ref="A1:L402"/>
  <sheetViews>
    <sheetView tabSelected="1" topLeftCell="A291" workbookViewId="0">
      <selection activeCell="I317" sqref="I317"/>
    </sheetView>
  </sheetViews>
  <sheetFormatPr defaultColWidth="9.109375" defaultRowHeight="14.4" x14ac:dyDescent="0.3"/>
  <cols>
    <col min="1" max="1" width="29.109375" style="4" customWidth="1"/>
    <col min="2" max="2" width="17.33203125" style="4" customWidth="1"/>
    <col min="3" max="3" width="17" style="9" customWidth="1"/>
    <col min="4" max="4" width="28" style="4" customWidth="1"/>
    <col min="5" max="5" width="16.88671875" style="4" customWidth="1"/>
    <col min="6" max="6" width="25.109375" style="4" customWidth="1"/>
    <col min="7" max="7" width="9.109375" style="4"/>
    <col min="8" max="8" width="21" style="4" customWidth="1"/>
    <col min="9" max="9" width="15.6640625" style="4" customWidth="1"/>
    <col min="10" max="10" width="15.88671875" style="4" customWidth="1"/>
    <col min="11" max="11" width="14.5546875" style="4" customWidth="1"/>
    <col min="12" max="12" width="14.109375" style="4" customWidth="1"/>
    <col min="13" max="16384" width="9.109375" style="4"/>
  </cols>
  <sheetData>
    <row r="1" spans="1:11" x14ac:dyDescent="0.3">
      <c r="A1" s="2" t="s">
        <v>74</v>
      </c>
      <c r="C1" s="8" t="s">
        <v>1</v>
      </c>
      <c r="D1" s="2" t="s">
        <v>2</v>
      </c>
      <c r="E1" s="2" t="s">
        <v>3</v>
      </c>
      <c r="H1" s="2" t="s">
        <v>4</v>
      </c>
      <c r="I1" s="2" t="s">
        <v>5</v>
      </c>
      <c r="J1" s="2" t="s">
        <v>6</v>
      </c>
      <c r="K1" s="2"/>
    </row>
    <row r="2" spans="1:11" x14ac:dyDescent="0.3">
      <c r="A2" s="5">
        <v>5.9864300560022003E-3</v>
      </c>
      <c r="C2" s="9">
        <f>AVERAGE(A2:A16)</f>
        <v>5.9380878312944195E-3</v>
      </c>
      <c r="D2" s="4">
        <f>_xlfn.VAR.S(A2:A16)</f>
        <v>6.071301524713794E-10</v>
      </c>
      <c r="E2" s="4">
        <f>SQRT(D2)/C2</f>
        <v>4.1494858127570514E-3</v>
      </c>
      <c r="H2" s="5">
        <v>5.9039510688023997E-3</v>
      </c>
      <c r="I2" s="4">
        <f>1/15 - 0.5/15</f>
        <v>3.3333333333333333E-2</v>
      </c>
      <c r="J2" s="4">
        <f t="shared" ref="J2:J16" si="0">4.91*(I2^0.14-(1-I2)^0.14)</f>
        <v>-1.836858897688687</v>
      </c>
    </row>
    <row r="3" spans="1:11" x14ac:dyDescent="0.3">
      <c r="A3" s="5">
        <v>5.9603947717543002E-3</v>
      </c>
      <c r="H3" s="5">
        <v>5.9102327386237998E-3</v>
      </c>
      <c r="I3" s="4">
        <f>I2+1/15</f>
        <v>0.1</v>
      </c>
      <c r="J3" s="4">
        <f t="shared" si="0"/>
        <v>-1.2811261510381207</v>
      </c>
    </row>
    <row r="4" spans="1:11" x14ac:dyDescent="0.3">
      <c r="A4" s="5">
        <v>5.9506190898324001E-3</v>
      </c>
      <c r="C4" s="8" t="s">
        <v>7</v>
      </c>
      <c r="E4" s="2" t="s">
        <v>8</v>
      </c>
      <c r="H4" s="5">
        <v>5.9157349342697004E-3</v>
      </c>
      <c r="I4" s="4">
        <f t="shared" ref="I4:I16" si="1">I3+1/15</f>
        <v>0.16666666666666669</v>
      </c>
      <c r="J4" s="4">
        <f t="shared" si="0"/>
        <v>-0.96558119772402384</v>
      </c>
    </row>
    <row r="5" spans="1:11" x14ac:dyDescent="0.3">
      <c r="A5" s="5">
        <v>5.9039510688023997E-3</v>
      </c>
      <c r="C5" s="9">
        <f>MEDIAN(A2:A16)</f>
        <v>5.9316881257201002E-3</v>
      </c>
      <c r="E5" s="4">
        <v>2.145</v>
      </c>
      <c r="H5" s="5">
        <v>5.9182073658740003E-3</v>
      </c>
      <c r="I5" s="4">
        <f t="shared" si="1"/>
        <v>0.23333333333333334</v>
      </c>
      <c r="J5" s="4">
        <f t="shared" si="0"/>
        <v>-0.72575040815577163</v>
      </c>
    </row>
    <row r="6" spans="1:11" x14ac:dyDescent="0.3">
      <c r="A6" s="5">
        <v>5.9678320422659002E-3</v>
      </c>
      <c r="H6" s="5">
        <v>5.9201713110768996E-3</v>
      </c>
      <c r="I6" s="4">
        <f t="shared" si="1"/>
        <v>0.3</v>
      </c>
      <c r="J6" s="4">
        <f t="shared" si="0"/>
        <v>-0.52246305252576009</v>
      </c>
    </row>
    <row r="7" spans="1:11" x14ac:dyDescent="0.3">
      <c r="A7" s="5">
        <v>5.9201713110768996E-3</v>
      </c>
      <c r="C7" s="8"/>
      <c r="D7" s="2" t="s">
        <v>9</v>
      </c>
      <c r="H7" s="5">
        <v>5.9236366692217999E-3</v>
      </c>
      <c r="I7" s="4">
        <f t="shared" si="1"/>
        <v>0.36666666666666664</v>
      </c>
      <c r="J7" s="4">
        <f t="shared" si="0"/>
        <v>-0.33927638280750583</v>
      </c>
    </row>
    <row r="8" spans="1:11" x14ac:dyDescent="0.3">
      <c r="A8" s="5">
        <v>5.9647605797588004E-3</v>
      </c>
      <c r="C8" s="8" t="s">
        <v>10</v>
      </c>
      <c r="D8" s="4">
        <f>C2+E5*SQRT(D2)/(SQRT(15))</f>
        <v>5.9517343717834341E-3</v>
      </c>
      <c r="H8" s="5">
        <v>5.9266758837765001E-3</v>
      </c>
      <c r="I8" s="4">
        <f t="shared" si="1"/>
        <v>0.43333333333333329</v>
      </c>
      <c r="J8" s="4">
        <f t="shared" si="0"/>
        <v>-0.16715058832373922</v>
      </c>
    </row>
    <row r="9" spans="1:11" x14ac:dyDescent="0.3">
      <c r="A9" s="5">
        <v>5.9236366692217999E-3</v>
      </c>
      <c r="C9" s="8" t="s">
        <v>11</v>
      </c>
      <c r="D9" s="4">
        <f>C2-E5*SQRT(D2)/(SQRT(15))</f>
        <v>5.9244412908054048E-3</v>
      </c>
      <c r="H9" s="5">
        <v>5.9316881257201002E-3</v>
      </c>
      <c r="I9" s="4">
        <f t="shared" si="1"/>
        <v>0.49999999999999994</v>
      </c>
      <c r="J9" s="4">
        <f t="shared" si="0"/>
        <v>0</v>
      </c>
    </row>
    <row r="10" spans="1:11" x14ac:dyDescent="0.3">
      <c r="A10" s="5">
        <v>5.9316881257201002E-3</v>
      </c>
      <c r="H10" s="5">
        <v>5.9339739628575996E-3</v>
      </c>
      <c r="I10" s="4">
        <f t="shared" si="1"/>
        <v>0.56666666666666665</v>
      </c>
      <c r="J10" s="4">
        <f t="shared" si="0"/>
        <v>0.16715058832373922</v>
      </c>
    </row>
    <row r="11" spans="1:11" x14ac:dyDescent="0.3">
      <c r="A11" s="5">
        <v>5.9266758837765001E-3</v>
      </c>
      <c r="H11" s="5">
        <v>5.9506190898324001E-3</v>
      </c>
      <c r="I11" s="4">
        <f t="shared" si="1"/>
        <v>0.6333333333333333</v>
      </c>
      <c r="J11" s="4">
        <f t="shared" si="0"/>
        <v>0.33927638280750583</v>
      </c>
    </row>
    <row r="12" spans="1:11" x14ac:dyDescent="0.3">
      <c r="A12" s="5">
        <v>5.9182073658740003E-3</v>
      </c>
      <c r="H12" s="5">
        <v>5.9570088695799E-3</v>
      </c>
      <c r="I12" s="4">
        <f t="shared" si="1"/>
        <v>0.7</v>
      </c>
      <c r="J12" s="4">
        <f t="shared" si="0"/>
        <v>0.52246305252576009</v>
      </c>
    </row>
    <row r="13" spans="1:11" x14ac:dyDescent="0.3">
      <c r="A13" s="5">
        <v>5.9157349342697004E-3</v>
      </c>
      <c r="H13" s="5">
        <v>5.9603947717543002E-3</v>
      </c>
      <c r="I13" s="4">
        <f t="shared" si="1"/>
        <v>0.76666666666666661</v>
      </c>
      <c r="J13" s="4">
        <f t="shared" si="0"/>
        <v>0.72575040815577163</v>
      </c>
    </row>
    <row r="14" spans="1:11" x14ac:dyDescent="0.3">
      <c r="A14" s="5">
        <v>5.9570088695799E-3</v>
      </c>
      <c r="H14" s="5">
        <v>5.9647605797588004E-3</v>
      </c>
      <c r="I14" s="4">
        <f t="shared" si="1"/>
        <v>0.83333333333333326</v>
      </c>
      <c r="J14" s="4">
        <f t="shared" si="0"/>
        <v>0.96558119772402329</v>
      </c>
    </row>
    <row r="15" spans="1:11" x14ac:dyDescent="0.3">
      <c r="A15" s="5">
        <v>5.9102327386237998E-3</v>
      </c>
      <c r="H15" s="5">
        <v>5.9678320422659002E-3</v>
      </c>
      <c r="I15" s="4">
        <f t="shared" si="1"/>
        <v>0.89999999999999991</v>
      </c>
      <c r="J15" s="4">
        <f t="shared" si="0"/>
        <v>1.2811261510381207</v>
      </c>
    </row>
    <row r="16" spans="1:11" x14ac:dyDescent="0.3">
      <c r="A16" s="5">
        <v>5.9339739628575996E-3</v>
      </c>
      <c r="H16" s="5">
        <v>5.9864300560022003E-3</v>
      </c>
      <c r="I16" s="4">
        <f t="shared" si="1"/>
        <v>0.96666666666666656</v>
      </c>
      <c r="J16" s="4">
        <f t="shared" si="0"/>
        <v>1.8368588976886859</v>
      </c>
    </row>
    <row r="17" spans="1:10" s="3" customFormat="1" ht="3.75" customHeight="1" x14ac:dyDescent="0.3">
      <c r="C17" s="10"/>
    </row>
    <row r="18" spans="1:10" x14ac:dyDescent="0.3">
      <c r="A18" s="2" t="s">
        <v>75</v>
      </c>
      <c r="C18" s="8" t="s">
        <v>1</v>
      </c>
      <c r="D18" s="2" t="s">
        <v>2</v>
      </c>
      <c r="E18" s="2" t="s">
        <v>3</v>
      </c>
      <c r="F18" s="2"/>
      <c r="G18" s="2"/>
      <c r="H18" s="2" t="s">
        <v>4</v>
      </c>
      <c r="I18" s="2" t="s">
        <v>5</v>
      </c>
      <c r="J18" s="2" t="s">
        <v>6</v>
      </c>
    </row>
    <row r="19" spans="1:10" x14ac:dyDescent="0.3">
      <c r="A19" s="6">
        <v>8.5580215421429007E-3</v>
      </c>
      <c r="C19" s="9">
        <f>AVERAGE(A19:A33)</f>
        <v>8.5713914076581601E-3</v>
      </c>
      <c r="D19" s="4">
        <f>_xlfn.VAR.S(A19:A33)</f>
        <v>1.8639272471266489E-9</v>
      </c>
      <c r="E19" s="4">
        <f>SQRT(D19)/C19</f>
        <v>5.0368979405264972E-3</v>
      </c>
      <c r="H19" s="6">
        <v>8.4870919729432993E-3</v>
      </c>
      <c r="I19" s="4">
        <f>1/15 - 0.5/15</f>
        <v>3.3333333333333333E-2</v>
      </c>
      <c r="J19" s="4">
        <f t="shared" ref="J19:J33" si="2">4.91*(I19^0.14-(1-I19)^0.14)</f>
        <v>-1.836858897688687</v>
      </c>
    </row>
    <row r="20" spans="1:10" x14ac:dyDescent="0.3">
      <c r="A20" s="6">
        <v>8.5499490593693994E-3</v>
      </c>
      <c r="H20" s="6">
        <v>8.5201793677645993E-3</v>
      </c>
      <c r="I20" s="4">
        <f>I19+1/15</f>
        <v>0.1</v>
      </c>
      <c r="J20" s="4">
        <f t="shared" si="2"/>
        <v>-1.2811261510381207</v>
      </c>
    </row>
    <row r="21" spans="1:10" x14ac:dyDescent="0.3">
      <c r="A21" s="6">
        <v>8.5734874189341993E-3</v>
      </c>
      <c r="C21" s="8" t="s">
        <v>7</v>
      </c>
      <c r="E21" s="2" t="s">
        <v>8</v>
      </c>
      <c r="H21" s="6">
        <v>8.5436515997604004E-3</v>
      </c>
      <c r="I21" s="4">
        <f t="shared" ref="I21:I33" si="3">I20+1/15</f>
        <v>0.16666666666666669</v>
      </c>
      <c r="J21" s="4">
        <f t="shared" si="2"/>
        <v>-0.96558119772402384</v>
      </c>
    </row>
    <row r="22" spans="1:10" x14ac:dyDescent="0.3">
      <c r="A22" s="6">
        <v>8.5450858973268994E-3</v>
      </c>
      <c r="C22" s="9">
        <f>MEDIAN(A19:A33)</f>
        <v>8.5614002052148003E-3</v>
      </c>
      <c r="E22" s="4">
        <v>2.145</v>
      </c>
      <c r="H22" s="6">
        <v>8.5450858973268994E-3</v>
      </c>
      <c r="I22" s="4">
        <f t="shared" si="3"/>
        <v>0.23333333333333334</v>
      </c>
      <c r="J22" s="4">
        <f t="shared" si="2"/>
        <v>-0.72575040815577163</v>
      </c>
    </row>
    <row r="23" spans="1:10" ht="14.25" customHeight="1" x14ac:dyDescent="0.3">
      <c r="A23" s="6">
        <v>8.5614002052148003E-3</v>
      </c>
      <c r="H23" s="6">
        <v>8.5499490593693994E-3</v>
      </c>
      <c r="I23" s="4">
        <f t="shared" si="3"/>
        <v>0.3</v>
      </c>
      <c r="J23" s="4">
        <f t="shared" si="2"/>
        <v>-0.52246305252576009</v>
      </c>
    </row>
    <row r="24" spans="1:10" x14ac:dyDescent="0.3">
      <c r="A24" s="6">
        <v>8.5569240104246998E-3</v>
      </c>
      <c r="C24" s="8"/>
      <c r="D24" s="2" t="s">
        <v>9</v>
      </c>
      <c r="H24" s="6">
        <v>8.5569240104246998E-3</v>
      </c>
      <c r="I24" s="4">
        <f t="shared" si="3"/>
        <v>0.36666666666666664</v>
      </c>
      <c r="J24" s="4">
        <f t="shared" si="2"/>
        <v>-0.33927638280750583</v>
      </c>
    </row>
    <row r="25" spans="1:10" x14ac:dyDescent="0.3">
      <c r="A25" s="6">
        <v>8.4870919729432993E-3</v>
      </c>
      <c r="C25" s="8" t="s">
        <v>10</v>
      </c>
      <c r="D25" s="4">
        <f>C19+E22*SQRT(D19)/(SQRT(15))</f>
        <v>8.5953023198981262E-3</v>
      </c>
      <c r="H25" s="6">
        <v>8.5580215421429007E-3</v>
      </c>
      <c r="I25" s="4">
        <f t="shared" si="3"/>
        <v>0.43333333333333329</v>
      </c>
      <c r="J25" s="4">
        <f t="shared" si="2"/>
        <v>-0.16715058832373922</v>
      </c>
    </row>
    <row r="26" spans="1:10" x14ac:dyDescent="0.3">
      <c r="A26" s="6">
        <v>8.5660817035499992E-3</v>
      </c>
      <c r="C26" s="8" t="s">
        <v>11</v>
      </c>
      <c r="D26" s="4">
        <f>C19-E22*SQRT(D19)/(SQRT(15))</f>
        <v>8.547480495418194E-3</v>
      </c>
      <c r="H26" s="6">
        <v>8.5614002052148003E-3</v>
      </c>
      <c r="I26" s="4">
        <f t="shared" si="3"/>
        <v>0.49999999999999994</v>
      </c>
      <c r="J26" s="4">
        <f t="shared" si="2"/>
        <v>0</v>
      </c>
    </row>
    <row r="27" spans="1:10" x14ac:dyDescent="0.3">
      <c r="A27" s="6">
        <v>8.5201793677645993E-3</v>
      </c>
      <c r="H27" s="6">
        <v>8.5660817035499992E-3</v>
      </c>
      <c r="I27" s="4">
        <f t="shared" si="3"/>
        <v>0.56666666666666665</v>
      </c>
      <c r="J27" s="4">
        <f t="shared" si="2"/>
        <v>0.16715058832373922</v>
      </c>
    </row>
    <row r="28" spans="1:10" ht="16.5" customHeight="1" x14ac:dyDescent="0.3">
      <c r="A28" s="6">
        <v>8.6198762213279007E-3</v>
      </c>
      <c r="H28" s="6">
        <v>8.5734874189341993E-3</v>
      </c>
      <c r="I28" s="4">
        <f t="shared" si="3"/>
        <v>0.6333333333333333</v>
      </c>
      <c r="J28" s="4">
        <f t="shared" si="2"/>
        <v>0.33927638280750583</v>
      </c>
    </row>
    <row r="29" spans="1:10" ht="16.5" customHeight="1" x14ac:dyDescent="0.3">
      <c r="A29" s="6">
        <v>8.6339301668779001E-3</v>
      </c>
      <c r="H29" s="6">
        <v>8.6042044933048994E-3</v>
      </c>
      <c r="I29" s="4">
        <f t="shared" si="3"/>
        <v>0.7</v>
      </c>
      <c r="J29" s="4">
        <f t="shared" si="2"/>
        <v>0.52246305252576009</v>
      </c>
    </row>
    <row r="30" spans="1:10" ht="16.5" customHeight="1" x14ac:dyDescent="0.3">
      <c r="A30" s="6">
        <v>8.6446183078333991E-3</v>
      </c>
      <c r="H30" s="6">
        <v>8.6063691480970997E-3</v>
      </c>
      <c r="I30" s="4">
        <f t="shared" si="3"/>
        <v>0.76666666666666661</v>
      </c>
      <c r="J30" s="4">
        <f t="shared" si="2"/>
        <v>0.72575040815577163</v>
      </c>
    </row>
    <row r="31" spans="1:10" ht="16.5" customHeight="1" x14ac:dyDescent="0.3">
      <c r="A31" s="6">
        <v>8.5436515997604004E-3</v>
      </c>
      <c r="H31" s="6">
        <v>8.6198762213279007E-3</v>
      </c>
      <c r="I31" s="4">
        <f t="shared" si="3"/>
        <v>0.83333333333333326</v>
      </c>
      <c r="J31" s="4">
        <f t="shared" si="2"/>
        <v>0.96558119772402329</v>
      </c>
    </row>
    <row r="32" spans="1:10" ht="16.5" customHeight="1" x14ac:dyDescent="0.3">
      <c r="A32" s="6">
        <v>8.6063691480970997E-3</v>
      </c>
      <c r="H32" s="6">
        <v>8.6339301668779001E-3</v>
      </c>
      <c r="I32" s="4">
        <f t="shared" si="3"/>
        <v>0.89999999999999991</v>
      </c>
      <c r="J32" s="4">
        <f t="shared" si="2"/>
        <v>1.2811261510381207</v>
      </c>
    </row>
    <row r="33" spans="1:10" ht="16.5" customHeight="1" x14ac:dyDescent="0.3">
      <c r="A33" s="6">
        <v>8.6042044933048994E-3</v>
      </c>
      <c r="H33" s="6">
        <v>8.6446183078333991E-3</v>
      </c>
      <c r="I33" s="4">
        <f t="shared" si="3"/>
        <v>0.96666666666666656</v>
      </c>
      <c r="J33" s="4">
        <f t="shared" si="2"/>
        <v>1.8368588976886859</v>
      </c>
    </row>
    <row r="34" spans="1:10" s="3" customFormat="1" ht="3.75" customHeight="1" x14ac:dyDescent="0.3">
      <c r="C34" s="10"/>
    </row>
    <row r="35" spans="1:10" x14ac:dyDescent="0.3">
      <c r="A35" s="2" t="s">
        <v>76</v>
      </c>
      <c r="C35" s="8" t="s">
        <v>1</v>
      </c>
      <c r="D35" s="2" t="s">
        <v>2</v>
      </c>
      <c r="E35" s="2" t="s">
        <v>3</v>
      </c>
      <c r="F35" s="2"/>
      <c r="H35" s="2" t="s">
        <v>4</v>
      </c>
      <c r="I35" s="2" t="s">
        <v>5</v>
      </c>
      <c r="J35" s="2" t="s">
        <v>6</v>
      </c>
    </row>
    <row r="36" spans="1:10" x14ac:dyDescent="0.3">
      <c r="A36" s="7">
        <v>1.5722582606633999E-2</v>
      </c>
      <c r="C36" s="9">
        <f>AVERAGE(A36:A50)</f>
        <v>1.55747968270904E-2</v>
      </c>
      <c r="D36" s="4">
        <f>_xlfn.VAR.S(A36:A50)</f>
        <v>1.5780065669964648E-8</v>
      </c>
      <c r="E36" s="4">
        <f>SQRT(D36)/C36</f>
        <v>8.0655133264626779E-3</v>
      </c>
      <c r="H36" s="7">
        <v>1.5272062684336001E-2</v>
      </c>
      <c r="I36" s="4">
        <f>1/15 - 0.5/15</f>
        <v>3.3333333333333333E-2</v>
      </c>
      <c r="J36" s="4">
        <f t="shared" ref="J36:J50" si="4">4.91*(I36^0.14-(1-I36)^0.14)</f>
        <v>-1.836858897688687</v>
      </c>
    </row>
    <row r="37" spans="1:10" x14ac:dyDescent="0.3">
      <c r="A37" s="7">
        <v>1.5529707238844E-2</v>
      </c>
      <c r="H37" s="7">
        <v>1.5446348829079E-2</v>
      </c>
      <c r="I37" s="4">
        <f>I36+1/15</f>
        <v>0.1</v>
      </c>
      <c r="J37" s="4">
        <f t="shared" si="4"/>
        <v>-1.2811261510381207</v>
      </c>
    </row>
    <row r="38" spans="1:10" x14ac:dyDescent="0.3">
      <c r="A38" s="7">
        <v>1.5680286216145999E-2</v>
      </c>
      <c r="C38" s="8" t="s">
        <v>7</v>
      </c>
      <c r="E38" s="2" t="s">
        <v>8</v>
      </c>
      <c r="H38" s="7">
        <v>1.5475967980257001E-2</v>
      </c>
      <c r="I38" s="4">
        <f t="shared" ref="I38:I50" si="5">I37+1/15</f>
        <v>0.16666666666666669</v>
      </c>
      <c r="J38" s="4">
        <f t="shared" si="4"/>
        <v>-0.96558119772402384</v>
      </c>
    </row>
    <row r="39" spans="1:10" x14ac:dyDescent="0.3">
      <c r="A39" s="7">
        <v>1.5272062684336001E-2</v>
      </c>
      <c r="C39" s="9">
        <f>MEDIAN(A36:A50)</f>
        <v>1.5584345696722001E-2</v>
      </c>
      <c r="E39" s="4">
        <v>2.145</v>
      </c>
      <c r="H39" s="7">
        <v>1.5499485811812E-2</v>
      </c>
      <c r="I39" s="4">
        <f t="shared" si="5"/>
        <v>0.23333333333333334</v>
      </c>
      <c r="J39" s="4">
        <f t="shared" si="4"/>
        <v>-0.72575040815577163</v>
      </c>
    </row>
    <row r="40" spans="1:10" x14ac:dyDescent="0.3">
      <c r="A40" s="7">
        <v>1.5552619492685001E-2</v>
      </c>
      <c r="H40" s="7">
        <v>1.5529707238844E-2</v>
      </c>
      <c r="I40" s="4">
        <f t="shared" si="5"/>
        <v>0.3</v>
      </c>
      <c r="J40" s="4">
        <f t="shared" si="4"/>
        <v>-0.52246305252576009</v>
      </c>
    </row>
    <row r="41" spans="1:10" x14ac:dyDescent="0.3">
      <c r="A41" s="7">
        <v>1.5499485811812E-2</v>
      </c>
      <c r="C41" s="8"/>
      <c r="D41" s="2" t="s">
        <v>9</v>
      </c>
      <c r="H41" s="7">
        <v>1.5552619492685001E-2</v>
      </c>
      <c r="I41" s="4">
        <f t="shared" si="5"/>
        <v>0.36666666666666664</v>
      </c>
      <c r="J41" s="4">
        <f t="shared" si="4"/>
        <v>-0.33927638280750583</v>
      </c>
    </row>
    <row r="42" spans="1:10" x14ac:dyDescent="0.3">
      <c r="A42" s="7">
        <v>1.5806810552411E-2</v>
      </c>
      <c r="C42" s="8" t="s">
        <v>10</v>
      </c>
      <c r="D42" s="4">
        <f>C36+E39*SQRT(D36)/(SQRT(15))</f>
        <v>1.5644369080491282E-2</v>
      </c>
      <c r="H42" s="7">
        <v>1.5580051436815999E-2</v>
      </c>
      <c r="I42" s="4">
        <f t="shared" si="5"/>
        <v>0.43333333333333329</v>
      </c>
      <c r="J42" s="4">
        <f t="shared" si="4"/>
        <v>-0.16715058832373922</v>
      </c>
    </row>
    <row r="43" spans="1:10" x14ac:dyDescent="0.3">
      <c r="A43" s="7">
        <v>1.5618095340179E-2</v>
      </c>
      <c r="C43" s="8" t="s">
        <v>11</v>
      </c>
      <c r="D43" s="4">
        <f>C36-E39*SQRT(D36)/(SQRT(15))</f>
        <v>1.5505224573689518E-2</v>
      </c>
      <c r="H43" s="7">
        <v>1.5584345696722001E-2</v>
      </c>
      <c r="I43" s="4">
        <f t="shared" si="5"/>
        <v>0.49999999999999994</v>
      </c>
      <c r="J43" s="4">
        <f t="shared" si="4"/>
        <v>0</v>
      </c>
    </row>
    <row r="44" spans="1:10" x14ac:dyDescent="0.3">
      <c r="A44" s="7">
        <v>1.5584345696722001E-2</v>
      </c>
      <c r="H44" s="7">
        <v>1.5602187977434E-2</v>
      </c>
      <c r="I44" s="4">
        <f t="shared" si="5"/>
        <v>0.56666666666666665</v>
      </c>
      <c r="J44" s="4">
        <f t="shared" si="4"/>
        <v>0.16715058832373922</v>
      </c>
    </row>
    <row r="45" spans="1:10" x14ac:dyDescent="0.3">
      <c r="A45" s="7">
        <v>1.5602187977434E-2</v>
      </c>
      <c r="H45" s="7">
        <v>1.5618095340179E-2</v>
      </c>
      <c r="I45" s="4">
        <f t="shared" si="5"/>
        <v>0.6333333333333333</v>
      </c>
      <c r="J45" s="4">
        <f t="shared" si="4"/>
        <v>0.33927638280750583</v>
      </c>
    </row>
    <row r="46" spans="1:10" x14ac:dyDescent="0.3">
      <c r="A46" s="7">
        <v>1.5475967980257001E-2</v>
      </c>
      <c r="H46" s="7">
        <v>1.5619176897755001E-2</v>
      </c>
      <c r="I46" s="4">
        <f t="shared" si="5"/>
        <v>0.7</v>
      </c>
      <c r="J46" s="4">
        <f t="shared" si="4"/>
        <v>0.52246305252576009</v>
      </c>
    </row>
    <row r="47" spans="1:10" x14ac:dyDescent="0.3">
      <c r="A47" s="7">
        <v>1.5446348829079E-2</v>
      </c>
      <c r="H47" s="7">
        <v>1.5632223645246E-2</v>
      </c>
      <c r="I47" s="4">
        <f t="shared" si="5"/>
        <v>0.76666666666666661</v>
      </c>
      <c r="J47" s="4">
        <f t="shared" si="4"/>
        <v>0.72575040815577163</v>
      </c>
    </row>
    <row r="48" spans="1:10" x14ac:dyDescent="0.3">
      <c r="A48" s="7">
        <v>1.5632223645246E-2</v>
      </c>
      <c r="H48" s="7">
        <v>1.5680286216145999E-2</v>
      </c>
      <c r="I48" s="4">
        <f t="shared" si="5"/>
        <v>0.83333333333333326</v>
      </c>
      <c r="J48" s="4">
        <f t="shared" si="4"/>
        <v>0.96558119772402329</v>
      </c>
    </row>
    <row r="49" spans="1:10" x14ac:dyDescent="0.3">
      <c r="A49" s="7">
        <v>1.5580051436815999E-2</v>
      </c>
      <c r="H49" s="7">
        <v>1.5722582606633999E-2</v>
      </c>
      <c r="I49" s="4">
        <f t="shared" si="5"/>
        <v>0.89999999999999991</v>
      </c>
      <c r="J49" s="4">
        <f t="shared" si="4"/>
        <v>1.2811261510381207</v>
      </c>
    </row>
    <row r="50" spans="1:10" x14ac:dyDescent="0.3">
      <c r="A50" s="7">
        <v>1.5619176897755001E-2</v>
      </c>
      <c r="H50" s="7">
        <v>1.5806810552411E-2</v>
      </c>
      <c r="I50" s="4">
        <f t="shared" si="5"/>
        <v>0.96666666666666656</v>
      </c>
      <c r="J50" s="4">
        <f t="shared" si="4"/>
        <v>1.8368588976886859</v>
      </c>
    </row>
    <row r="51" spans="1:10" s="3" customFormat="1" ht="4.5" customHeight="1" x14ac:dyDescent="0.3">
      <c r="C51" s="10"/>
    </row>
    <row r="52" spans="1:10" x14ac:dyDescent="0.3">
      <c r="A52" s="2" t="s">
        <v>57</v>
      </c>
      <c r="C52" s="8" t="s">
        <v>1</v>
      </c>
      <c r="D52" s="2" t="s">
        <v>2</v>
      </c>
      <c r="E52" s="2" t="s">
        <v>3</v>
      </c>
      <c r="F52" s="2"/>
      <c r="H52" s="2" t="s">
        <v>4</v>
      </c>
      <c r="I52" s="2" t="s">
        <v>5</v>
      </c>
      <c r="J52" s="2" t="s">
        <v>6</v>
      </c>
    </row>
    <row r="53" spans="1:10" x14ac:dyDescent="0.3">
      <c r="A53" s="7">
        <v>2.0468020701798002E-2</v>
      </c>
      <c r="C53" s="9">
        <f>AVERAGE(A53:A67)</f>
        <v>2.0326558783159067E-2</v>
      </c>
      <c r="D53" s="4">
        <f>_xlfn.VAR.S(A53:A67)</f>
        <v>4.6436668727944841E-8</v>
      </c>
      <c r="E53" s="4">
        <f>SQRT(D53)/C53</f>
        <v>1.0601484143121891E-2</v>
      </c>
      <c r="H53" s="7">
        <v>1.9701354047665001E-2</v>
      </c>
      <c r="I53" s="4">
        <f>1/15 - 0.5/15</f>
        <v>3.3333333333333333E-2</v>
      </c>
      <c r="J53" s="4">
        <f t="shared" ref="J53:J67" si="6">4.91*(I53^0.14-(1-I53)^0.14)</f>
        <v>-1.836858897688687</v>
      </c>
    </row>
    <row r="54" spans="1:10" x14ac:dyDescent="0.3">
      <c r="A54" s="7">
        <v>2.0482180796645998E-2</v>
      </c>
      <c r="H54" s="7">
        <v>2.0176779764380998E-2</v>
      </c>
      <c r="I54" s="4">
        <f t="shared" ref="I54:I67" si="7">I53+1/15</f>
        <v>0.1</v>
      </c>
      <c r="J54" s="4">
        <f t="shared" si="6"/>
        <v>-1.2811261510381207</v>
      </c>
    </row>
    <row r="55" spans="1:10" x14ac:dyDescent="0.3">
      <c r="A55" s="7">
        <v>2.0581195821886E-2</v>
      </c>
      <c r="C55" s="8" t="s">
        <v>7</v>
      </c>
      <c r="E55" s="2" t="s">
        <v>8</v>
      </c>
      <c r="H55" s="7">
        <v>2.0192187051539998E-2</v>
      </c>
      <c r="I55" s="4">
        <f t="shared" si="7"/>
        <v>0.16666666666666669</v>
      </c>
      <c r="J55" s="4">
        <f t="shared" si="6"/>
        <v>-0.96558119772402384</v>
      </c>
    </row>
    <row r="56" spans="1:10" x14ac:dyDescent="0.3">
      <c r="A56" s="7">
        <v>2.0192187051539998E-2</v>
      </c>
      <c r="C56" s="9">
        <f>MEDIAN(A53:A67)</f>
        <v>2.0340437182820002E-2</v>
      </c>
      <c r="E56" s="4">
        <v>2.145</v>
      </c>
      <c r="H56" s="7">
        <v>2.0226648444156E-2</v>
      </c>
      <c r="I56" s="4">
        <f t="shared" si="7"/>
        <v>0.23333333333333334</v>
      </c>
      <c r="J56" s="4">
        <f t="shared" si="6"/>
        <v>-0.72575040815577163</v>
      </c>
    </row>
    <row r="57" spans="1:10" x14ac:dyDescent="0.3">
      <c r="A57" s="7">
        <v>2.0470509059707001E-2</v>
      </c>
      <c r="H57" s="7">
        <v>2.0254957835305998E-2</v>
      </c>
      <c r="I57" s="4">
        <f t="shared" si="7"/>
        <v>0.3</v>
      </c>
      <c r="J57" s="4">
        <f t="shared" si="6"/>
        <v>-0.52246305252576009</v>
      </c>
    </row>
    <row r="58" spans="1:10" x14ac:dyDescent="0.3">
      <c r="A58" s="7">
        <v>1.9701354047665001E-2</v>
      </c>
      <c r="C58" s="8"/>
      <c r="D58" s="2" t="s">
        <v>9</v>
      </c>
      <c r="H58" s="7">
        <v>2.0305062851719999E-2</v>
      </c>
      <c r="I58" s="4">
        <f t="shared" si="7"/>
        <v>0.36666666666666664</v>
      </c>
      <c r="J58" s="4">
        <f t="shared" si="6"/>
        <v>-0.33927638280750583</v>
      </c>
    </row>
    <row r="59" spans="1:10" x14ac:dyDescent="0.3">
      <c r="A59" s="7">
        <v>2.0423499236159E-2</v>
      </c>
      <c r="C59" s="8" t="s">
        <v>10</v>
      </c>
      <c r="D59" s="4">
        <f>C53+E56*SQRT(D53)/(SQRT(15))</f>
        <v>2.0445905972410704E-2</v>
      </c>
      <c r="H59" s="7">
        <v>2.0306227426320999E-2</v>
      </c>
      <c r="I59" s="4">
        <f t="shared" si="7"/>
        <v>0.43333333333333329</v>
      </c>
      <c r="J59" s="4">
        <f t="shared" si="6"/>
        <v>-0.16715058832373922</v>
      </c>
    </row>
    <row r="60" spans="1:10" x14ac:dyDescent="0.3">
      <c r="A60" s="7">
        <v>2.0340437182820002E-2</v>
      </c>
      <c r="C60" s="8" t="s">
        <v>11</v>
      </c>
      <c r="D60" s="4">
        <f>C53-E56*SQRT(D53)/(SQRT(15))</f>
        <v>2.0207211593907429E-2</v>
      </c>
      <c r="H60" s="7">
        <v>2.0340437182820002E-2</v>
      </c>
      <c r="I60" s="4">
        <f t="shared" si="7"/>
        <v>0.49999999999999994</v>
      </c>
      <c r="J60" s="4">
        <f t="shared" si="6"/>
        <v>0</v>
      </c>
    </row>
    <row r="61" spans="1:10" x14ac:dyDescent="0.3">
      <c r="A61" s="7">
        <v>2.0566467702479E-2</v>
      </c>
      <c r="H61" s="7">
        <v>2.0402853824802E-2</v>
      </c>
      <c r="I61" s="4">
        <f t="shared" si="7"/>
        <v>0.56666666666666665</v>
      </c>
      <c r="J61" s="4">
        <f t="shared" si="6"/>
        <v>0.16715058832373922</v>
      </c>
    </row>
    <row r="62" spans="1:10" x14ac:dyDescent="0.3">
      <c r="A62" s="7">
        <v>2.0176779764380998E-2</v>
      </c>
      <c r="H62" s="7">
        <v>2.0423499236159E-2</v>
      </c>
      <c r="I62" s="4">
        <f t="shared" si="7"/>
        <v>0.6333333333333333</v>
      </c>
      <c r="J62" s="4">
        <f t="shared" si="6"/>
        <v>0.33927638280750583</v>
      </c>
    </row>
    <row r="63" spans="1:10" x14ac:dyDescent="0.3">
      <c r="A63" s="7">
        <v>2.0226648444156E-2</v>
      </c>
      <c r="H63" s="7">
        <v>2.0468020701798002E-2</v>
      </c>
      <c r="I63" s="4">
        <f t="shared" si="7"/>
        <v>0.7</v>
      </c>
      <c r="J63" s="4">
        <f t="shared" si="6"/>
        <v>0.52246305252576009</v>
      </c>
    </row>
    <row r="64" spans="1:10" x14ac:dyDescent="0.3">
      <c r="A64" s="7">
        <v>2.0254957835305998E-2</v>
      </c>
      <c r="H64" s="7">
        <v>2.0470509059707001E-2</v>
      </c>
      <c r="I64" s="4">
        <f t="shared" si="7"/>
        <v>0.76666666666666661</v>
      </c>
      <c r="J64" s="4">
        <f t="shared" si="6"/>
        <v>0.72575040815577163</v>
      </c>
    </row>
    <row r="65" spans="1:10" x14ac:dyDescent="0.3">
      <c r="A65" s="7">
        <v>2.0305062851719999E-2</v>
      </c>
      <c r="H65" s="7">
        <v>2.0482180796645998E-2</v>
      </c>
      <c r="I65" s="4">
        <f t="shared" si="7"/>
        <v>0.83333333333333326</v>
      </c>
      <c r="J65" s="4">
        <f t="shared" si="6"/>
        <v>0.96558119772402329</v>
      </c>
    </row>
    <row r="66" spans="1:10" x14ac:dyDescent="0.3">
      <c r="A66" s="7">
        <v>2.0402853824802E-2</v>
      </c>
      <c r="H66" s="7">
        <v>2.0566467702479E-2</v>
      </c>
      <c r="I66" s="4">
        <f t="shared" si="7"/>
        <v>0.89999999999999991</v>
      </c>
      <c r="J66" s="4">
        <f t="shared" si="6"/>
        <v>1.2811261510381207</v>
      </c>
    </row>
    <row r="67" spans="1:10" x14ac:dyDescent="0.3">
      <c r="A67" s="7">
        <v>2.0306227426320999E-2</v>
      </c>
      <c r="H67" s="7">
        <v>2.0581195821886E-2</v>
      </c>
      <c r="I67" s="4">
        <f t="shared" si="7"/>
        <v>0.96666666666666656</v>
      </c>
      <c r="J67" s="4">
        <f t="shared" si="6"/>
        <v>1.8368588976886859</v>
      </c>
    </row>
    <row r="68" spans="1:10" s="3" customFormat="1" ht="4.5" customHeight="1" x14ac:dyDescent="0.3">
      <c r="C68" s="10"/>
    </row>
    <row r="69" spans="1:10" x14ac:dyDescent="0.3">
      <c r="A69" s="2" t="s">
        <v>77</v>
      </c>
      <c r="C69" s="8" t="s">
        <v>1</v>
      </c>
      <c r="D69" s="2" t="s">
        <v>2</v>
      </c>
      <c r="E69" s="2" t="s">
        <v>3</v>
      </c>
      <c r="F69" s="2"/>
      <c r="H69" s="2" t="s">
        <v>4</v>
      </c>
      <c r="I69" s="2" t="s">
        <v>5</v>
      </c>
      <c r="J69" s="2" t="s">
        <v>6</v>
      </c>
    </row>
    <row r="70" spans="1:10" x14ac:dyDescent="0.3">
      <c r="A70" s="5">
        <v>7.8512525306030003E-3</v>
      </c>
      <c r="C70" s="9">
        <f>AVERAGE(A70:A84)</f>
        <v>7.8748775021954924E-3</v>
      </c>
      <c r="D70" s="4">
        <f>_xlfn.VAR.S(A70:A84)</f>
        <v>1.2204254007923523E-9</v>
      </c>
      <c r="E70" s="4">
        <f>SQRT(D70)/C70</f>
        <v>4.4362070962097903E-3</v>
      </c>
      <c r="H70" s="5">
        <v>7.8118268814695996E-3</v>
      </c>
      <c r="I70" s="4">
        <f>1/15 - 0.5/15</f>
        <v>3.3333333333333333E-2</v>
      </c>
      <c r="J70" s="4">
        <f t="shared" ref="J70:J84" si="8">4.91*(I70^0.14-(1-I70)^0.14)</f>
        <v>-1.836858897688687</v>
      </c>
    </row>
    <row r="71" spans="1:10" x14ac:dyDescent="0.3">
      <c r="A71" s="5">
        <v>7.9238569310005006E-3</v>
      </c>
      <c r="H71" s="5">
        <v>7.8258444807650998E-3</v>
      </c>
      <c r="I71" s="4">
        <f t="shared" ref="I71:I84" si="9">I70+1/15</f>
        <v>0.1</v>
      </c>
      <c r="J71" s="4">
        <f t="shared" si="8"/>
        <v>-1.2811261510381207</v>
      </c>
    </row>
    <row r="72" spans="1:10" x14ac:dyDescent="0.3">
      <c r="A72" s="5">
        <v>7.8569021011867003E-3</v>
      </c>
      <c r="C72" s="8" t="s">
        <v>7</v>
      </c>
      <c r="E72" s="2" t="s">
        <v>8</v>
      </c>
      <c r="H72" s="5">
        <v>7.8487917733959002E-3</v>
      </c>
      <c r="I72" s="4">
        <f t="shared" si="9"/>
        <v>0.16666666666666669</v>
      </c>
      <c r="J72" s="4">
        <f t="shared" si="8"/>
        <v>-0.96558119772402384</v>
      </c>
    </row>
    <row r="73" spans="1:10" x14ac:dyDescent="0.3">
      <c r="A73" s="5">
        <v>7.8663703541090001E-3</v>
      </c>
      <c r="C73" s="9">
        <f>MEDIAN(A70:A84)</f>
        <v>7.8670133720369993E-3</v>
      </c>
      <c r="E73" s="4">
        <v>2.145</v>
      </c>
      <c r="H73" s="5">
        <v>7.8512525306030003E-3</v>
      </c>
      <c r="I73" s="4">
        <f t="shared" si="9"/>
        <v>0.23333333333333334</v>
      </c>
      <c r="J73" s="4">
        <f t="shared" si="8"/>
        <v>-0.72575040815577163</v>
      </c>
    </row>
    <row r="74" spans="1:10" x14ac:dyDescent="0.3">
      <c r="A74" s="5">
        <v>7.8721808786533006E-3</v>
      </c>
      <c r="H74" s="5">
        <v>7.8569021011867003E-3</v>
      </c>
      <c r="I74" s="4">
        <f t="shared" si="9"/>
        <v>0.3</v>
      </c>
      <c r="J74" s="4">
        <f t="shared" si="8"/>
        <v>-0.52246305252576009</v>
      </c>
    </row>
    <row r="75" spans="1:10" x14ac:dyDescent="0.3">
      <c r="A75" s="5">
        <v>7.8487917733959002E-3</v>
      </c>
      <c r="C75" s="8"/>
      <c r="D75" s="2" t="s">
        <v>9</v>
      </c>
      <c r="H75" s="5">
        <v>7.8651935933884004E-3</v>
      </c>
      <c r="I75" s="4">
        <f t="shared" si="9"/>
        <v>0.36666666666666664</v>
      </c>
      <c r="J75" s="4">
        <f t="shared" si="8"/>
        <v>-0.33927638280750583</v>
      </c>
    </row>
    <row r="76" spans="1:10" x14ac:dyDescent="0.3">
      <c r="A76" s="5">
        <v>7.8118268814695996E-3</v>
      </c>
      <c r="C76" s="8" t="s">
        <v>10</v>
      </c>
      <c r="D76" s="4">
        <f>C70+E73*SQRT(D70)/(SQRT(15))</f>
        <v>7.8942255559816491E-3</v>
      </c>
      <c r="H76" s="5">
        <v>7.8663703541090001E-3</v>
      </c>
      <c r="I76" s="4">
        <f t="shared" si="9"/>
        <v>0.43333333333333329</v>
      </c>
      <c r="J76" s="4">
        <f t="shared" si="8"/>
        <v>-0.16715058832373922</v>
      </c>
    </row>
    <row r="77" spans="1:10" x14ac:dyDescent="0.3">
      <c r="A77" s="5">
        <v>7.9187570464681993E-3</v>
      </c>
      <c r="C77" s="8" t="s">
        <v>11</v>
      </c>
      <c r="D77" s="4">
        <f>C70-E73*SQRT(D70)/(SQRT(15))</f>
        <v>7.8555294484093357E-3</v>
      </c>
      <c r="H77" s="5">
        <v>7.8670133720369993E-3</v>
      </c>
      <c r="I77" s="4">
        <f t="shared" si="9"/>
        <v>0.49999999999999994</v>
      </c>
      <c r="J77" s="4">
        <f t="shared" si="8"/>
        <v>0</v>
      </c>
    </row>
    <row r="78" spans="1:10" x14ac:dyDescent="0.3">
      <c r="A78" s="5">
        <v>7.9085281139326998E-3</v>
      </c>
      <c r="H78" s="5">
        <v>7.8721808786533006E-3</v>
      </c>
      <c r="I78" s="4">
        <f t="shared" si="9"/>
        <v>0.56666666666666665</v>
      </c>
      <c r="J78" s="4">
        <f t="shared" si="8"/>
        <v>0.16715058832373922</v>
      </c>
    </row>
    <row r="79" spans="1:10" x14ac:dyDescent="0.3">
      <c r="A79" s="5">
        <v>7.8670133720369993E-3</v>
      </c>
      <c r="H79" s="5">
        <v>7.8738884246278996E-3</v>
      </c>
      <c r="I79" s="4">
        <f t="shared" si="9"/>
        <v>0.6333333333333333</v>
      </c>
      <c r="J79" s="4">
        <f t="shared" si="8"/>
        <v>0.33927638280750583</v>
      </c>
    </row>
    <row r="80" spans="1:10" x14ac:dyDescent="0.3">
      <c r="A80" s="5">
        <v>7.8651935933884004E-3</v>
      </c>
      <c r="H80" s="5">
        <v>7.9085281139326998E-3</v>
      </c>
      <c r="I80" s="4">
        <f t="shared" si="9"/>
        <v>0.7</v>
      </c>
      <c r="J80" s="4">
        <f t="shared" si="8"/>
        <v>0.52246305252576009</v>
      </c>
    </row>
    <row r="81" spans="1:10" x14ac:dyDescent="0.3">
      <c r="A81" s="5">
        <v>7.9182521128140001E-3</v>
      </c>
      <c r="H81" s="5">
        <v>7.9145039384810999E-3</v>
      </c>
      <c r="I81" s="4">
        <f t="shared" si="9"/>
        <v>0.76666666666666661</v>
      </c>
      <c r="J81" s="4">
        <f t="shared" si="8"/>
        <v>0.72575040815577163</v>
      </c>
    </row>
    <row r="82" spans="1:10" x14ac:dyDescent="0.3">
      <c r="A82" s="5">
        <v>7.8738884246278996E-3</v>
      </c>
      <c r="H82" s="5">
        <v>7.9182521128140001E-3</v>
      </c>
      <c r="I82" s="4">
        <f t="shared" si="9"/>
        <v>0.83333333333333326</v>
      </c>
      <c r="J82" s="4">
        <f t="shared" si="8"/>
        <v>0.96558119772402329</v>
      </c>
    </row>
    <row r="83" spans="1:10" x14ac:dyDescent="0.3">
      <c r="A83" s="5">
        <v>7.9145039384810999E-3</v>
      </c>
      <c r="H83" s="5">
        <v>7.9187570464681993E-3</v>
      </c>
      <c r="I83" s="4">
        <f t="shared" si="9"/>
        <v>0.89999999999999991</v>
      </c>
      <c r="J83" s="4">
        <f t="shared" si="8"/>
        <v>1.2811261510381207</v>
      </c>
    </row>
    <row r="84" spans="1:10" x14ac:dyDescent="0.3">
      <c r="A84" s="5">
        <v>7.8258444807650998E-3</v>
      </c>
      <c r="H84" s="5">
        <v>7.9238569310005006E-3</v>
      </c>
      <c r="I84" s="4">
        <f t="shared" si="9"/>
        <v>0.96666666666666656</v>
      </c>
      <c r="J84" s="4">
        <f t="shared" si="8"/>
        <v>1.8368588976886859</v>
      </c>
    </row>
    <row r="85" spans="1:10" s="3" customFormat="1" ht="4.5" customHeight="1" x14ac:dyDescent="0.3">
      <c r="C85" s="10"/>
    </row>
    <row r="86" spans="1:10" x14ac:dyDescent="0.3">
      <c r="A86" s="2" t="s">
        <v>78</v>
      </c>
      <c r="C86" s="8" t="s">
        <v>1</v>
      </c>
      <c r="D86" s="2" t="s">
        <v>2</v>
      </c>
      <c r="E86" s="2" t="s">
        <v>3</v>
      </c>
      <c r="F86" s="2"/>
      <c r="H86" s="2" t="s">
        <v>4</v>
      </c>
      <c r="I86" s="2" t="s">
        <v>5</v>
      </c>
      <c r="J86" s="2" t="s">
        <v>6</v>
      </c>
    </row>
    <row r="87" spans="1:10" x14ac:dyDescent="0.3">
      <c r="A87" s="7">
        <v>1.0905180531857E-2</v>
      </c>
      <c r="C87" s="9">
        <f>AVERAGE(A87:A101)</f>
        <v>1.09052900840786E-2</v>
      </c>
      <c r="D87" s="4">
        <f>_xlfn.VAR.S(A87:A101)</f>
        <v>4.0806989492928766E-9</v>
      </c>
      <c r="E87" s="4">
        <f>SQRT(D87)/C87</f>
        <v>5.8577395192325734E-3</v>
      </c>
      <c r="H87" s="7">
        <v>1.0769904611388E-2</v>
      </c>
      <c r="I87" s="4">
        <f>1/15 - 0.5/15</f>
        <v>3.3333333333333333E-2</v>
      </c>
      <c r="J87" s="4">
        <f t="shared" ref="J87:J101" si="10">4.91*(I87^0.14-(1-I87)^0.14)</f>
        <v>-1.836858897688687</v>
      </c>
    </row>
    <row r="88" spans="1:10" x14ac:dyDescent="0.3">
      <c r="A88" s="7">
        <v>1.0824088669727E-2</v>
      </c>
      <c r="H88" s="7">
        <v>1.0812745640542999E-2</v>
      </c>
      <c r="I88" s="4">
        <f t="shared" ref="I88:I101" si="11">I87+1/15</f>
        <v>0.1</v>
      </c>
      <c r="J88" s="4">
        <f t="shared" si="10"/>
        <v>-1.2811261510381207</v>
      </c>
    </row>
    <row r="89" spans="1:10" x14ac:dyDescent="0.3">
      <c r="A89" s="7">
        <v>1.0907692097102999E-2</v>
      </c>
      <c r="C89" s="8" t="s">
        <v>7</v>
      </c>
      <c r="E89" s="2" t="s">
        <v>8</v>
      </c>
      <c r="H89" s="7">
        <v>1.0824088669727E-2</v>
      </c>
      <c r="I89" s="4">
        <f t="shared" si="11"/>
        <v>0.16666666666666669</v>
      </c>
      <c r="J89" s="4">
        <f t="shared" si="10"/>
        <v>-0.96558119772402384</v>
      </c>
    </row>
    <row r="90" spans="1:10" x14ac:dyDescent="0.3">
      <c r="A90" s="7">
        <v>1.091400699231E-2</v>
      </c>
      <c r="C90" s="9">
        <f>MEDIAN(A87:A101)</f>
        <v>1.0907692097102999E-2</v>
      </c>
      <c r="E90" s="4">
        <v>2.145</v>
      </c>
      <c r="H90" s="7">
        <v>1.0897115781982001E-2</v>
      </c>
      <c r="I90" s="4">
        <f t="shared" si="11"/>
        <v>0.23333333333333334</v>
      </c>
      <c r="J90" s="4">
        <f t="shared" si="10"/>
        <v>-0.72575040815577163</v>
      </c>
    </row>
    <row r="91" spans="1:10" x14ac:dyDescent="0.3">
      <c r="A91" s="7">
        <v>1.0905383084248E-2</v>
      </c>
      <c r="H91" s="7">
        <v>1.0902391896921999E-2</v>
      </c>
      <c r="I91" s="4">
        <f t="shared" si="11"/>
        <v>0.3</v>
      </c>
      <c r="J91" s="4">
        <f t="shared" si="10"/>
        <v>-0.52246305252576009</v>
      </c>
    </row>
    <row r="92" spans="1:10" x14ac:dyDescent="0.3">
      <c r="A92" s="7">
        <v>1.0933019126919999E-2</v>
      </c>
      <c r="C92" s="8"/>
      <c r="D92" s="2" t="s">
        <v>9</v>
      </c>
      <c r="H92" s="7">
        <v>1.0905180531857E-2</v>
      </c>
      <c r="I92" s="4">
        <f t="shared" si="11"/>
        <v>0.36666666666666664</v>
      </c>
      <c r="J92" s="4">
        <f t="shared" si="10"/>
        <v>-0.33927638280750583</v>
      </c>
    </row>
    <row r="93" spans="1:10" x14ac:dyDescent="0.3">
      <c r="A93" s="7">
        <v>1.0923233857668E-2</v>
      </c>
      <c r="C93" s="8" t="s">
        <v>10</v>
      </c>
      <c r="D93" s="4">
        <f>C87+E90*SQRT(D87)/(SQRT(15))</f>
        <v>1.0940669360388487E-2</v>
      </c>
      <c r="H93" s="7">
        <v>1.0905383084248E-2</v>
      </c>
      <c r="I93" s="4">
        <f t="shared" si="11"/>
        <v>0.43333333333333329</v>
      </c>
      <c r="J93" s="4">
        <f t="shared" si="10"/>
        <v>-0.16715058832373922</v>
      </c>
    </row>
    <row r="94" spans="1:10" x14ac:dyDescent="0.3">
      <c r="A94" s="7">
        <v>1.0902391896921999E-2</v>
      </c>
      <c r="C94" s="8" t="s">
        <v>11</v>
      </c>
      <c r="D94" s="4">
        <f>C87-E90*SQRT(D87)/(SQRT(15))</f>
        <v>1.0869910807768713E-2</v>
      </c>
      <c r="H94" s="7">
        <v>1.0907692097102999E-2</v>
      </c>
      <c r="I94" s="4">
        <f t="shared" si="11"/>
        <v>0.49999999999999994</v>
      </c>
      <c r="J94" s="4">
        <f t="shared" si="10"/>
        <v>0</v>
      </c>
    </row>
    <row r="95" spans="1:10" x14ac:dyDescent="0.3">
      <c r="A95" s="7">
        <v>1.0914499132609E-2</v>
      </c>
      <c r="H95" s="7">
        <v>1.091400699231E-2</v>
      </c>
      <c r="I95" s="4">
        <f t="shared" si="11"/>
        <v>0.56666666666666665</v>
      </c>
      <c r="J95" s="4">
        <f t="shared" si="10"/>
        <v>0.16715058832373922</v>
      </c>
    </row>
    <row r="96" spans="1:10" x14ac:dyDescent="0.3">
      <c r="A96" s="7">
        <v>1.0897115781982001E-2</v>
      </c>
      <c r="H96" s="7">
        <v>1.0914499132609E-2</v>
      </c>
      <c r="I96" s="4">
        <f t="shared" si="11"/>
        <v>0.6333333333333333</v>
      </c>
      <c r="J96" s="4">
        <f t="shared" si="10"/>
        <v>0.33927638280750583</v>
      </c>
    </row>
    <row r="97" spans="1:10" x14ac:dyDescent="0.3">
      <c r="A97" s="7">
        <v>1.0812745640542999E-2</v>
      </c>
      <c r="H97" s="7">
        <v>1.0923233857668E-2</v>
      </c>
      <c r="I97" s="4">
        <f t="shared" si="11"/>
        <v>0.7</v>
      </c>
      <c r="J97" s="4">
        <f t="shared" si="10"/>
        <v>0.52246305252576009</v>
      </c>
    </row>
    <row r="98" spans="1:10" x14ac:dyDescent="0.3">
      <c r="A98" s="7">
        <v>1.0769904611388E-2</v>
      </c>
      <c r="H98" s="7">
        <v>1.0933019126919999E-2</v>
      </c>
      <c r="I98" s="4">
        <f t="shared" si="11"/>
        <v>0.76666666666666661</v>
      </c>
      <c r="J98" s="4">
        <f t="shared" si="10"/>
        <v>0.72575040815577163</v>
      </c>
    </row>
    <row r="99" spans="1:10" x14ac:dyDescent="0.3">
      <c r="A99" s="7">
        <v>1.0971973455871E-2</v>
      </c>
      <c r="H99" s="7">
        <v>1.0971973455871E-2</v>
      </c>
      <c r="I99" s="4">
        <f t="shared" si="11"/>
        <v>0.83333333333333326</v>
      </c>
      <c r="J99" s="4">
        <f t="shared" si="10"/>
        <v>0.96558119772402329</v>
      </c>
    </row>
    <row r="100" spans="1:10" x14ac:dyDescent="0.3">
      <c r="A100" s="7">
        <v>1.0987265214092001E-2</v>
      </c>
      <c r="H100" s="7">
        <v>1.0987265214092001E-2</v>
      </c>
      <c r="I100" s="4">
        <f t="shared" si="11"/>
        <v>0.89999999999999991</v>
      </c>
      <c r="J100" s="4">
        <f t="shared" si="10"/>
        <v>1.2811261510381207</v>
      </c>
    </row>
    <row r="101" spans="1:10" x14ac:dyDescent="0.3">
      <c r="A101" s="7">
        <v>1.1010851167939E-2</v>
      </c>
      <c r="H101" s="7">
        <v>1.1010851167939E-2</v>
      </c>
      <c r="I101" s="4">
        <f t="shared" si="11"/>
        <v>0.96666666666666656</v>
      </c>
      <c r="J101" s="4">
        <f t="shared" si="10"/>
        <v>1.8368588976886859</v>
      </c>
    </row>
    <row r="102" spans="1:10" s="3" customFormat="1" ht="4.5" customHeight="1" x14ac:dyDescent="0.3">
      <c r="C102" s="10"/>
    </row>
    <row r="103" spans="1:10" x14ac:dyDescent="0.3">
      <c r="A103" s="2" t="s">
        <v>79</v>
      </c>
      <c r="C103" s="8" t="s">
        <v>1</v>
      </c>
      <c r="D103" s="2" t="s">
        <v>2</v>
      </c>
      <c r="E103" s="2" t="s">
        <v>3</v>
      </c>
      <c r="F103" s="2"/>
      <c r="H103" s="2" t="s">
        <v>4</v>
      </c>
      <c r="I103" s="2" t="s">
        <v>5</v>
      </c>
      <c r="J103" s="2" t="s">
        <v>6</v>
      </c>
    </row>
    <row r="104" spans="1:10" x14ac:dyDescent="0.3">
      <c r="A104" s="5">
        <v>1.9016396094972E-2</v>
      </c>
      <c r="C104" s="9">
        <f>AVERAGE(A104:A118)</f>
        <v>1.9247477580483799E-2</v>
      </c>
      <c r="D104" s="4">
        <f>_xlfn.VAR.S(A104:A118)</f>
        <v>4.0646958842931819E-8</v>
      </c>
      <c r="E104" s="4">
        <f>SQRT(D104)/C104</f>
        <v>1.0474666547368384E-2</v>
      </c>
      <c r="H104" s="5">
        <v>1.8762890249324999E-2</v>
      </c>
      <c r="I104" s="4">
        <f>1/15 - 0.5/15</f>
        <v>3.3333333333333333E-2</v>
      </c>
      <c r="J104" s="4">
        <f t="shared" ref="J104:J118" si="12">4.91*(I104^0.14-(1-I104)^0.14)</f>
        <v>-1.836858897688687</v>
      </c>
    </row>
    <row r="105" spans="1:10" x14ac:dyDescent="0.3">
      <c r="A105" s="5">
        <v>1.9335340482691001E-2</v>
      </c>
      <c r="H105" s="5">
        <v>1.9016396094972E-2</v>
      </c>
      <c r="I105" s="4">
        <f t="shared" ref="I105:I118" si="13">I104+1/15</f>
        <v>0.1</v>
      </c>
      <c r="J105" s="4">
        <f t="shared" si="12"/>
        <v>-1.2811261510381207</v>
      </c>
    </row>
    <row r="106" spans="1:10" x14ac:dyDescent="0.3">
      <c r="A106" s="5">
        <v>1.9409402523902001E-2</v>
      </c>
      <c r="C106" s="8" t="s">
        <v>7</v>
      </c>
      <c r="E106" s="2" t="s">
        <v>8</v>
      </c>
      <c r="H106" s="5">
        <v>1.9040997803008001E-2</v>
      </c>
      <c r="I106" s="4">
        <f t="shared" si="13"/>
        <v>0.16666666666666669</v>
      </c>
      <c r="J106" s="4">
        <f t="shared" si="12"/>
        <v>-0.96558119772402384</v>
      </c>
    </row>
    <row r="107" spans="1:10" x14ac:dyDescent="0.3">
      <c r="A107" s="5">
        <v>1.9413061148662002E-2</v>
      </c>
      <c r="C107" s="9">
        <f>MEDIAN(A104:A118)</f>
        <v>1.9271729685989E-2</v>
      </c>
      <c r="E107" s="4">
        <v>2.145</v>
      </c>
      <c r="H107" s="5">
        <v>1.9151891414818999E-2</v>
      </c>
      <c r="I107" s="4">
        <f t="shared" si="13"/>
        <v>0.23333333333333334</v>
      </c>
      <c r="J107" s="4">
        <f t="shared" si="12"/>
        <v>-0.72575040815577163</v>
      </c>
    </row>
    <row r="108" spans="1:10" x14ac:dyDescent="0.3">
      <c r="A108" s="5">
        <v>1.9151891414818999E-2</v>
      </c>
      <c r="H108" s="5">
        <v>1.9209399513879E-2</v>
      </c>
      <c r="I108" s="4">
        <f t="shared" si="13"/>
        <v>0.3</v>
      </c>
      <c r="J108" s="4">
        <f t="shared" si="12"/>
        <v>-0.52246305252576009</v>
      </c>
    </row>
    <row r="109" spans="1:10" x14ac:dyDescent="0.3">
      <c r="A109" s="5">
        <v>1.8762890249324999E-2</v>
      </c>
      <c r="C109" s="8"/>
      <c r="D109" s="2" t="s">
        <v>9</v>
      </c>
      <c r="H109" s="5">
        <v>1.9226270664912001E-2</v>
      </c>
      <c r="I109" s="4">
        <f t="shared" si="13"/>
        <v>0.36666666666666664</v>
      </c>
      <c r="J109" s="4">
        <f t="shared" si="12"/>
        <v>-0.33927638280750583</v>
      </c>
    </row>
    <row r="110" spans="1:10" x14ac:dyDescent="0.3">
      <c r="A110" s="5">
        <v>1.9308375059687001E-2</v>
      </c>
      <c r="C110" s="8" t="s">
        <v>10</v>
      </c>
      <c r="D110" s="4">
        <f>C104+E107*SQRT(D104)/(SQRT(15))</f>
        <v>1.9359137084874096E-2</v>
      </c>
      <c r="H110" s="5">
        <v>1.9232959762312998E-2</v>
      </c>
      <c r="I110" s="4">
        <f t="shared" si="13"/>
        <v>0.43333333333333329</v>
      </c>
      <c r="J110" s="4">
        <f t="shared" si="12"/>
        <v>-0.16715058832373922</v>
      </c>
    </row>
    <row r="111" spans="1:10" x14ac:dyDescent="0.3">
      <c r="A111" s="5">
        <v>1.9335749688069E-2</v>
      </c>
      <c r="C111" s="8" t="s">
        <v>11</v>
      </c>
      <c r="D111" s="4">
        <f>C104-E107*SQRT(D104)/(SQRT(15))</f>
        <v>1.9135818076093502E-2</v>
      </c>
      <c r="H111" s="5">
        <v>1.9271729685989E-2</v>
      </c>
      <c r="I111" s="4">
        <f t="shared" si="13"/>
        <v>0.49999999999999994</v>
      </c>
      <c r="J111" s="4">
        <f t="shared" si="12"/>
        <v>0</v>
      </c>
    </row>
    <row r="112" spans="1:10" x14ac:dyDescent="0.3">
      <c r="A112" s="5">
        <v>1.9040997803008001E-2</v>
      </c>
      <c r="H112" s="5">
        <v>1.9308375059687001E-2</v>
      </c>
      <c r="I112" s="4">
        <f t="shared" si="13"/>
        <v>0.56666666666666665</v>
      </c>
      <c r="J112" s="4">
        <f t="shared" si="12"/>
        <v>0.16715058832373922</v>
      </c>
    </row>
    <row r="113" spans="1:10" x14ac:dyDescent="0.3">
      <c r="A113" s="5">
        <v>1.9382379391227E-2</v>
      </c>
      <c r="H113" s="5">
        <v>1.9335340482691001E-2</v>
      </c>
      <c r="I113" s="4">
        <f t="shared" si="13"/>
        <v>0.6333333333333333</v>
      </c>
      <c r="J113" s="4">
        <f t="shared" si="12"/>
        <v>0.33927638280750583</v>
      </c>
    </row>
    <row r="114" spans="1:10" x14ac:dyDescent="0.3">
      <c r="A114" s="5">
        <v>1.9226270664912001E-2</v>
      </c>
      <c r="H114" s="5">
        <v>1.9335749688069E-2</v>
      </c>
      <c r="I114" s="4">
        <f t="shared" si="13"/>
        <v>0.7</v>
      </c>
      <c r="J114" s="4">
        <f t="shared" si="12"/>
        <v>0.52246305252576009</v>
      </c>
    </row>
    <row r="115" spans="1:10" x14ac:dyDescent="0.3">
      <c r="A115" s="5">
        <v>1.9615320223802E-2</v>
      </c>
      <c r="H115" s="5">
        <v>1.9382379391227E-2</v>
      </c>
      <c r="I115" s="4">
        <f t="shared" si="13"/>
        <v>0.76666666666666661</v>
      </c>
      <c r="J115" s="4">
        <f t="shared" si="12"/>
        <v>0.72575040815577163</v>
      </c>
    </row>
    <row r="116" spans="1:10" x14ac:dyDescent="0.3">
      <c r="A116" s="5">
        <v>1.9232959762312998E-2</v>
      </c>
      <c r="H116" s="5">
        <v>1.9409402523902001E-2</v>
      </c>
      <c r="I116" s="4">
        <f t="shared" si="13"/>
        <v>0.83333333333333326</v>
      </c>
      <c r="J116" s="4">
        <f t="shared" si="12"/>
        <v>0.96558119772402329</v>
      </c>
    </row>
    <row r="117" spans="1:10" x14ac:dyDescent="0.3">
      <c r="A117" s="5">
        <v>1.9209399513879E-2</v>
      </c>
      <c r="H117" s="5">
        <v>1.9413061148662002E-2</v>
      </c>
      <c r="I117" s="4">
        <f t="shared" si="13"/>
        <v>0.89999999999999991</v>
      </c>
      <c r="J117" s="4">
        <f t="shared" si="12"/>
        <v>1.2811261510381207</v>
      </c>
    </row>
    <row r="118" spans="1:10" x14ac:dyDescent="0.3">
      <c r="A118" s="5">
        <v>1.9271729685989E-2</v>
      </c>
      <c r="H118" s="5">
        <v>1.9615320223802E-2</v>
      </c>
      <c r="I118" s="4">
        <f t="shared" si="13"/>
        <v>0.96666666666666656</v>
      </c>
      <c r="J118" s="4">
        <f t="shared" si="12"/>
        <v>1.8368588976886859</v>
      </c>
    </row>
    <row r="119" spans="1:10" s="3" customFormat="1" ht="3.75" customHeight="1" x14ac:dyDescent="0.3">
      <c r="C119" s="10"/>
    </row>
    <row r="120" spans="1:10" x14ac:dyDescent="0.3">
      <c r="A120" s="2" t="s">
        <v>59</v>
      </c>
      <c r="C120" s="8" t="s">
        <v>1</v>
      </c>
      <c r="D120" s="2" t="s">
        <v>2</v>
      </c>
      <c r="E120" s="2" t="s">
        <v>3</v>
      </c>
      <c r="F120" s="2"/>
      <c r="H120" s="2" t="s">
        <v>4</v>
      </c>
      <c r="I120" s="2" t="s">
        <v>5</v>
      </c>
      <c r="J120" s="2" t="s">
        <v>6</v>
      </c>
    </row>
    <row r="121" spans="1:10" x14ac:dyDescent="0.3">
      <c r="A121" s="5">
        <v>2.4852332365122E-2</v>
      </c>
      <c r="C121" s="9">
        <f>AVERAGE(A121:A135)</f>
        <v>2.5046698112566136E-2</v>
      </c>
      <c r="D121" s="4">
        <f>_xlfn.VAR.S(A121:A135)</f>
        <v>8.4175948911607333E-8</v>
      </c>
      <c r="E121" s="4">
        <f>SQRT(D121)/C121</f>
        <v>1.1583599384837887E-2</v>
      </c>
      <c r="H121" s="5">
        <v>2.447809973505E-2</v>
      </c>
      <c r="I121" s="4">
        <f>1/15 - 0.5/15</f>
        <v>3.3333333333333333E-2</v>
      </c>
      <c r="J121" s="4">
        <f t="shared" ref="J121:J135" si="14">4.91*(I121^0.14-(1-I121)^0.14)</f>
        <v>-1.836858897688687</v>
      </c>
    </row>
    <row r="122" spans="1:10" x14ac:dyDescent="0.3">
      <c r="A122" s="5">
        <v>2.5099011343112002E-2</v>
      </c>
      <c r="H122" s="5">
        <v>2.4688255547183999E-2</v>
      </c>
      <c r="I122" s="4">
        <f t="shared" ref="I122:I135" si="15">I121+1/15</f>
        <v>0.1</v>
      </c>
      <c r="J122" s="4">
        <f t="shared" si="14"/>
        <v>-1.2811261510381207</v>
      </c>
    </row>
    <row r="123" spans="1:10" x14ac:dyDescent="0.3">
      <c r="A123" s="5">
        <v>2.4688255547183999E-2</v>
      </c>
      <c r="C123" s="8" t="s">
        <v>7</v>
      </c>
      <c r="E123" s="2" t="s">
        <v>8</v>
      </c>
      <c r="H123" s="5">
        <v>2.4742532765240001E-2</v>
      </c>
      <c r="I123" s="4">
        <f t="shared" si="15"/>
        <v>0.16666666666666669</v>
      </c>
      <c r="J123" s="4">
        <f t="shared" si="14"/>
        <v>-0.96558119772402384</v>
      </c>
    </row>
    <row r="124" spans="1:10" x14ac:dyDescent="0.3">
      <c r="A124" s="5">
        <v>2.5231089369008999E-2</v>
      </c>
      <c r="C124" s="9">
        <f>MEDIAN(A121:A135)</f>
        <v>2.5056280488970999E-2</v>
      </c>
      <c r="E124" s="4">
        <v>2.145</v>
      </c>
      <c r="H124" s="5">
        <v>2.4852332365122E-2</v>
      </c>
      <c r="I124" s="4">
        <f t="shared" si="15"/>
        <v>0.23333333333333334</v>
      </c>
      <c r="J124" s="4">
        <f t="shared" si="14"/>
        <v>-0.72575040815577163</v>
      </c>
    </row>
    <row r="125" spans="1:10" x14ac:dyDescent="0.3">
      <c r="A125" s="5">
        <v>2.5122312481092E-2</v>
      </c>
      <c r="H125" s="5">
        <v>2.4972727986246002E-2</v>
      </c>
      <c r="I125" s="4">
        <f t="shared" si="15"/>
        <v>0.3</v>
      </c>
      <c r="J125" s="4">
        <f t="shared" si="14"/>
        <v>-0.52246305252576009</v>
      </c>
    </row>
    <row r="126" spans="1:10" x14ac:dyDescent="0.3">
      <c r="A126" s="5">
        <v>2.4742532765240001E-2</v>
      </c>
      <c r="C126" s="8"/>
      <c r="D126" s="2" t="s">
        <v>9</v>
      </c>
      <c r="H126" s="5">
        <v>2.4977563120661E-2</v>
      </c>
      <c r="I126" s="4">
        <f t="shared" si="15"/>
        <v>0.36666666666666664</v>
      </c>
      <c r="J126" s="4">
        <f t="shared" si="14"/>
        <v>-0.33927638280750583</v>
      </c>
    </row>
    <row r="127" spans="1:10" x14ac:dyDescent="0.3">
      <c r="A127" s="5">
        <v>2.447809973505E-2</v>
      </c>
      <c r="C127" s="8" t="s">
        <v>10</v>
      </c>
      <c r="D127" s="4">
        <f>C121+E124*SQRT(D121)/(SQRT(15))</f>
        <v>2.5207383238478282E-2</v>
      </c>
      <c r="H127" s="5">
        <v>2.5016953467381999E-2</v>
      </c>
      <c r="I127" s="4">
        <f t="shared" si="15"/>
        <v>0.43333333333333329</v>
      </c>
      <c r="J127" s="4">
        <f t="shared" si="14"/>
        <v>-0.16715058832373922</v>
      </c>
    </row>
    <row r="128" spans="1:10" x14ac:dyDescent="0.3">
      <c r="A128" s="5">
        <v>2.5258338143051E-2</v>
      </c>
      <c r="C128" s="8" t="s">
        <v>11</v>
      </c>
      <c r="D128" s="4">
        <f>C121-E124*SQRT(D121)/(SQRT(15))</f>
        <v>2.488601298665399E-2</v>
      </c>
      <c r="H128" s="5">
        <v>2.5056280488970999E-2</v>
      </c>
      <c r="I128" s="4">
        <f t="shared" si="15"/>
        <v>0.49999999999999994</v>
      </c>
      <c r="J128" s="4">
        <f t="shared" si="14"/>
        <v>0</v>
      </c>
    </row>
    <row r="129" spans="1:10" x14ac:dyDescent="0.3">
      <c r="A129" s="5">
        <v>2.5056280488970999E-2</v>
      </c>
      <c r="H129" s="5">
        <v>2.5099011343112002E-2</v>
      </c>
      <c r="I129" s="4">
        <f t="shared" si="15"/>
        <v>0.56666666666666665</v>
      </c>
      <c r="J129" s="4">
        <f t="shared" si="14"/>
        <v>0.16715058832373922</v>
      </c>
    </row>
    <row r="130" spans="1:10" x14ac:dyDescent="0.3">
      <c r="A130" s="5">
        <v>2.5590398906987E-2</v>
      </c>
      <c r="H130" s="5">
        <v>2.5122312481092E-2</v>
      </c>
      <c r="I130" s="4">
        <f t="shared" si="15"/>
        <v>0.6333333333333333</v>
      </c>
      <c r="J130" s="4">
        <f t="shared" si="14"/>
        <v>0.33927638280750583</v>
      </c>
    </row>
    <row r="131" spans="1:10" x14ac:dyDescent="0.3">
      <c r="A131" s="5">
        <v>2.5016953467381999E-2</v>
      </c>
      <c r="H131" s="5">
        <v>2.5124962532833001E-2</v>
      </c>
      <c r="I131" s="4">
        <f t="shared" si="15"/>
        <v>0.7</v>
      </c>
      <c r="J131" s="4">
        <f t="shared" si="14"/>
        <v>0.52246305252576009</v>
      </c>
    </row>
    <row r="132" spans="1:10" x14ac:dyDescent="0.3">
      <c r="A132" s="5">
        <v>2.5124962532833001E-2</v>
      </c>
      <c r="H132" s="5">
        <v>2.5231089369008999E-2</v>
      </c>
      <c r="I132" s="4">
        <f t="shared" si="15"/>
        <v>0.76666666666666661</v>
      </c>
      <c r="J132" s="4">
        <f t="shared" si="14"/>
        <v>0.72575040815577163</v>
      </c>
    </row>
    <row r="133" spans="1:10" x14ac:dyDescent="0.3">
      <c r="A133" s="5">
        <v>2.4977563120661E-2</v>
      </c>
      <c r="H133" s="5">
        <v>2.5258338143051E-2</v>
      </c>
      <c r="I133" s="4">
        <f t="shared" si="15"/>
        <v>0.83333333333333326</v>
      </c>
      <c r="J133" s="4">
        <f t="shared" si="14"/>
        <v>0.96558119772402329</v>
      </c>
    </row>
    <row r="134" spans="1:10" x14ac:dyDescent="0.3">
      <c r="A134" s="5">
        <v>2.4972727986246002E-2</v>
      </c>
      <c r="H134" s="5">
        <v>2.5489613436552001E-2</v>
      </c>
      <c r="I134" s="4">
        <f t="shared" si="15"/>
        <v>0.89999999999999991</v>
      </c>
      <c r="J134" s="4">
        <f t="shared" si="14"/>
        <v>1.2811261510381207</v>
      </c>
    </row>
    <row r="135" spans="1:10" x14ac:dyDescent="0.3">
      <c r="A135" s="5">
        <v>2.5489613436552001E-2</v>
      </c>
      <c r="H135" s="5">
        <v>2.5590398906987E-2</v>
      </c>
      <c r="I135" s="4">
        <f t="shared" si="15"/>
        <v>0.96666666666666656</v>
      </c>
      <c r="J135" s="4">
        <f t="shared" si="14"/>
        <v>1.8368588976886859</v>
      </c>
    </row>
    <row r="136" spans="1:10" s="3" customFormat="1" ht="4.5" customHeight="1" x14ac:dyDescent="0.3">
      <c r="C136" s="10"/>
    </row>
    <row r="137" spans="1:10" x14ac:dyDescent="0.3">
      <c r="A137" s="2" t="s">
        <v>80</v>
      </c>
      <c r="C137" s="8" t="s">
        <v>1</v>
      </c>
      <c r="D137" s="2" t="s">
        <v>2</v>
      </c>
      <c r="E137" s="2" t="s">
        <v>3</v>
      </c>
      <c r="F137" s="2"/>
      <c r="H137" s="2" t="s">
        <v>4</v>
      </c>
      <c r="I137" s="2" t="s">
        <v>5</v>
      </c>
      <c r="J137" s="2" t="s">
        <v>6</v>
      </c>
    </row>
    <row r="138" spans="1:10" x14ac:dyDescent="0.3">
      <c r="A138" s="5">
        <v>1.3084040541189E-2</v>
      </c>
      <c r="C138" s="9">
        <f>AVERAGE(A138:A152)</f>
        <v>1.3029046631282999E-2</v>
      </c>
      <c r="D138" s="4">
        <f>_xlfn.VAR.S(A138:A152)</f>
        <v>6.8538470531622012E-9</v>
      </c>
      <c r="E138" s="4">
        <f>SQRT(D138)/C138</f>
        <v>6.3541076154696218E-3</v>
      </c>
      <c r="H138" s="5">
        <v>1.2848467743589E-2</v>
      </c>
      <c r="I138" s="4">
        <f>1/15 - 0.5/15</f>
        <v>3.3333333333333333E-2</v>
      </c>
      <c r="J138" s="4">
        <f t="shared" ref="J138:J152" si="16">4.91*(I138^0.14-(1-I138)^0.14)</f>
        <v>-1.836858897688687</v>
      </c>
    </row>
    <row r="139" spans="1:10" x14ac:dyDescent="0.3">
      <c r="A139" s="5">
        <v>1.3109355289174E-2</v>
      </c>
      <c r="H139" s="5">
        <v>1.2897027694853E-2</v>
      </c>
      <c r="I139" s="4">
        <f t="shared" ref="I139:I152" si="17">I138+1/15</f>
        <v>0.1</v>
      </c>
      <c r="J139" s="4">
        <f t="shared" si="16"/>
        <v>-1.2811261510381207</v>
      </c>
    </row>
    <row r="140" spans="1:10" x14ac:dyDescent="0.3">
      <c r="A140" s="5">
        <v>1.306467944773E-2</v>
      </c>
      <c r="C140" s="8" t="s">
        <v>7</v>
      </c>
      <c r="E140" s="2" t="s">
        <v>8</v>
      </c>
      <c r="H140" s="5">
        <v>1.2914984624703E-2</v>
      </c>
      <c r="I140" s="4">
        <f t="shared" si="17"/>
        <v>0.16666666666666669</v>
      </c>
      <c r="J140" s="4">
        <f t="shared" si="16"/>
        <v>-0.96558119772402384</v>
      </c>
    </row>
    <row r="141" spans="1:10" x14ac:dyDescent="0.3">
      <c r="A141" s="5">
        <v>1.2914984624703E-2</v>
      </c>
      <c r="C141" s="9">
        <f>MEDIAN(A138:A152)</f>
        <v>1.3046813131269999E-2</v>
      </c>
      <c r="E141" s="4">
        <v>2.145</v>
      </c>
      <c r="H141" s="5">
        <v>1.2998750631437E-2</v>
      </c>
      <c r="I141" s="4">
        <f t="shared" si="17"/>
        <v>0.23333333333333334</v>
      </c>
      <c r="J141" s="4">
        <f t="shared" si="16"/>
        <v>-0.72575040815577163</v>
      </c>
    </row>
    <row r="142" spans="1:10" x14ac:dyDescent="0.3">
      <c r="A142" s="5">
        <v>1.3044288498172E-2</v>
      </c>
      <c r="H142" s="5">
        <v>1.3004819341537001E-2</v>
      </c>
      <c r="I142" s="4">
        <f t="shared" si="17"/>
        <v>0.3</v>
      </c>
      <c r="J142" s="4">
        <f t="shared" si="16"/>
        <v>-0.52246305252576009</v>
      </c>
    </row>
    <row r="143" spans="1:10" x14ac:dyDescent="0.3">
      <c r="A143" s="5">
        <v>1.3093164854977E-2</v>
      </c>
      <c r="C143" s="8"/>
      <c r="D143" s="2" t="s">
        <v>9</v>
      </c>
      <c r="H143" s="5">
        <v>1.3025815744365E-2</v>
      </c>
      <c r="I143" s="4">
        <f t="shared" si="17"/>
        <v>0.36666666666666664</v>
      </c>
      <c r="J143" s="4">
        <f t="shared" si="16"/>
        <v>-0.33927638280750583</v>
      </c>
    </row>
    <row r="144" spans="1:10" x14ac:dyDescent="0.3">
      <c r="A144" s="5">
        <v>1.2897027694853E-2</v>
      </c>
      <c r="C144" s="8" t="s">
        <v>10</v>
      </c>
      <c r="D144" s="4">
        <f>C138+E141*SQRT(D138)/(SQRT(15))</f>
        <v>1.3074897637551692E-2</v>
      </c>
      <c r="H144" s="5">
        <v>1.3044288498172E-2</v>
      </c>
      <c r="I144" s="4">
        <f t="shared" si="17"/>
        <v>0.43333333333333329</v>
      </c>
      <c r="J144" s="4">
        <f t="shared" si="16"/>
        <v>-0.16715058832373922</v>
      </c>
    </row>
    <row r="145" spans="1:10" x14ac:dyDescent="0.3">
      <c r="A145" s="5">
        <v>1.3116828528796001E-2</v>
      </c>
      <c r="C145" s="8" t="s">
        <v>11</v>
      </c>
      <c r="D145" s="4">
        <f>C138-E141*SQRT(D138)/(SQRT(15))</f>
        <v>1.2983195625014305E-2</v>
      </c>
      <c r="H145" s="5">
        <v>1.3046813131269999E-2</v>
      </c>
      <c r="I145" s="4">
        <f t="shared" si="17"/>
        <v>0.49999999999999994</v>
      </c>
      <c r="J145" s="4">
        <f t="shared" si="16"/>
        <v>0</v>
      </c>
    </row>
    <row r="146" spans="1:10" x14ac:dyDescent="0.3">
      <c r="A146" s="5">
        <v>1.2848467743589E-2</v>
      </c>
      <c r="H146" s="5">
        <v>1.306467944773E-2</v>
      </c>
      <c r="I146" s="4">
        <f t="shared" si="17"/>
        <v>0.56666666666666665</v>
      </c>
      <c r="J146" s="4">
        <f t="shared" si="16"/>
        <v>0.16715058832373922</v>
      </c>
    </row>
    <row r="147" spans="1:10" x14ac:dyDescent="0.3">
      <c r="A147" s="5">
        <v>1.2998750631437E-2</v>
      </c>
      <c r="H147" s="5">
        <v>1.3084040541189E-2</v>
      </c>
      <c r="I147" s="4">
        <f t="shared" si="17"/>
        <v>0.6333333333333333</v>
      </c>
      <c r="J147" s="4">
        <f t="shared" si="16"/>
        <v>0.33927638280750583</v>
      </c>
    </row>
    <row r="148" spans="1:10" x14ac:dyDescent="0.3">
      <c r="A148" s="5">
        <v>1.3090389241519E-2</v>
      </c>
      <c r="H148" s="5">
        <v>1.3090389241519E-2</v>
      </c>
      <c r="I148" s="4">
        <f t="shared" si="17"/>
        <v>0.7</v>
      </c>
      <c r="J148" s="4">
        <f t="shared" si="16"/>
        <v>0.52246305252576009</v>
      </c>
    </row>
    <row r="149" spans="1:10" x14ac:dyDescent="0.3">
      <c r="A149" s="5">
        <v>1.3004819341537001E-2</v>
      </c>
      <c r="H149" s="5">
        <v>1.3093164854977E-2</v>
      </c>
      <c r="I149" s="4">
        <f t="shared" si="17"/>
        <v>0.76666666666666661</v>
      </c>
      <c r="J149" s="4">
        <f t="shared" si="16"/>
        <v>0.72575040815577163</v>
      </c>
    </row>
    <row r="150" spans="1:10" x14ac:dyDescent="0.3">
      <c r="A150" s="5">
        <v>1.3096274155934E-2</v>
      </c>
      <c r="H150" s="5">
        <v>1.3096274155934E-2</v>
      </c>
      <c r="I150" s="4">
        <f t="shared" si="17"/>
        <v>0.83333333333333326</v>
      </c>
      <c r="J150" s="4">
        <f t="shared" si="16"/>
        <v>0.96558119772402329</v>
      </c>
    </row>
    <row r="151" spans="1:10" x14ac:dyDescent="0.3">
      <c r="A151" s="5">
        <v>1.3046813131269999E-2</v>
      </c>
      <c r="H151" s="5">
        <v>1.3109355289174E-2</v>
      </c>
      <c r="I151" s="4">
        <f t="shared" si="17"/>
        <v>0.89999999999999991</v>
      </c>
      <c r="J151" s="4">
        <f t="shared" si="16"/>
        <v>1.2811261510381207</v>
      </c>
    </row>
    <row r="152" spans="1:10" x14ac:dyDescent="0.3">
      <c r="A152" s="5">
        <v>1.3025815744365E-2</v>
      </c>
      <c r="H152" s="5">
        <v>1.3116828528796001E-2</v>
      </c>
      <c r="I152" s="4">
        <f t="shared" si="17"/>
        <v>0.96666666666666656</v>
      </c>
      <c r="J152" s="4">
        <f t="shared" si="16"/>
        <v>1.8368588976886859</v>
      </c>
    </row>
    <row r="153" spans="1:10" s="3" customFormat="1" ht="5.4" customHeight="1" x14ac:dyDescent="0.3">
      <c r="C153" s="10"/>
    </row>
    <row r="154" spans="1:10" ht="13.95" customHeight="1" x14ac:dyDescent="0.3">
      <c r="A154" s="2" t="s">
        <v>81</v>
      </c>
      <c r="C154" s="8" t="s">
        <v>1</v>
      </c>
      <c r="D154" s="2" t="s">
        <v>2</v>
      </c>
      <c r="E154" s="2" t="s">
        <v>3</v>
      </c>
      <c r="F154" s="2"/>
      <c r="H154" s="2" t="s">
        <v>4</v>
      </c>
      <c r="I154" s="2" t="s">
        <v>5</v>
      </c>
      <c r="J154" s="2" t="s">
        <v>6</v>
      </c>
    </row>
    <row r="155" spans="1:10" ht="15.6" customHeight="1" x14ac:dyDescent="0.3">
      <c r="A155" s="5">
        <v>1.7290912615869999E-2</v>
      </c>
      <c r="C155" s="9">
        <f>AVERAGE(A155:A169)</f>
        <v>1.7304514004518802E-2</v>
      </c>
      <c r="D155" s="4">
        <f>_xlfn.VAR.S(A155:A169)</f>
        <v>2.3577480951441902E-8</v>
      </c>
      <c r="E155" s="4">
        <f>SQRT(D155)/C155</f>
        <v>8.8733843761618601E-3</v>
      </c>
      <c r="H155" s="5">
        <v>1.6971660958649999E-2</v>
      </c>
      <c r="I155" s="4">
        <f>1/15 - 0.5/15</f>
        <v>3.3333333333333333E-2</v>
      </c>
      <c r="J155" s="4">
        <f t="shared" ref="J155:J169" si="18">4.91*(I155^0.14-(1-I155)^0.14)</f>
        <v>-1.836858897688687</v>
      </c>
    </row>
    <row r="156" spans="1:10" ht="16.95" customHeight="1" x14ac:dyDescent="0.3">
      <c r="A156" s="5">
        <v>1.7354484537205998E-2</v>
      </c>
      <c r="H156" s="5">
        <v>1.7027920479135001E-2</v>
      </c>
      <c r="I156" s="4">
        <f t="shared" ref="I156:I169" si="19">I155+1/15</f>
        <v>0.1</v>
      </c>
      <c r="J156" s="4">
        <f t="shared" si="18"/>
        <v>-1.2811261510381207</v>
      </c>
    </row>
    <row r="157" spans="1:10" ht="15.6" customHeight="1" x14ac:dyDescent="0.3">
      <c r="A157" s="5">
        <v>1.7424378839236001E-2</v>
      </c>
      <c r="C157" s="8" t="s">
        <v>7</v>
      </c>
      <c r="E157" s="2" t="s">
        <v>8</v>
      </c>
      <c r="H157" s="5">
        <v>1.7106672524507999E-2</v>
      </c>
      <c r="I157" s="4">
        <f t="shared" si="19"/>
        <v>0.16666666666666669</v>
      </c>
      <c r="J157" s="4">
        <f t="shared" si="18"/>
        <v>-0.96558119772402384</v>
      </c>
    </row>
    <row r="158" spans="1:10" ht="15" customHeight="1" x14ac:dyDescent="0.3">
      <c r="A158" s="5">
        <v>1.7106672524507999E-2</v>
      </c>
      <c r="C158" s="9">
        <f>MEDIAN(A155:A169)</f>
        <v>1.7350872735697E-2</v>
      </c>
      <c r="E158" s="4">
        <v>2.145</v>
      </c>
      <c r="H158" s="5">
        <v>1.7271154660033001E-2</v>
      </c>
      <c r="I158" s="4">
        <f t="shared" si="19"/>
        <v>0.23333333333333334</v>
      </c>
      <c r="J158" s="4">
        <f t="shared" si="18"/>
        <v>-0.72575040815577163</v>
      </c>
    </row>
    <row r="159" spans="1:10" ht="15" customHeight="1" x14ac:dyDescent="0.3">
      <c r="A159" s="5">
        <v>1.7350872735697E-2</v>
      </c>
      <c r="H159" s="5">
        <v>1.7290912615869999E-2</v>
      </c>
      <c r="I159" s="4">
        <f t="shared" si="19"/>
        <v>0.3</v>
      </c>
      <c r="J159" s="4">
        <f t="shared" si="18"/>
        <v>-0.52246305252576009</v>
      </c>
    </row>
    <row r="160" spans="1:10" ht="15.6" customHeight="1" x14ac:dyDescent="0.3">
      <c r="A160" s="5">
        <v>1.6971660958649999E-2</v>
      </c>
      <c r="C160" s="8"/>
      <c r="D160" s="2" t="s">
        <v>9</v>
      </c>
      <c r="H160" s="5">
        <v>1.7308618335931999E-2</v>
      </c>
      <c r="I160" s="4">
        <f t="shared" si="19"/>
        <v>0.36666666666666664</v>
      </c>
      <c r="J160" s="4">
        <f t="shared" si="18"/>
        <v>-0.33927638280750583</v>
      </c>
    </row>
    <row r="161" spans="1:10" ht="16.95" customHeight="1" x14ac:dyDescent="0.3">
      <c r="A161" s="5">
        <v>1.7027920479135001E-2</v>
      </c>
      <c r="C161" s="8" t="s">
        <v>10</v>
      </c>
      <c r="D161" s="4">
        <f>C155+E158*SQRT(D155)/(SQRT(15))</f>
        <v>1.7389555398084761E-2</v>
      </c>
      <c r="H161" s="5">
        <v>1.7311913782978E-2</v>
      </c>
      <c r="I161" s="4">
        <f t="shared" si="19"/>
        <v>0.43333333333333329</v>
      </c>
      <c r="J161" s="4">
        <f t="shared" si="18"/>
        <v>-0.16715058832373922</v>
      </c>
    </row>
    <row r="162" spans="1:10" ht="16.2" customHeight="1" x14ac:dyDescent="0.3">
      <c r="A162" s="5">
        <v>1.7486606906928999E-2</v>
      </c>
      <c r="C162" s="8" t="s">
        <v>11</v>
      </c>
      <c r="D162" s="4">
        <f>C155-E158*SQRT(D155)/(SQRT(15))</f>
        <v>1.7219472610952843E-2</v>
      </c>
      <c r="H162" s="5">
        <v>1.7350872735697E-2</v>
      </c>
      <c r="I162" s="4">
        <f t="shared" si="19"/>
        <v>0.49999999999999994</v>
      </c>
      <c r="J162" s="4">
        <f t="shared" si="18"/>
        <v>0</v>
      </c>
    </row>
    <row r="163" spans="1:10" ht="14.25" customHeight="1" x14ac:dyDescent="0.3">
      <c r="A163" s="5">
        <v>1.7419034600726E-2</v>
      </c>
      <c r="H163" s="5">
        <v>1.7354484537205998E-2</v>
      </c>
      <c r="I163" s="4">
        <f t="shared" si="19"/>
        <v>0.56666666666666665</v>
      </c>
      <c r="J163" s="4">
        <f t="shared" si="18"/>
        <v>0.16715058832373922</v>
      </c>
    </row>
    <row r="164" spans="1:10" ht="16.5" customHeight="1" x14ac:dyDescent="0.3">
      <c r="A164" s="5">
        <v>1.7271154660033001E-2</v>
      </c>
      <c r="H164" s="5">
        <v>1.7393334069211001E-2</v>
      </c>
      <c r="I164" s="4">
        <f t="shared" si="19"/>
        <v>0.6333333333333333</v>
      </c>
      <c r="J164" s="4">
        <f t="shared" si="18"/>
        <v>0.33927638280750583</v>
      </c>
    </row>
    <row r="165" spans="1:10" ht="12.6" customHeight="1" x14ac:dyDescent="0.3">
      <c r="A165" s="5">
        <v>1.7420910765888999E-2</v>
      </c>
      <c r="H165" s="5">
        <v>1.7419034600726E-2</v>
      </c>
      <c r="I165" s="4">
        <f t="shared" si="19"/>
        <v>0.7</v>
      </c>
      <c r="J165" s="4">
        <f t="shared" si="18"/>
        <v>0.52246305252576009</v>
      </c>
    </row>
    <row r="166" spans="1:10" ht="13.95" customHeight="1" x14ac:dyDescent="0.3">
      <c r="A166" s="5">
        <v>1.7393334069211001E-2</v>
      </c>
      <c r="H166" s="5">
        <v>1.7420910765888999E-2</v>
      </c>
      <c r="I166" s="4">
        <f t="shared" si="19"/>
        <v>0.76666666666666661</v>
      </c>
      <c r="J166" s="4">
        <f t="shared" si="18"/>
        <v>0.72575040815577163</v>
      </c>
    </row>
    <row r="167" spans="1:10" ht="18" customHeight="1" x14ac:dyDescent="0.3">
      <c r="A167" s="5">
        <v>1.7308618335931999E-2</v>
      </c>
      <c r="H167" s="5">
        <v>1.7424378839236001E-2</v>
      </c>
      <c r="I167" s="4">
        <f t="shared" si="19"/>
        <v>0.83333333333333326</v>
      </c>
      <c r="J167" s="4">
        <f t="shared" si="18"/>
        <v>0.96558119772402329</v>
      </c>
    </row>
    <row r="168" spans="1:10" ht="17.399999999999999" customHeight="1" x14ac:dyDescent="0.3">
      <c r="A168" s="5">
        <v>1.7311913782978E-2</v>
      </c>
      <c r="H168" s="5">
        <v>1.7429234255782002E-2</v>
      </c>
      <c r="I168" s="4">
        <f t="shared" si="19"/>
        <v>0.89999999999999991</v>
      </c>
      <c r="J168" s="4">
        <f t="shared" si="18"/>
        <v>1.2811261510381207</v>
      </c>
    </row>
    <row r="169" spans="1:10" ht="15.6" customHeight="1" x14ac:dyDescent="0.3">
      <c r="A169" s="5">
        <v>1.7429234255782002E-2</v>
      </c>
      <c r="H169" s="5">
        <v>1.7486606906928999E-2</v>
      </c>
      <c r="I169" s="4">
        <f t="shared" si="19"/>
        <v>0.96666666666666656</v>
      </c>
      <c r="J169" s="4">
        <f t="shared" si="18"/>
        <v>1.8368588976886859</v>
      </c>
    </row>
    <row r="170" spans="1:10" s="3" customFormat="1" ht="3.6" customHeight="1" x14ac:dyDescent="0.3">
      <c r="C170" s="10"/>
    </row>
    <row r="171" spans="1:10" ht="15.6" customHeight="1" x14ac:dyDescent="0.3">
      <c r="A171" s="2" t="s">
        <v>82</v>
      </c>
      <c r="C171" s="8" t="s">
        <v>1</v>
      </c>
      <c r="D171" s="2" t="s">
        <v>2</v>
      </c>
      <c r="E171" s="2" t="s">
        <v>3</v>
      </c>
      <c r="F171" s="2"/>
      <c r="H171" s="2" t="s">
        <v>4</v>
      </c>
      <c r="I171" s="2" t="s">
        <v>5</v>
      </c>
      <c r="J171" s="2" t="s">
        <v>6</v>
      </c>
    </row>
    <row r="172" spans="1:10" ht="15.6" customHeight="1" x14ac:dyDescent="0.3">
      <c r="A172" s="5">
        <v>3.1006481501087001E-2</v>
      </c>
      <c r="C172" s="9">
        <f>AVERAGE(A172:A186)</f>
        <v>3.0142834526543531E-2</v>
      </c>
      <c r="D172" s="4">
        <f>_xlfn.VAR.S(A172:A186)</f>
        <v>2.4258233178068515E-7</v>
      </c>
      <c r="E172" s="4">
        <f>SQRT(D172)/C172</f>
        <v>1.6339753244495745E-2</v>
      </c>
      <c r="H172" s="5">
        <v>2.9099012236765E-2</v>
      </c>
      <c r="I172" s="4">
        <f>1/15 - 0.5/15</f>
        <v>3.3333333333333333E-2</v>
      </c>
      <c r="J172" s="4">
        <f t="shared" ref="J172:J186" si="20">4.91*(I172^0.14-(1-I172)^0.14)</f>
        <v>-1.836858897688687</v>
      </c>
    </row>
    <row r="173" spans="1:10" ht="15.6" customHeight="1" x14ac:dyDescent="0.3">
      <c r="A173" s="5">
        <v>3.0284405246576999E-2</v>
      </c>
      <c r="H173" s="5">
        <v>2.9325972242639001E-2</v>
      </c>
      <c r="I173" s="4">
        <f t="shared" ref="I173:I186" si="21">I172+1/15</f>
        <v>0.1</v>
      </c>
      <c r="J173" s="4">
        <f t="shared" si="20"/>
        <v>-1.2811261510381207</v>
      </c>
    </row>
    <row r="174" spans="1:10" ht="15.6" customHeight="1" x14ac:dyDescent="0.3">
      <c r="A174" s="5">
        <v>2.9325972242639001E-2</v>
      </c>
      <c r="C174" s="8" t="s">
        <v>7</v>
      </c>
      <c r="E174" s="2" t="s">
        <v>8</v>
      </c>
      <c r="H174" s="5">
        <v>2.9565048054563E-2</v>
      </c>
      <c r="I174" s="4">
        <f t="shared" si="21"/>
        <v>0.16666666666666669</v>
      </c>
      <c r="J174" s="4">
        <f t="shared" si="20"/>
        <v>-0.96558119772402384</v>
      </c>
    </row>
    <row r="175" spans="1:10" ht="15.6" customHeight="1" x14ac:dyDescent="0.3">
      <c r="A175" s="5">
        <v>3.0723477911195E-2</v>
      </c>
      <c r="C175" s="9">
        <f>MEDIAN(A172:A186)</f>
        <v>3.0235075419063999E-2</v>
      </c>
      <c r="E175" s="4">
        <v>2.145</v>
      </c>
      <c r="H175" s="5">
        <v>3.0071979133532E-2</v>
      </c>
      <c r="I175" s="4">
        <f t="shared" si="21"/>
        <v>0.23333333333333334</v>
      </c>
      <c r="J175" s="4">
        <f t="shared" si="20"/>
        <v>-0.72575040815577163</v>
      </c>
    </row>
    <row r="176" spans="1:10" ht="15.6" customHeight="1" x14ac:dyDescent="0.3">
      <c r="A176" s="5">
        <v>3.0253112763802999E-2</v>
      </c>
      <c r="H176" s="5">
        <v>3.0109448745050001E-2</v>
      </c>
      <c r="I176" s="4">
        <f t="shared" si="21"/>
        <v>0.3</v>
      </c>
      <c r="J176" s="4">
        <f t="shared" si="20"/>
        <v>-0.52246305252576009</v>
      </c>
    </row>
    <row r="177" spans="1:10" ht="15.6" customHeight="1" x14ac:dyDescent="0.3">
      <c r="A177" s="5">
        <v>3.0422496488986001E-2</v>
      </c>
      <c r="C177" s="8"/>
      <c r="D177" s="2" t="s">
        <v>9</v>
      </c>
      <c r="H177" s="5">
        <v>3.0171752770158999E-2</v>
      </c>
      <c r="I177" s="4">
        <f t="shared" si="21"/>
        <v>0.36666666666666664</v>
      </c>
      <c r="J177" s="4">
        <f t="shared" si="20"/>
        <v>-0.33927638280750583</v>
      </c>
    </row>
    <row r="178" spans="1:10" ht="15.6" customHeight="1" x14ac:dyDescent="0.3">
      <c r="A178" s="5">
        <v>2.9565048054563E-2</v>
      </c>
      <c r="C178" s="8" t="s">
        <v>10</v>
      </c>
      <c r="D178" s="4">
        <f>C172+E175*SQRT(D172)/(SQRT(15))</f>
        <v>3.0415613725784874E-2</v>
      </c>
      <c r="H178" s="5">
        <v>3.0185206731427001E-2</v>
      </c>
      <c r="I178" s="4">
        <f t="shared" si="21"/>
        <v>0.43333333333333329</v>
      </c>
      <c r="J178" s="4">
        <f t="shared" si="20"/>
        <v>-0.16715058832373922</v>
      </c>
    </row>
    <row r="179" spans="1:10" ht="15.6" customHeight="1" x14ac:dyDescent="0.3">
      <c r="A179" s="5">
        <v>3.0109448745050001E-2</v>
      </c>
      <c r="C179" s="8" t="s">
        <v>11</v>
      </c>
      <c r="D179" s="4">
        <f>C172-E175*SQRT(D172)/(SQRT(15))</f>
        <v>2.9870055327302188E-2</v>
      </c>
      <c r="H179" s="5">
        <v>3.0235075419063999E-2</v>
      </c>
      <c r="I179" s="4">
        <f t="shared" si="21"/>
        <v>0.49999999999999994</v>
      </c>
      <c r="J179" s="4">
        <f t="shared" si="20"/>
        <v>0</v>
      </c>
    </row>
    <row r="180" spans="1:10" ht="15.6" customHeight="1" x14ac:dyDescent="0.3">
      <c r="A180" s="5">
        <v>3.0071979133532E-2</v>
      </c>
      <c r="H180" s="5">
        <v>3.0253112763802999E-2</v>
      </c>
      <c r="I180" s="4">
        <f t="shared" si="21"/>
        <v>0.56666666666666665</v>
      </c>
      <c r="J180" s="4">
        <f t="shared" si="20"/>
        <v>0.16715058832373922</v>
      </c>
    </row>
    <row r="181" spans="1:10" ht="15.6" customHeight="1" x14ac:dyDescent="0.3">
      <c r="A181" s="5">
        <v>3.0171752770158999E-2</v>
      </c>
      <c r="H181" s="5">
        <v>3.0262650744380001E-2</v>
      </c>
      <c r="I181" s="4">
        <f t="shared" si="21"/>
        <v>0.6333333333333333</v>
      </c>
      <c r="J181" s="4">
        <f t="shared" si="20"/>
        <v>0.33927638280750583</v>
      </c>
    </row>
    <row r="182" spans="1:10" ht="15.6" customHeight="1" x14ac:dyDescent="0.3">
      <c r="A182" s="5">
        <v>3.0262650744380001E-2</v>
      </c>
      <c r="H182" s="5">
        <v>3.0284405246576999E-2</v>
      </c>
      <c r="I182" s="4">
        <f t="shared" si="21"/>
        <v>0.7</v>
      </c>
      <c r="J182" s="4">
        <f t="shared" si="20"/>
        <v>0.52246305252576009</v>
      </c>
    </row>
    <row r="183" spans="1:10" ht="15.6" customHeight="1" x14ac:dyDescent="0.3">
      <c r="A183" s="5">
        <v>3.0235075419063999E-2</v>
      </c>
      <c r="H183" s="5">
        <v>3.0422496488986001E-2</v>
      </c>
      <c r="I183" s="4">
        <f t="shared" si="21"/>
        <v>0.76666666666666661</v>
      </c>
      <c r="J183" s="4">
        <f t="shared" si="20"/>
        <v>0.72575040815577163</v>
      </c>
    </row>
    <row r="184" spans="1:10" ht="15.6" customHeight="1" x14ac:dyDescent="0.3">
      <c r="A184" s="5">
        <v>2.9099012236765E-2</v>
      </c>
      <c r="H184" s="5">
        <v>3.0426397908926001E-2</v>
      </c>
      <c r="I184" s="4">
        <f t="shared" si="21"/>
        <v>0.83333333333333326</v>
      </c>
      <c r="J184" s="4">
        <f t="shared" si="20"/>
        <v>0.96558119772402329</v>
      </c>
    </row>
    <row r="185" spans="1:10" ht="15.6" customHeight="1" x14ac:dyDescent="0.3">
      <c r="A185" s="5">
        <v>3.0185206731427001E-2</v>
      </c>
      <c r="H185" s="5">
        <v>3.0723477911195E-2</v>
      </c>
      <c r="I185" s="4">
        <f t="shared" si="21"/>
        <v>0.89999999999999991</v>
      </c>
      <c r="J185" s="4">
        <f t="shared" si="20"/>
        <v>1.2811261510381207</v>
      </c>
    </row>
    <row r="186" spans="1:10" ht="15.6" customHeight="1" x14ac:dyDescent="0.3">
      <c r="A186" s="5">
        <v>3.0426397908926001E-2</v>
      </c>
      <c r="H186" s="5">
        <v>3.1006481501087001E-2</v>
      </c>
      <c r="I186" s="4">
        <f t="shared" si="21"/>
        <v>0.96666666666666656</v>
      </c>
      <c r="J186" s="4">
        <f t="shared" si="20"/>
        <v>1.8368588976886859</v>
      </c>
    </row>
    <row r="187" spans="1:10" s="3" customFormat="1" ht="4.2" customHeight="1" x14ac:dyDescent="0.3">
      <c r="C187" s="10"/>
    </row>
    <row r="188" spans="1:10" ht="16.5" customHeight="1" x14ac:dyDescent="0.3">
      <c r="A188" s="2" t="s">
        <v>63</v>
      </c>
      <c r="C188" s="8" t="s">
        <v>1</v>
      </c>
      <c r="D188" s="2" t="s">
        <v>2</v>
      </c>
      <c r="E188" s="2" t="s">
        <v>3</v>
      </c>
      <c r="F188" s="2"/>
      <c r="H188" s="2" t="s">
        <v>4</v>
      </c>
      <c r="I188" s="2" t="s">
        <v>5</v>
      </c>
      <c r="J188" s="2" t="s">
        <v>6</v>
      </c>
    </row>
    <row r="189" spans="1:10" ht="11.4" customHeight="1" x14ac:dyDescent="0.3">
      <c r="A189" s="5">
        <v>4.0621822391529998E-2</v>
      </c>
      <c r="C189" s="9">
        <f>AVERAGE(A189:A203)</f>
        <v>4.0479609951127003E-2</v>
      </c>
      <c r="D189" s="4">
        <f>_xlfn.VAR.S(A189:A203)</f>
        <v>3.8994180449457422E-7</v>
      </c>
      <c r="E189" s="4">
        <f>SQRT(D189)/C189</f>
        <v>1.542636416608895E-2</v>
      </c>
      <c r="H189" s="5">
        <v>3.9231322043880003E-2</v>
      </c>
      <c r="I189" s="4">
        <f>1/15 - 0.5/15</f>
        <v>3.3333333333333333E-2</v>
      </c>
      <c r="J189" s="4">
        <f t="shared" ref="J189:J203" si="22">4.91*(I189^0.14-(1-I189)^0.14)</f>
        <v>-1.836858897688687</v>
      </c>
    </row>
    <row r="190" spans="1:10" ht="11.4" customHeight="1" x14ac:dyDescent="0.3">
      <c r="A190" s="5">
        <v>4.0885490640035001E-2</v>
      </c>
      <c r="H190" s="5">
        <v>3.9491063604585999E-2</v>
      </c>
      <c r="I190" s="4">
        <f t="shared" ref="I190:I203" si="23">I189+1/15</f>
        <v>0.1</v>
      </c>
      <c r="J190" s="4">
        <f t="shared" si="22"/>
        <v>-1.2811261510381207</v>
      </c>
    </row>
    <row r="191" spans="1:10" ht="11.4" customHeight="1" x14ac:dyDescent="0.3">
      <c r="A191" s="5">
        <v>4.0740171998302002E-2</v>
      </c>
      <c r="C191" s="8" t="s">
        <v>7</v>
      </c>
      <c r="E191" s="2" t="s">
        <v>8</v>
      </c>
      <c r="H191" s="5">
        <v>3.9902903670934999E-2</v>
      </c>
      <c r="I191" s="4">
        <f t="shared" si="23"/>
        <v>0.16666666666666669</v>
      </c>
      <c r="J191" s="4">
        <f t="shared" si="22"/>
        <v>-0.96558119772402384</v>
      </c>
    </row>
    <row r="192" spans="1:10" ht="11.4" customHeight="1" x14ac:dyDescent="0.3">
      <c r="A192" s="5">
        <v>4.0561849935469997E-2</v>
      </c>
      <c r="C192" s="9">
        <f>MEDIAN(A189:A203)</f>
        <v>4.0621822391529998E-2</v>
      </c>
      <c r="E192" s="4">
        <v>2.145</v>
      </c>
      <c r="H192" s="5">
        <v>4.0076206096890998E-2</v>
      </c>
      <c r="I192" s="4">
        <f t="shared" si="23"/>
        <v>0.23333333333333334</v>
      </c>
      <c r="J192" s="4">
        <f t="shared" si="22"/>
        <v>-0.72575040815577163</v>
      </c>
    </row>
    <row r="193" spans="1:10" ht="11.4" customHeight="1" x14ac:dyDescent="0.3">
      <c r="A193" s="5">
        <v>4.1565002814020001E-2</v>
      </c>
      <c r="H193" s="5">
        <v>4.0132646732727997E-2</v>
      </c>
      <c r="I193" s="4">
        <f t="shared" si="23"/>
        <v>0.3</v>
      </c>
      <c r="J193" s="4">
        <f t="shared" si="22"/>
        <v>-0.52246305252576009</v>
      </c>
    </row>
    <row r="194" spans="1:10" ht="11.4" customHeight="1" x14ac:dyDescent="0.3">
      <c r="A194" s="5">
        <v>4.0307464532859001E-2</v>
      </c>
      <c r="C194" s="8"/>
      <c r="D194" s="2" t="s">
        <v>9</v>
      </c>
      <c r="H194" s="5">
        <v>4.0307464532859001E-2</v>
      </c>
      <c r="I194" s="4">
        <f t="shared" si="23"/>
        <v>0.36666666666666664</v>
      </c>
      <c r="J194" s="4">
        <f t="shared" si="22"/>
        <v>-0.33927638280750583</v>
      </c>
    </row>
    <row r="195" spans="1:10" ht="11.4" customHeight="1" x14ac:dyDescent="0.3">
      <c r="A195" s="5">
        <v>3.9491063604585999E-2</v>
      </c>
      <c r="C195" s="8" t="s">
        <v>10</v>
      </c>
      <c r="D195" s="4">
        <f>C189+E192*SQRT(D189)/(SQRT(15))</f>
        <v>4.0825455002272228E-2</v>
      </c>
      <c r="H195" s="5">
        <v>4.0561849935469997E-2</v>
      </c>
      <c r="I195" s="4">
        <f t="shared" si="23"/>
        <v>0.43333333333333329</v>
      </c>
      <c r="J195" s="4">
        <f t="shared" si="22"/>
        <v>-0.16715058832373922</v>
      </c>
    </row>
    <row r="196" spans="1:10" ht="11.4" customHeight="1" x14ac:dyDescent="0.3">
      <c r="A196" s="5">
        <v>4.1135883516084999E-2</v>
      </c>
      <c r="C196" s="8" t="s">
        <v>11</v>
      </c>
      <c r="D196" s="4">
        <f>C189-E192*SQRT(D189)/(SQRT(15))</f>
        <v>4.0133764899981779E-2</v>
      </c>
      <c r="H196" s="5">
        <v>4.0621822391529998E-2</v>
      </c>
      <c r="I196" s="4">
        <f t="shared" si="23"/>
        <v>0.49999999999999994</v>
      </c>
      <c r="J196" s="4">
        <f t="shared" si="22"/>
        <v>0</v>
      </c>
    </row>
    <row r="197" spans="1:10" ht="11.4" customHeight="1" x14ac:dyDescent="0.3">
      <c r="A197" s="5">
        <v>4.0132646732727997E-2</v>
      </c>
      <c r="H197" s="5">
        <v>4.0740171998302002E-2</v>
      </c>
      <c r="I197" s="4">
        <f t="shared" si="23"/>
        <v>0.56666666666666665</v>
      </c>
      <c r="J197" s="4">
        <f t="shared" si="22"/>
        <v>0.16715058832373922</v>
      </c>
    </row>
    <row r="198" spans="1:10" ht="11.4" customHeight="1" x14ac:dyDescent="0.3">
      <c r="A198" s="5">
        <v>3.9902903670934999E-2</v>
      </c>
      <c r="H198" s="5">
        <v>4.0800628505589999E-2</v>
      </c>
      <c r="I198" s="4">
        <f t="shared" si="23"/>
        <v>0.6333333333333333</v>
      </c>
      <c r="J198" s="4">
        <f t="shared" si="22"/>
        <v>0.33927638280750583</v>
      </c>
    </row>
    <row r="199" spans="1:10" ht="11.4" customHeight="1" x14ac:dyDescent="0.3">
      <c r="A199" s="5">
        <v>4.0891087159034001E-2</v>
      </c>
      <c r="H199" s="5">
        <v>4.0850605624959999E-2</v>
      </c>
      <c r="I199" s="4">
        <f t="shared" si="23"/>
        <v>0.7</v>
      </c>
      <c r="J199" s="4">
        <f t="shared" si="22"/>
        <v>0.52246305252576009</v>
      </c>
    </row>
    <row r="200" spans="1:10" ht="11.4" customHeight="1" x14ac:dyDescent="0.3">
      <c r="A200" s="5">
        <v>4.0850605624959999E-2</v>
      </c>
      <c r="H200" s="5">
        <v>4.0885490640035001E-2</v>
      </c>
      <c r="I200" s="4">
        <f t="shared" si="23"/>
        <v>0.76666666666666661</v>
      </c>
      <c r="J200" s="4">
        <f t="shared" si="22"/>
        <v>0.72575040815577163</v>
      </c>
    </row>
    <row r="201" spans="1:10" ht="11.4" customHeight="1" x14ac:dyDescent="0.3">
      <c r="A201" s="5">
        <v>4.0800628505589999E-2</v>
      </c>
      <c r="H201" s="5">
        <v>4.0891087159034001E-2</v>
      </c>
      <c r="I201" s="4">
        <f t="shared" si="23"/>
        <v>0.83333333333333326</v>
      </c>
      <c r="J201" s="4">
        <f t="shared" si="22"/>
        <v>0.96558119772402329</v>
      </c>
    </row>
    <row r="202" spans="1:10" ht="11.4" customHeight="1" x14ac:dyDescent="0.3">
      <c r="A202" s="5">
        <v>4.0076206096890998E-2</v>
      </c>
      <c r="H202" s="5">
        <v>4.1135883516084999E-2</v>
      </c>
      <c r="I202" s="4">
        <f t="shared" si="23"/>
        <v>0.89999999999999991</v>
      </c>
      <c r="J202" s="4">
        <f t="shared" si="22"/>
        <v>1.2811261510381207</v>
      </c>
    </row>
    <row r="203" spans="1:10" ht="11.4" customHeight="1" x14ac:dyDescent="0.3">
      <c r="A203" s="5">
        <v>3.9231322043880003E-2</v>
      </c>
      <c r="H203" s="5">
        <v>4.1565002814020001E-2</v>
      </c>
      <c r="I203" s="4">
        <f t="shared" si="23"/>
        <v>0.96666666666666656</v>
      </c>
      <c r="J203" s="4">
        <f t="shared" si="22"/>
        <v>1.8368588976886859</v>
      </c>
    </row>
    <row r="204" spans="1:10" s="3" customFormat="1" ht="5.4" customHeight="1" x14ac:dyDescent="0.3">
      <c r="C204" s="10"/>
    </row>
    <row r="205" spans="1:10" ht="11.4" customHeight="1" x14ac:dyDescent="0.3">
      <c r="A205" s="2" t="s">
        <v>0</v>
      </c>
      <c r="C205" s="8" t="s">
        <v>1</v>
      </c>
      <c r="D205" s="2" t="s">
        <v>2</v>
      </c>
      <c r="E205" s="2" t="s">
        <v>3</v>
      </c>
      <c r="F205" s="2"/>
      <c r="H205" s="2" t="s">
        <v>4</v>
      </c>
      <c r="I205" s="2" t="s">
        <v>5</v>
      </c>
      <c r="J205" s="2" t="s">
        <v>6</v>
      </c>
    </row>
    <row r="206" spans="1:10" x14ac:dyDescent="0.3">
      <c r="A206" s="5">
        <v>1.6569913313339998E-2</v>
      </c>
      <c r="C206" s="9">
        <f>AVERAGE(A206:A220)</f>
        <v>1.6593894121528063E-2</v>
      </c>
      <c r="D206" s="4">
        <f>_xlfn.VAR.S(A206:A220)</f>
        <v>1.7212832936953624E-8</v>
      </c>
      <c r="E206" s="4">
        <f>SQRT(D206)/C206</f>
        <v>7.906383246529803E-3</v>
      </c>
      <c r="H206" s="5">
        <v>1.6320649617893E-2</v>
      </c>
      <c r="I206" s="4">
        <f>1/15 - 0.5/15</f>
        <v>3.3333333333333333E-2</v>
      </c>
      <c r="J206" s="4">
        <f t="shared" ref="J206:J220" si="24">4.91*(I206^0.14-(1-I206)^0.14)</f>
        <v>-1.836858897688687</v>
      </c>
    </row>
    <row r="207" spans="1:10" x14ac:dyDescent="0.3">
      <c r="A207" s="5">
        <v>1.6621592700548998E-2</v>
      </c>
      <c r="H207" s="5">
        <v>1.6366951162037999E-2</v>
      </c>
      <c r="I207" s="4">
        <f t="shared" ref="I207:I220" si="25">I206+1/15</f>
        <v>0.1</v>
      </c>
      <c r="J207" s="4">
        <f t="shared" si="24"/>
        <v>-1.2811261510381207</v>
      </c>
    </row>
    <row r="208" spans="1:10" ht="11.4" customHeight="1" x14ac:dyDescent="0.3">
      <c r="A208" s="5">
        <v>1.6731786707302E-2</v>
      </c>
      <c r="C208" s="8" t="s">
        <v>7</v>
      </c>
      <c r="E208" s="2" t="s">
        <v>8</v>
      </c>
      <c r="H208" s="5">
        <v>1.6399044507836E-2</v>
      </c>
      <c r="I208" s="4">
        <f t="shared" si="25"/>
        <v>0.16666666666666669</v>
      </c>
      <c r="J208" s="4">
        <f t="shared" si="24"/>
        <v>-0.96558119772402384</v>
      </c>
    </row>
    <row r="209" spans="1:10" x14ac:dyDescent="0.3">
      <c r="A209" s="5">
        <v>1.6578428317708001E-2</v>
      </c>
      <c r="C209" s="9">
        <f>MEDIAN(A206:A220)</f>
        <v>1.6624437236143999E-2</v>
      </c>
      <c r="E209" s="4">
        <v>2.145</v>
      </c>
      <c r="H209" s="5">
        <v>1.6569913313339998E-2</v>
      </c>
      <c r="I209" s="4">
        <f t="shared" si="25"/>
        <v>0.23333333333333334</v>
      </c>
      <c r="J209" s="4">
        <f t="shared" si="24"/>
        <v>-0.72575040815577163</v>
      </c>
    </row>
    <row r="210" spans="1:10" x14ac:dyDescent="0.3">
      <c r="A210" s="5">
        <v>1.6399044507836E-2</v>
      </c>
      <c r="H210" s="5">
        <v>1.6578428317708001E-2</v>
      </c>
      <c r="I210" s="4">
        <f t="shared" si="25"/>
        <v>0.3</v>
      </c>
      <c r="J210" s="4">
        <f t="shared" si="24"/>
        <v>-0.52246305252576009</v>
      </c>
    </row>
    <row r="211" spans="1:10" ht="11.4" customHeight="1" x14ac:dyDescent="0.3">
      <c r="A211" s="5">
        <v>1.664795091949E-2</v>
      </c>
      <c r="C211" s="8"/>
      <c r="D211" s="2" t="s">
        <v>9</v>
      </c>
      <c r="H211" s="5">
        <v>1.6605436831945999E-2</v>
      </c>
      <c r="I211" s="4">
        <f t="shared" si="25"/>
        <v>0.36666666666666664</v>
      </c>
      <c r="J211" s="4">
        <f t="shared" si="24"/>
        <v>-0.33927638280750583</v>
      </c>
    </row>
    <row r="212" spans="1:10" ht="11.4" customHeight="1" x14ac:dyDescent="0.3">
      <c r="A212" s="5">
        <v>1.6737214160376001E-2</v>
      </c>
      <c r="C212" s="8" t="s">
        <v>10</v>
      </c>
      <c r="D212" s="4">
        <f>C206+E209*SQRT(D206)/(SQRT(15))</f>
        <v>1.6666556204562592E-2</v>
      </c>
      <c r="H212" s="5">
        <v>1.6621592700548998E-2</v>
      </c>
      <c r="I212" s="4">
        <f t="shared" si="25"/>
        <v>0.43333333333333329</v>
      </c>
      <c r="J212" s="4">
        <f t="shared" si="24"/>
        <v>-0.16715058832373922</v>
      </c>
    </row>
    <row r="213" spans="1:10" ht="11.4" customHeight="1" x14ac:dyDescent="0.3">
      <c r="A213" s="5">
        <v>1.6650887939671E-2</v>
      </c>
      <c r="C213" s="8" t="s">
        <v>11</v>
      </c>
      <c r="D213" s="4">
        <f>C206-E209*SQRT(D206)/(SQRT(15))</f>
        <v>1.6521232038493535E-2</v>
      </c>
      <c r="H213" s="5">
        <v>1.6624437236143999E-2</v>
      </c>
      <c r="I213" s="4">
        <f t="shared" si="25"/>
        <v>0.49999999999999994</v>
      </c>
      <c r="J213" s="4">
        <f t="shared" si="24"/>
        <v>0</v>
      </c>
    </row>
    <row r="214" spans="1:10" x14ac:dyDescent="0.3">
      <c r="A214" s="5">
        <v>1.6624437236143999E-2</v>
      </c>
      <c r="H214" s="5">
        <v>1.6634915464653999E-2</v>
      </c>
      <c r="I214" s="4">
        <f t="shared" si="25"/>
        <v>0.56666666666666665</v>
      </c>
      <c r="J214" s="4">
        <f t="shared" si="24"/>
        <v>0.16715058832373922</v>
      </c>
    </row>
    <row r="215" spans="1:10" x14ac:dyDescent="0.3">
      <c r="A215" s="5">
        <v>1.6706821000998E-2</v>
      </c>
      <c r="H215" s="5">
        <v>1.664795091949E-2</v>
      </c>
      <c r="I215" s="4">
        <f t="shared" si="25"/>
        <v>0.6333333333333333</v>
      </c>
      <c r="J215" s="4">
        <f t="shared" si="24"/>
        <v>0.33927638280750583</v>
      </c>
    </row>
    <row r="216" spans="1:10" x14ac:dyDescent="0.3">
      <c r="A216" s="5">
        <v>1.6366951162037999E-2</v>
      </c>
      <c r="H216" s="5">
        <v>1.6650887939671E-2</v>
      </c>
      <c r="I216" s="4">
        <f t="shared" si="25"/>
        <v>0.7</v>
      </c>
      <c r="J216" s="4">
        <f t="shared" si="24"/>
        <v>0.52246305252576009</v>
      </c>
    </row>
    <row r="217" spans="1:10" x14ac:dyDescent="0.3">
      <c r="A217" s="5">
        <v>1.6712381942976001E-2</v>
      </c>
      <c r="H217" s="5">
        <v>1.6706821000998E-2</v>
      </c>
      <c r="I217" s="4">
        <f t="shared" si="25"/>
        <v>0.76666666666666661</v>
      </c>
      <c r="J217" s="4">
        <f t="shared" si="24"/>
        <v>0.72575040815577163</v>
      </c>
    </row>
    <row r="218" spans="1:10" x14ac:dyDescent="0.3">
      <c r="A218" s="5">
        <v>1.6320649617893E-2</v>
      </c>
      <c r="H218" s="5">
        <v>1.6712381942976001E-2</v>
      </c>
      <c r="I218" s="4">
        <f t="shared" si="25"/>
        <v>0.83333333333333326</v>
      </c>
      <c r="J218" s="4">
        <f t="shared" si="24"/>
        <v>0.96558119772402329</v>
      </c>
    </row>
    <row r="219" spans="1:10" x14ac:dyDescent="0.3">
      <c r="A219" s="5">
        <v>1.6605436831945999E-2</v>
      </c>
      <c r="H219" s="5">
        <v>1.6731786707302E-2</v>
      </c>
      <c r="I219" s="4">
        <f t="shared" si="25"/>
        <v>0.89999999999999991</v>
      </c>
      <c r="J219" s="4">
        <f t="shared" si="24"/>
        <v>1.2811261510381207</v>
      </c>
    </row>
    <row r="220" spans="1:10" x14ac:dyDescent="0.3">
      <c r="A220" s="5">
        <v>1.6634915464653999E-2</v>
      </c>
      <c r="H220" s="5">
        <v>1.6737214160376001E-2</v>
      </c>
      <c r="I220" s="4">
        <f t="shared" si="25"/>
        <v>0.96666666666666656</v>
      </c>
      <c r="J220" s="4">
        <f t="shared" si="24"/>
        <v>1.8368588976886859</v>
      </c>
    </row>
    <row r="221" spans="1:10" s="3" customFormat="1" x14ac:dyDescent="0.3">
      <c r="C221" s="10"/>
    </row>
    <row r="222" spans="1:10" x14ac:dyDescent="0.3">
      <c r="A222" s="2" t="s">
        <v>13</v>
      </c>
      <c r="C222" s="8" t="s">
        <v>1</v>
      </c>
      <c r="D222" s="2" t="s">
        <v>2</v>
      </c>
      <c r="E222" s="2" t="s">
        <v>3</v>
      </c>
      <c r="F222" s="2"/>
      <c r="H222" s="2" t="s">
        <v>4</v>
      </c>
      <c r="I222" s="2" t="s">
        <v>5</v>
      </c>
      <c r="J222" s="2" t="s">
        <v>6</v>
      </c>
    </row>
    <row r="223" spans="1:10" x14ac:dyDescent="0.3">
      <c r="A223" s="5">
        <v>2.2143419977846999E-2</v>
      </c>
      <c r="C223" s="9">
        <f>AVERAGE(A223:A237)</f>
        <v>2.1893523264155935E-2</v>
      </c>
      <c r="D223" s="4">
        <f>_xlfn.VAR.S(A223:A237)</f>
        <v>4.741353679195125E-8</v>
      </c>
      <c r="E223" s="4">
        <f>SQRT(D223)/C223</f>
        <v>9.9457037588976654E-3</v>
      </c>
      <c r="H223" s="5">
        <v>2.1424732896605E-2</v>
      </c>
      <c r="I223" s="4">
        <f>1/15 - 0.5/15</f>
        <v>3.3333333333333333E-2</v>
      </c>
      <c r="J223" s="4">
        <f t="shared" ref="J223:J237" si="26">4.91*(I223^0.14-(1-I223)^0.14)</f>
        <v>-1.836858897688687</v>
      </c>
    </row>
    <row r="224" spans="1:10" x14ac:dyDescent="0.3">
      <c r="A224" s="5">
        <v>2.2151909306672001E-2</v>
      </c>
      <c r="H224" s="5">
        <v>2.1562872863161001E-2</v>
      </c>
      <c r="I224" s="4">
        <f t="shared" ref="I224:I237" si="27">I223+1/15</f>
        <v>0.1</v>
      </c>
      <c r="J224" s="4">
        <f t="shared" si="26"/>
        <v>-1.2811261510381207</v>
      </c>
    </row>
    <row r="225" spans="1:10" x14ac:dyDescent="0.3">
      <c r="A225" s="5">
        <v>2.2118766589286E-2</v>
      </c>
      <c r="C225" s="8" t="s">
        <v>7</v>
      </c>
      <c r="E225" s="2" t="s">
        <v>8</v>
      </c>
      <c r="H225" s="5">
        <v>2.1594588519203001E-2</v>
      </c>
      <c r="I225" s="4">
        <f t="shared" si="27"/>
        <v>0.16666666666666669</v>
      </c>
      <c r="J225" s="4">
        <f t="shared" si="26"/>
        <v>-0.96558119772402384</v>
      </c>
    </row>
    <row r="226" spans="1:10" x14ac:dyDescent="0.3">
      <c r="A226" s="5">
        <v>2.1979465759240001E-2</v>
      </c>
      <c r="C226" s="9">
        <f>MEDIAN(A223:A237)</f>
        <v>2.1939573620125E-2</v>
      </c>
      <c r="E226" s="4">
        <v>2.145</v>
      </c>
      <c r="H226" s="5">
        <v>2.1770510883377999E-2</v>
      </c>
      <c r="I226" s="4">
        <f t="shared" si="27"/>
        <v>0.23333333333333334</v>
      </c>
      <c r="J226" s="4">
        <f t="shared" si="26"/>
        <v>-0.72575040815577163</v>
      </c>
    </row>
    <row r="227" spans="1:10" x14ac:dyDescent="0.3">
      <c r="A227" s="5">
        <v>2.1874996795027E-2</v>
      </c>
      <c r="H227" s="5">
        <v>2.1874996795027E-2</v>
      </c>
      <c r="I227" s="4">
        <f t="shared" si="27"/>
        <v>0.3</v>
      </c>
      <c r="J227" s="4">
        <f t="shared" si="26"/>
        <v>-0.52246305252576009</v>
      </c>
    </row>
    <row r="228" spans="1:10" x14ac:dyDescent="0.3">
      <c r="A228" s="5">
        <v>2.1770510883377999E-2</v>
      </c>
      <c r="C228" s="8"/>
      <c r="D228" s="2" t="s">
        <v>9</v>
      </c>
      <c r="H228" s="5">
        <v>2.1928896758872999E-2</v>
      </c>
      <c r="I228" s="4">
        <f t="shared" si="27"/>
        <v>0.36666666666666664</v>
      </c>
      <c r="J228" s="4">
        <f t="shared" si="26"/>
        <v>-0.33927638280750583</v>
      </c>
    </row>
    <row r="229" spans="1:10" x14ac:dyDescent="0.3">
      <c r="A229" s="5">
        <v>2.1945257373094999E-2</v>
      </c>
      <c r="C229" s="8" t="s">
        <v>10</v>
      </c>
      <c r="D229" s="4">
        <f>C223+E226*SQRT(D223)/(SQRT(15))</f>
        <v>2.2014119247537964E-2</v>
      </c>
      <c r="H229" s="5">
        <v>2.1933521995107001E-2</v>
      </c>
      <c r="I229" s="4">
        <f t="shared" si="27"/>
        <v>0.43333333333333329</v>
      </c>
      <c r="J229" s="4">
        <f t="shared" si="26"/>
        <v>-0.16715058832373922</v>
      </c>
    </row>
    <row r="230" spans="1:10" x14ac:dyDescent="0.3">
      <c r="A230" s="5">
        <v>2.1562872863161001E-2</v>
      </c>
      <c r="C230" s="8" t="s">
        <v>11</v>
      </c>
      <c r="D230" s="4">
        <f>C223-E226*SQRT(D223)/(SQRT(15))</f>
        <v>2.1772927280773905E-2</v>
      </c>
      <c r="H230" s="5">
        <v>2.1939573620125E-2</v>
      </c>
      <c r="I230" s="4">
        <f t="shared" si="27"/>
        <v>0.49999999999999994</v>
      </c>
      <c r="J230" s="4">
        <f t="shared" si="26"/>
        <v>0</v>
      </c>
    </row>
    <row r="231" spans="1:10" x14ac:dyDescent="0.3">
      <c r="A231" s="5">
        <v>2.1928896758872999E-2</v>
      </c>
      <c r="H231" s="5">
        <v>2.1945257373094999E-2</v>
      </c>
      <c r="I231" s="4">
        <f t="shared" si="27"/>
        <v>0.56666666666666665</v>
      </c>
      <c r="J231" s="4">
        <f t="shared" si="26"/>
        <v>0.16715058832373922</v>
      </c>
    </row>
    <row r="232" spans="1:10" x14ac:dyDescent="0.3">
      <c r="A232" s="5">
        <v>2.2063544498851999E-2</v>
      </c>
      <c r="H232" s="5">
        <v>2.1970791125868E-2</v>
      </c>
      <c r="I232" s="4">
        <f t="shared" si="27"/>
        <v>0.6333333333333333</v>
      </c>
      <c r="J232" s="4">
        <f t="shared" si="26"/>
        <v>0.33927638280750583</v>
      </c>
    </row>
    <row r="233" spans="1:10" x14ac:dyDescent="0.3">
      <c r="A233" s="5">
        <v>2.1970791125868E-2</v>
      </c>
      <c r="H233" s="5">
        <v>2.1979465759240001E-2</v>
      </c>
      <c r="I233" s="4">
        <f t="shared" si="27"/>
        <v>0.7</v>
      </c>
      <c r="J233" s="4">
        <f t="shared" si="26"/>
        <v>0.52246305252576009</v>
      </c>
    </row>
    <row r="234" spans="1:10" x14ac:dyDescent="0.3">
      <c r="A234" s="5">
        <v>2.1594588519203001E-2</v>
      </c>
      <c r="H234" s="5">
        <v>2.2063544498851999E-2</v>
      </c>
      <c r="I234" s="4">
        <f t="shared" si="27"/>
        <v>0.76666666666666661</v>
      </c>
      <c r="J234" s="4">
        <f t="shared" si="26"/>
        <v>0.72575040815577163</v>
      </c>
    </row>
    <row r="235" spans="1:10" x14ac:dyDescent="0.3">
      <c r="A235" s="5">
        <v>2.1424732896605E-2</v>
      </c>
      <c r="H235" s="5">
        <v>2.2118766589286E-2</v>
      </c>
      <c r="I235" s="4">
        <f t="shared" si="27"/>
        <v>0.83333333333333326</v>
      </c>
      <c r="J235" s="4">
        <f t="shared" si="26"/>
        <v>0.96558119772402329</v>
      </c>
    </row>
    <row r="236" spans="1:10" x14ac:dyDescent="0.3">
      <c r="A236" s="5">
        <v>2.1933521995107001E-2</v>
      </c>
      <c r="H236" s="5">
        <v>2.2143419977846999E-2</v>
      </c>
      <c r="I236" s="4">
        <f t="shared" si="27"/>
        <v>0.89999999999999991</v>
      </c>
      <c r="J236" s="4">
        <f t="shared" si="26"/>
        <v>1.2811261510381207</v>
      </c>
    </row>
    <row r="237" spans="1:10" x14ac:dyDescent="0.3">
      <c r="A237" s="5">
        <v>2.1939573620125E-2</v>
      </c>
      <c r="H237" s="5">
        <v>2.2151909306672001E-2</v>
      </c>
      <c r="I237" s="4">
        <f t="shared" si="27"/>
        <v>0.96666666666666656</v>
      </c>
      <c r="J237" s="4">
        <f t="shared" si="26"/>
        <v>1.8368588976886859</v>
      </c>
    </row>
    <row r="238" spans="1:10" s="3" customFormat="1" x14ac:dyDescent="0.3">
      <c r="C238" s="10"/>
    </row>
    <row r="239" spans="1:10" x14ac:dyDescent="0.3">
      <c r="A239" s="2" t="s">
        <v>17</v>
      </c>
      <c r="C239" s="8" t="s">
        <v>1</v>
      </c>
      <c r="D239" s="2" t="s">
        <v>2</v>
      </c>
      <c r="E239" s="2" t="s">
        <v>3</v>
      </c>
      <c r="F239" s="2"/>
      <c r="H239" s="2" t="s">
        <v>4</v>
      </c>
      <c r="I239" s="2" t="s">
        <v>5</v>
      </c>
      <c r="J239" s="2" t="s">
        <v>6</v>
      </c>
    </row>
    <row r="240" spans="1:10" x14ac:dyDescent="0.3">
      <c r="A240" s="5">
        <v>3.9246227655424001E-2</v>
      </c>
      <c r="C240" s="9">
        <f>AVERAGE(A240:A254)</f>
        <v>3.8893136194207603E-2</v>
      </c>
      <c r="D240" s="4">
        <f>_xlfn.VAR.S(A240:A254)</f>
        <v>3.2671599456759935E-7</v>
      </c>
      <c r="E240" s="4">
        <f>SQRT(D240)/C240</f>
        <v>1.4696442968506486E-2</v>
      </c>
      <c r="H240" s="5">
        <v>3.7496986998924002E-2</v>
      </c>
      <c r="I240" s="4">
        <f>1/15 - 0.5/15</f>
        <v>3.3333333333333333E-2</v>
      </c>
      <c r="J240" s="4">
        <f t="shared" ref="J240:J254" si="28">4.91*(I240^0.14-(1-I240)^0.14)</f>
        <v>-1.836858897688687</v>
      </c>
    </row>
    <row r="241" spans="1:10" x14ac:dyDescent="0.3">
      <c r="A241" s="5">
        <v>3.9341084622900001E-2</v>
      </c>
      <c r="H241" s="5">
        <v>3.8151968240382E-2</v>
      </c>
      <c r="I241" s="4">
        <f t="shared" ref="I241:I254" si="29">I240+1/15</f>
        <v>0.1</v>
      </c>
      <c r="J241" s="4">
        <f t="shared" si="28"/>
        <v>-1.2811261510381207</v>
      </c>
    </row>
    <row r="242" spans="1:10" x14ac:dyDescent="0.3">
      <c r="A242" s="5">
        <v>3.7496986998924002E-2</v>
      </c>
      <c r="C242" s="8" t="s">
        <v>7</v>
      </c>
      <c r="E242" s="2" t="s">
        <v>8</v>
      </c>
      <c r="H242" s="5">
        <v>3.8441667004722999E-2</v>
      </c>
      <c r="I242" s="4">
        <f t="shared" si="29"/>
        <v>0.16666666666666669</v>
      </c>
      <c r="J242" s="4">
        <f t="shared" si="28"/>
        <v>-0.96558119772402384</v>
      </c>
    </row>
    <row r="243" spans="1:10" x14ac:dyDescent="0.3">
      <c r="A243" s="5">
        <v>3.8501527520209002E-2</v>
      </c>
      <c r="C243" s="9">
        <f>MEDIAN(A240:A254)</f>
        <v>3.9032425436666997E-2</v>
      </c>
      <c r="E243" s="4">
        <v>2.145</v>
      </c>
      <c r="H243" s="5">
        <v>3.8501527520209002E-2</v>
      </c>
      <c r="I243" s="4">
        <f t="shared" si="29"/>
        <v>0.23333333333333334</v>
      </c>
      <c r="J243" s="4">
        <f t="shared" si="28"/>
        <v>-0.72575040815577163</v>
      </c>
    </row>
    <row r="244" spans="1:10" x14ac:dyDescent="0.3">
      <c r="A244" s="5">
        <v>3.9032425436666997E-2</v>
      </c>
      <c r="H244" s="5">
        <v>3.8570665153788E-2</v>
      </c>
      <c r="I244" s="4">
        <f t="shared" si="29"/>
        <v>0.3</v>
      </c>
      <c r="J244" s="4">
        <f t="shared" si="28"/>
        <v>-0.52246305252576009</v>
      </c>
    </row>
    <row r="245" spans="1:10" x14ac:dyDescent="0.3">
      <c r="A245" s="5">
        <v>3.8875581114678003E-2</v>
      </c>
      <c r="C245" s="8"/>
      <c r="D245" s="2" t="s">
        <v>9</v>
      </c>
      <c r="H245" s="5">
        <v>3.8875581114678003E-2</v>
      </c>
      <c r="I245" s="4">
        <f t="shared" si="29"/>
        <v>0.36666666666666664</v>
      </c>
      <c r="J245" s="4">
        <f t="shared" si="28"/>
        <v>-0.33927638280750583</v>
      </c>
    </row>
    <row r="246" spans="1:10" x14ac:dyDescent="0.3">
      <c r="A246" s="5">
        <v>3.9476470213409998E-2</v>
      </c>
      <c r="C246" s="8" t="s">
        <v>10</v>
      </c>
      <c r="D246" s="4">
        <f>C240+E243*SQRT(D240)/(SQRT(15))</f>
        <v>3.9209704086757828E-2</v>
      </c>
      <c r="H246" s="5">
        <v>3.8897805754268003E-2</v>
      </c>
      <c r="I246" s="4">
        <f t="shared" si="29"/>
        <v>0.43333333333333329</v>
      </c>
      <c r="J246" s="4">
        <f t="shared" si="28"/>
        <v>-0.16715058832373922</v>
      </c>
    </row>
    <row r="247" spans="1:10" x14ac:dyDescent="0.3">
      <c r="A247" s="5">
        <v>3.8151968240382E-2</v>
      </c>
      <c r="C247" s="8" t="s">
        <v>11</v>
      </c>
      <c r="D247" s="4">
        <f>C240-E243*SQRT(D240)/(SQRT(15))</f>
        <v>3.8576568301657378E-2</v>
      </c>
      <c r="H247" s="5">
        <v>3.9032425436666997E-2</v>
      </c>
      <c r="I247" s="4">
        <f t="shared" si="29"/>
        <v>0.49999999999999994</v>
      </c>
      <c r="J247" s="4">
        <f t="shared" si="28"/>
        <v>0</v>
      </c>
    </row>
    <row r="248" spans="1:10" x14ac:dyDescent="0.3">
      <c r="A248" s="5">
        <v>3.9570836442956003E-2</v>
      </c>
      <c r="H248" s="5">
        <v>3.9074371882492E-2</v>
      </c>
      <c r="I248" s="4">
        <f t="shared" si="29"/>
        <v>0.56666666666666665</v>
      </c>
      <c r="J248" s="4">
        <f t="shared" si="28"/>
        <v>0.16715058832373922</v>
      </c>
    </row>
    <row r="249" spans="1:10" x14ac:dyDescent="0.3">
      <c r="A249" s="5">
        <v>3.8897805754268003E-2</v>
      </c>
      <c r="H249" s="5">
        <v>3.9246227655424001E-2</v>
      </c>
      <c r="I249" s="4">
        <f t="shared" si="29"/>
        <v>0.6333333333333333</v>
      </c>
      <c r="J249" s="4">
        <f t="shared" si="28"/>
        <v>0.33927638280750583</v>
      </c>
    </row>
    <row r="250" spans="1:10" x14ac:dyDescent="0.3">
      <c r="A250" s="5">
        <v>3.9074371882492E-2</v>
      </c>
      <c r="H250" s="5">
        <v>3.9332881056812999E-2</v>
      </c>
      <c r="I250" s="4">
        <f t="shared" si="29"/>
        <v>0.7</v>
      </c>
      <c r="J250" s="4">
        <f t="shared" si="28"/>
        <v>0.52246305252576009</v>
      </c>
    </row>
    <row r="251" spans="1:10" x14ac:dyDescent="0.3">
      <c r="A251" s="5">
        <v>3.8441667004722999E-2</v>
      </c>
      <c r="H251" s="5">
        <v>3.9341084622900001E-2</v>
      </c>
      <c r="I251" s="4">
        <f t="shared" si="29"/>
        <v>0.76666666666666661</v>
      </c>
      <c r="J251" s="4">
        <f t="shared" si="28"/>
        <v>0.72575040815577163</v>
      </c>
    </row>
    <row r="252" spans="1:10" x14ac:dyDescent="0.3">
      <c r="A252" s="5">
        <v>3.9386543815479999E-2</v>
      </c>
      <c r="H252" s="5">
        <v>3.9386543815479999E-2</v>
      </c>
      <c r="I252" s="4">
        <f t="shared" si="29"/>
        <v>0.83333333333333326</v>
      </c>
      <c r="J252" s="4">
        <f t="shared" si="28"/>
        <v>0.96558119772402329</v>
      </c>
    </row>
    <row r="253" spans="1:10" x14ac:dyDescent="0.3">
      <c r="A253" s="5">
        <v>3.8570665153788E-2</v>
      </c>
      <c r="H253" s="5">
        <v>3.9476470213409998E-2</v>
      </c>
      <c r="I253" s="4">
        <f t="shared" si="29"/>
        <v>0.89999999999999991</v>
      </c>
      <c r="J253" s="4">
        <f t="shared" si="28"/>
        <v>1.2811261510381207</v>
      </c>
    </row>
    <row r="254" spans="1:10" x14ac:dyDescent="0.3">
      <c r="A254" s="5">
        <v>3.9332881056812999E-2</v>
      </c>
      <c r="H254" s="5">
        <v>3.9570836442956003E-2</v>
      </c>
      <c r="I254" s="4">
        <f t="shared" si="29"/>
        <v>0.96666666666666656</v>
      </c>
      <c r="J254" s="4">
        <f t="shared" si="28"/>
        <v>1.8368588976886859</v>
      </c>
    </row>
    <row r="255" spans="1:10" s="3" customFormat="1" ht="4.2" customHeight="1" x14ac:dyDescent="0.3">
      <c r="C255" s="10"/>
    </row>
    <row r="256" spans="1:10" x14ac:dyDescent="0.3">
      <c r="A256" s="2" t="s">
        <v>19</v>
      </c>
      <c r="C256" s="8" t="s">
        <v>1</v>
      </c>
      <c r="D256" s="2" t="s">
        <v>2</v>
      </c>
      <c r="E256" s="2" t="s">
        <v>3</v>
      </c>
      <c r="F256" s="2"/>
      <c r="H256" s="2" t="s">
        <v>4</v>
      </c>
      <c r="I256" s="2" t="s">
        <v>5</v>
      </c>
      <c r="J256" s="2" t="s">
        <v>6</v>
      </c>
    </row>
    <row r="257" spans="1:10" x14ac:dyDescent="0.3">
      <c r="A257" s="5">
        <v>5.3145477366407998E-2</v>
      </c>
      <c r="C257" s="9">
        <f>AVERAGE(A257:A271)</f>
        <v>5.3688778105251064E-2</v>
      </c>
      <c r="D257" s="4">
        <f>_xlfn.VAR.S(A257:A271)</f>
        <v>1.6255566919048949E-6</v>
      </c>
      <c r="E257" s="4">
        <f>SQRT(D257)/C257</f>
        <v>2.3747480520619601E-2</v>
      </c>
      <c r="H257" s="5">
        <v>5.1216482315226998E-2</v>
      </c>
      <c r="I257" s="4">
        <f>1/15 - 0.5/15</f>
        <v>3.3333333333333333E-2</v>
      </c>
      <c r="J257" s="4">
        <f t="shared" ref="J257:J271" si="30">4.91*(I257^0.14-(1-I257)^0.14)</f>
        <v>-1.836858897688687</v>
      </c>
    </row>
    <row r="258" spans="1:10" x14ac:dyDescent="0.3">
      <c r="A258" s="5">
        <v>5.5538761306237999E-2</v>
      </c>
      <c r="H258" s="5">
        <v>5.1465253285807998E-2</v>
      </c>
      <c r="I258" s="4">
        <f t="shared" ref="I258:I271" si="31">I257+1/15</f>
        <v>0.1</v>
      </c>
      <c r="J258" s="4">
        <f t="shared" si="30"/>
        <v>-1.2811261510381207</v>
      </c>
    </row>
    <row r="259" spans="1:10" x14ac:dyDescent="0.3">
      <c r="A259" s="5">
        <v>5.3684442692662003E-2</v>
      </c>
      <c r="C259" s="8" t="s">
        <v>7</v>
      </c>
      <c r="E259" s="2" t="s">
        <v>8</v>
      </c>
      <c r="H259" s="5">
        <v>5.3023438675764999E-2</v>
      </c>
      <c r="I259" s="4">
        <f t="shared" si="31"/>
        <v>0.16666666666666669</v>
      </c>
      <c r="J259" s="4">
        <f t="shared" si="30"/>
        <v>-0.96558119772402384</v>
      </c>
    </row>
    <row r="260" spans="1:10" x14ac:dyDescent="0.3">
      <c r="A260" s="5">
        <v>5.3611598159719998E-2</v>
      </c>
      <c r="C260" s="9">
        <f>MEDIAN(A257:A271)</f>
        <v>5.3611598159719998E-2</v>
      </c>
      <c r="E260" s="4">
        <v>2.145</v>
      </c>
      <c r="H260" s="5">
        <v>5.3145477366407998E-2</v>
      </c>
      <c r="I260" s="4">
        <f t="shared" si="31"/>
        <v>0.23333333333333334</v>
      </c>
      <c r="J260" s="4">
        <f t="shared" si="30"/>
        <v>-0.72575040815577163</v>
      </c>
    </row>
    <row r="261" spans="1:10" x14ac:dyDescent="0.3">
      <c r="A261" s="5">
        <v>5.3585320278143E-2</v>
      </c>
      <c r="H261" s="5">
        <v>5.3304457131086003E-2</v>
      </c>
      <c r="I261" s="4">
        <f t="shared" si="31"/>
        <v>0.3</v>
      </c>
      <c r="J261" s="4">
        <f t="shared" si="30"/>
        <v>-0.52246305252576009</v>
      </c>
    </row>
    <row r="262" spans="1:10" x14ac:dyDescent="0.3">
      <c r="A262" s="5">
        <v>5.5823100311259997E-2</v>
      </c>
      <c r="C262" s="8"/>
      <c r="D262" s="2" t="s">
        <v>9</v>
      </c>
      <c r="H262" s="5">
        <v>5.3465775062067997E-2</v>
      </c>
      <c r="I262" s="4">
        <f t="shared" si="31"/>
        <v>0.36666666666666664</v>
      </c>
      <c r="J262" s="4">
        <f t="shared" si="30"/>
        <v>-0.33927638280750583</v>
      </c>
    </row>
    <row r="263" spans="1:10" x14ac:dyDescent="0.3">
      <c r="A263" s="5">
        <v>5.5195393417013003E-2</v>
      </c>
      <c r="C263" s="8" t="s">
        <v>10</v>
      </c>
      <c r="D263" s="4">
        <f>C257+E260*SQRT(D257)/(SQRT(15))</f>
        <v>5.4394904957800555E-2</v>
      </c>
      <c r="H263" s="5">
        <v>5.3585320278143E-2</v>
      </c>
      <c r="I263" s="4">
        <f t="shared" si="31"/>
        <v>0.43333333333333329</v>
      </c>
      <c r="J263" s="4">
        <f t="shared" si="30"/>
        <v>-0.16715058832373922</v>
      </c>
    </row>
    <row r="264" spans="1:10" x14ac:dyDescent="0.3">
      <c r="A264" s="5">
        <v>5.3304457131086003E-2</v>
      </c>
      <c r="C264" s="8" t="s">
        <v>11</v>
      </c>
      <c r="D264" s="4">
        <f>C257-E260*SQRT(D257)/(SQRT(15))</f>
        <v>5.2982651252701574E-2</v>
      </c>
      <c r="H264" s="5">
        <v>5.3611598159719998E-2</v>
      </c>
      <c r="I264" s="4">
        <f t="shared" si="31"/>
        <v>0.49999999999999994</v>
      </c>
      <c r="J264" s="4">
        <f t="shared" si="30"/>
        <v>0</v>
      </c>
    </row>
    <row r="265" spans="1:10" x14ac:dyDescent="0.3">
      <c r="A265" s="5">
        <v>5.4089437411247998E-2</v>
      </c>
      <c r="H265" s="5">
        <v>5.3684442692662003E-2</v>
      </c>
      <c r="I265" s="4">
        <f t="shared" si="31"/>
        <v>0.56666666666666665</v>
      </c>
      <c r="J265" s="4">
        <f t="shared" si="30"/>
        <v>0.16715058832373922</v>
      </c>
    </row>
    <row r="266" spans="1:10" x14ac:dyDescent="0.3">
      <c r="A266" s="5">
        <v>5.3023438675764999E-2</v>
      </c>
      <c r="H266" s="5">
        <v>5.3998690654273998E-2</v>
      </c>
      <c r="I266" s="4">
        <f t="shared" si="31"/>
        <v>0.6333333333333333</v>
      </c>
      <c r="J266" s="4">
        <f t="shared" si="30"/>
        <v>0.33927638280750583</v>
      </c>
    </row>
    <row r="267" spans="1:10" x14ac:dyDescent="0.3">
      <c r="A267" s="5">
        <v>5.3465775062067997E-2</v>
      </c>
      <c r="H267" s="5">
        <v>5.4089437411247998E-2</v>
      </c>
      <c r="I267" s="4">
        <f t="shared" si="31"/>
        <v>0.7</v>
      </c>
      <c r="J267" s="4">
        <f t="shared" si="30"/>
        <v>0.52246305252576009</v>
      </c>
    </row>
    <row r="268" spans="1:10" x14ac:dyDescent="0.3">
      <c r="A268" s="5">
        <v>5.1465253285807998E-2</v>
      </c>
      <c r="H268" s="5">
        <v>5.4184043511845997E-2</v>
      </c>
      <c r="I268" s="4">
        <f t="shared" si="31"/>
        <v>0.76666666666666661</v>
      </c>
      <c r="J268" s="4">
        <f t="shared" si="30"/>
        <v>0.72575040815577163</v>
      </c>
    </row>
    <row r="269" spans="1:10" x14ac:dyDescent="0.3">
      <c r="A269" s="5">
        <v>5.3998690654273998E-2</v>
      </c>
      <c r="H269" s="5">
        <v>5.5195393417013003E-2</v>
      </c>
      <c r="I269" s="4">
        <f t="shared" si="31"/>
        <v>0.83333333333333326</v>
      </c>
      <c r="J269" s="4">
        <f t="shared" si="30"/>
        <v>0.96558119772402329</v>
      </c>
    </row>
    <row r="270" spans="1:10" x14ac:dyDescent="0.3">
      <c r="A270" s="5">
        <v>5.4184043511845997E-2</v>
      </c>
      <c r="H270" s="5">
        <v>5.5538761306237999E-2</v>
      </c>
      <c r="I270" s="4">
        <f t="shared" si="31"/>
        <v>0.89999999999999991</v>
      </c>
      <c r="J270" s="4">
        <f t="shared" si="30"/>
        <v>1.2811261510381207</v>
      </c>
    </row>
    <row r="271" spans="1:10" x14ac:dyDescent="0.3">
      <c r="A271" s="5">
        <v>5.1216482315226998E-2</v>
      </c>
      <c r="H271" s="5">
        <v>5.5823100311259997E-2</v>
      </c>
      <c r="I271" s="4">
        <f t="shared" si="31"/>
        <v>0.96666666666666656</v>
      </c>
      <c r="J271" s="4">
        <f t="shared" si="30"/>
        <v>1.8368588976886859</v>
      </c>
    </row>
    <row r="272" spans="1:10" s="12" customFormat="1" ht="4.5" customHeight="1" x14ac:dyDescent="0.3">
      <c r="C272" s="13"/>
    </row>
    <row r="273" spans="1:5" x14ac:dyDescent="0.3">
      <c r="A273" s="2"/>
      <c r="C273" s="2"/>
      <c r="D273" s="2"/>
      <c r="E273" s="2"/>
    </row>
    <row r="274" spans="1:5" x14ac:dyDescent="0.3">
      <c r="A274" s="14" t="s">
        <v>20</v>
      </c>
      <c r="B274" s="14"/>
      <c r="C274" s="14"/>
    </row>
    <row r="275" spans="1:5" x14ac:dyDescent="0.3">
      <c r="A275" s="2" t="s">
        <v>21</v>
      </c>
      <c r="B275" s="2" t="s">
        <v>83</v>
      </c>
      <c r="C275" s="2" t="s">
        <v>23</v>
      </c>
    </row>
    <row r="276" spans="1:5" x14ac:dyDescent="0.3">
      <c r="A276" s="2"/>
      <c r="C276" s="4"/>
    </row>
    <row r="277" spans="1:5" x14ac:dyDescent="0.3">
      <c r="A277" s="2" t="s">
        <v>84</v>
      </c>
      <c r="B277" s="4">
        <f>0.001*4</f>
        <v>4.0000000000000001E-3</v>
      </c>
      <c r="C277" s="4">
        <f>C2</f>
        <v>5.9380878312944195E-3</v>
      </c>
    </row>
    <row r="278" spans="1:5" x14ac:dyDescent="0.3">
      <c r="A278" s="2" t="s">
        <v>85</v>
      </c>
      <c r="B278" s="4">
        <f>0.001*5</f>
        <v>5.0000000000000001E-3</v>
      </c>
      <c r="C278" s="4">
        <f>C19</f>
        <v>8.5713914076581601E-3</v>
      </c>
    </row>
    <row r="279" spans="1:5" x14ac:dyDescent="0.3">
      <c r="A279" s="2" t="s">
        <v>86</v>
      </c>
      <c r="B279" s="4">
        <f>0.001*7</f>
        <v>7.0000000000000001E-3</v>
      </c>
      <c r="C279" s="4">
        <f>C36</f>
        <v>1.55747968270904E-2</v>
      </c>
    </row>
    <row r="280" spans="1:5" x14ac:dyDescent="0.3">
      <c r="A280" s="2" t="s">
        <v>66</v>
      </c>
      <c r="B280" s="4">
        <f>0.001*8</f>
        <v>8.0000000000000002E-3</v>
      </c>
      <c r="C280" s="4">
        <f>C53</f>
        <v>2.0326558783159067E-2</v>
      </c>
    </row>
    <row r="281" spans="1:5" x14ac:dyDescent="0.3">
      <c r="A281" s="2" t="s">
        <v>87</v>
      </c>
      <c r="B281" s="4">
        <f>0.001*5</f>
        <v>5.0000000000000001E-3</v>
      </c>
      <c r="C281" s="4">
        <f>C70</f>
        <v>7.8748775021954924E-3</v>
      </c>
    </row>
    <row r="282" spans="1:5" x14ac:dyDescent="0.3">
      <c r="A282" s="2" t="s">
        <v>88</v>
      </c>
      <c r="B282" s="4">
        <f>0.001*6</f>
        <v>6.0000000000000001E-3</v>
      </c>
      <c r="C282" s="4">
        <f>C87</f>
        <v>1.09052900840786E-2</v>
      </c>
    </row>
    <row r="283" spans="1:5" x14ac:dyDescent="0.3">
      <c r="A283" s="2" t="s">
        <v>89</v>
      </c>
      <c r="B283" s="4">
        <f>0.001*8</f>
        <v>8.0000000000000002E-3</v>
      </c>
      <c r="C283" s="4">
        <f>C104</f>
        <v>1.9247477580483799E-2</v>
      </c>
    </row>
    <row r="284" spans="1:5" x14ac:dyDescent="0.3">
      <c r="A284" s="2" t="s">
        <v>68</v>
      </c>
      <c r="B284" s="4">
        <f>0.001*9</f>
        <v>9.0000000000000011E-3</v>
      </c>
      <c r="C284" s="4">
        <f>C121</f>
        <v>2.5046698112566136E-2</v>
      </c>
    </row>
    <row r="285" spans="1:5" x14ac:dyDescent="0.3">
      <c r="A285" s="2" t="s">
        <v>90</v>
      </c>
      <c r="B285" s="4">
        <f>0.001*7</f>
        <v>7.0000000000000001E-3</v>
      </c>
      <c r="C285" s="4">
        <f>C138</f>
        <v>1.3029046631282999E-2</v>
      </c>
    </row>
    <row r="286" spans="1:5" x14ac:dyDescent="0.3">
      <c r="A286" s="2" t="s">
        <v>91</v>
      </c>
      <c r="B286" s="4">
        <f>0.001*8</f>
        <v>8.0000000000000002E-3</v>
      </c>
      <c r="C286" s="4">
        <f>C155</f>
        <v>1.7304514004518802E-2</v>
      </c>
    </row>
    <row r="287" spans="1:5" x14ac:dyDescent="0.3">
      <c r="A287" s="2" t="s">
        <v>92</v>
      </c>
      <c r="B287" s="4">
        <f>0.001*10</f>
        <v>0.01</v>
      </c>
      <c r="C287" s="4">
        <f>C172</f>
        <v>3.0142834526543531E-2</v>
      </c>
    </row>
    <row r="288" spans="1:5" x14ac:dyDescent="0.3">
      <c r="A288" s="2" t="s">
        <v>72</v>
      </c>
      <c r="B288" s="4">
        <f>0.001*11</f>
        <v>1.0999999999999999E-2</v>
      </c>
      <c r="C288" s="4">
        <f>C189</f>
        <v>4.0479609951127003E-2</v>
      </c>
    </row>
    <row r="289" spans="1:7" x14ac:dyDescent="0.3">
      <c r="A289" s="2" t="s">
        <v>25</v>
      </c>
      <c r="B289" s="4">
        <f>0.001*8</f>
        <v>8.0000000000000002E-3</v>
      </c>
      <c r="C289" s="4">
        <f>C206</f>
        <v>1.6593894121528063E-2</v>
      </c>
    </row>
    <row r="290" spans="1:7" x14ac:dyDescent="0.3">
      <c r="A290" s="2" t="s">
        <v>27</v>
      </c>
      <c r="B290" s="4">
        <f>0.001*9</f>
        <v>9.0000000000000011E-3</v>
      </c>
      <c r="C290" s="4">
        <f>C223</f>
        <v>2.1893523264155935E-2</v>
      </c>
    </row>
    <row r="291" spans="1:7" x14ac:dyDescent="0.3">
      <c r="A291" s="2" t="s">
        <v>31</v>
      </c>
      <c r="B291" s="4">
        <f>0.001*11</f>
        <v>1.0999999999999999E-2</v>
      </c>
      <c r="C291" s="4">
        <f>C240</f>
        <v>3.8893136194207603E-2</v>
      </c>
    </row>
    <row r="292" spans="1:7" x14ac:dyDescent="0.3">
      <c r="A292" s="2" t="s">
        <v>33</v>
      </c>
      <c r="B292" s="4">
        <f>0.001*12</f>
        <v>1.2E-2</v>
      </c>
      <c r="C292" s="4">
        <f>C257</f>
        <v>5.3688778105251064E-2</v>
      </c>
    </row>
    <row r="297" spans="1:7" x14ac:dyDescent="0.3">
      <c r="A297" s="14" t="s">
        <v>34</v>
      </c>
      <c r="B297" s="14"/>
      <c r="C297" s="14"/>
      <c r="D297" s="14"/>
    </row>
    <row r="298" spans="1:7" x14ac:dyDescent="0.3">
      <c r="A298" s="2" t="s">
        <v>21</v>
      </c>
      <c r="B298" s="2" t="s">
        <v>83</v>
      </c>
      <c r="C298" s="2" t="s">
        <v>35</v>
      </c>
      <c r="D298" s="2" t="s">
        <v>36</v>
      </c>
      <c r="F298" s="8"/>
      <c r="G298" s="8"/>
    </row>
    <row r="299" spans="1:7" x14ac:dyDescent="0.3">
      <c r="A299" s="2"/>
      <c r="C299" s="4"/>
      <c r="F299" s="2"/>
      <c r="G299" s="2"/>
    </row>
    <row r="300" spans="1:7" x14ac:dyDescent="0.3">
      <c r="A300" s="2" t="s">
        <v>84</v>
      </c>
      <c r="B300" s="4">
        <f>0.001*4</f>
        <v>4.0000000000000001E-3</v>
      </c>
      <c r="C300" s="4">
        <f t="shared" ref="C300:C315" si="32">LN(C277)</f>
        <v>-5.1263681113564914</v>
      </c>
      <c r="D300" s="4">
        <f t="shared" ref="D300:D315" si="33">C300-B300*$C$319-$D$319</f>
        <v>-5.3328111356491625E-2</v>
      </c>
    </row>
    <row r="301" spans="1:7" x14ac:dyDescent="0.3">
      <c r="A301" s="2" t="s">
        <v>85</v>
      </c>
      <c r="B301" s="4">
        <f>0.001*5</f>
        <v>5.0000000000000001E-3</v>
      </c>
      <c r="C301" s="4">
        <f t="shared" si="32"/>
        <v>-4.7593252015979637</v>
      </c>
      <c r="D301" s="4">
        <f t="shared" si="33"/>
        <v>4.76747984020367E-2</v>
      </c>
    </row>
    <row r="302" spans="1:7" x14ac:dyDescent="0.3">
      <c r="A302" s="2" t="s">
        <v>86</v>
      </c>
      <c r="B302" s="4">
        <f>0.001*7</f>
        <v>7.0000000000000001E-3</v>
      </c>
      <c r="C302" s="4">
        <f t="shared" si="32"/>
        <v>-4.1621012592033093</v>
      </c>
      <c r="D302" s="4">
        <f t="shared" si="33"/>
        <v>0.11281874079669052</v>
      </c>
    </row>
    <row r="303" spans="1:7" x14ac:dyDescent="0.3">
      <c r="A303" s="2" t="s">
        <v>66</v>
      </c>
      <c r="B303" s="4">
        <f>0.001*8</f>
        <v>8.0000000000000002E-3</v>
      </c>
      <c r="C303" s="4">
        <f t="shared" si="32"/>
        <v>-3.8958269335906577</v>
      </c>
      <c r="D303" s="4">
        <f t="shared" si="33"/>
        <v>0.11305306640934276</v>
      </c>
    </row>
    <row r="304" spans="1:7" x14ac:dyDescent="0.3">
      <c r="A304" s="2" t="s">
        <v>87</v>
      </c>
      <c r="B304" s="4">
        <f>0.001*5</f>
        <v>5.0000000000000001E-3</v>
      </c>
      <c r="C304" s="4">
        <f t="shared" si="32"/>
        <v>-4.8440776496681881</v>
      </c>
      <c r="D304" s="4">
        <f t="shared" si="33"/>
        <v>-3.7077649668187718E-2</v>
      </c>
    </row>
    <row r="305" spans="1:4" x14ac:dyDescent="0.3">
      <c r="A305" s="2" t="s">
        <v>88</v>
      </c>
      <c r="B305" s="4">
        <f>0.001*6</f>
        <v>6.0000000000000001E-3</v>
      </c>
      <c r="C305" s="4">
        <f t="shared" si="32"/>
        <v>-4.5185072786664264</v>
      </c>
      <c r="D305" s="4">
        <f t="shared" si="33"/>
        <v>2.2452721333573677E-2</v>
      </c>
    </row>
    <row r="306" spans="1:4" x14ac:dyDescent="0.3">
      <c r="A306" s="2" t="s">
        <v>89</v>
      </c>
      <c r="B306" s="4">
        <f>0.001*8</f>
        <v>8.0000000000000002E-3</v>
      </c>
      <c r="C306" s="4">
        <f t="shared" si="32"/>
        <v>-3.9503752616142132</v>
      </c>
      <c r="D306" s="4">
        <f t="shared" si="33"/>
        <v>5.8504738385787292E-2</v>
      </c>
    </row>
    <row r="307" spans="1:4" x14ac:dyDescent="0.3">
      <c r="A307" s="2" t="s">
        <v>68</v>
      </c>
      <c r="B307" s="4">
        <f>0.001*9</f>
        <v>9.0000000000000011E-3</v>
      </c>
      <c r="C307" s="4">
        <f t="shared" si="32"/>
        <v>-3.6870132720128193</v>
      </c>
      <c r="D307" s="4">
        <f t="shared" si="33"/>
        <v>5.5826727987180469E-2</v>
      </c>
    </row>
    <row r="308" spans="1:4" x14ac:dyDescent="0.3">
      <c r="A308" s="2" t="s">
        <v>90</v>
      </c>
      <c r="B308" s="4">
        <f>0.001*7</f>
        <v>7.0000000000000001E-3</v>
      </c>
      <c r="C308" s="4">
        <f t="shared" si="32"/>
        <v>-4.3405740577299854</v>
      </c>
      <c r="D308" s="4">
        <f t="shared" si="33"/>
        <v>-6.565405772998556E-2</v>
      </c>
    </row>
    <row r="309" spans="1:4" x14ac:dyDescent="0.3">
      <c r="A309" s="2" t="s">
        <v>91</v>
      </c>
      <c r="B309" s="4">
        <f>0.001*8</f>
        <v>8.0000000000000002E-3</v>
      </c>
      <c r="C309" s="4">
        <f t="shared" si="32"/>
        <v>-4.0567878863967479</v>
      </c>
      <c r="D309" s="4">
        <f t="shared" si="33"/>
        <v>-4.7907886396748367E-2</v>
      </c>
    </row>
    <row r="310" spans="1:4" x14ac:dyDescent="0.3">
      <c r="A310" s="2" t="s">
        <v>92</v>
      </c>
      <c r="B310" s="4">
        <f>0.001*10</f>
        <v>0.01</v>
      </c>
      <c r="C310" s="4">
        <f t="shared" si="32"/>
        <v>-3.5018080448659084</v>
      </c>
      <c r="D310" s="4">
        <f t="shared" si="33"/>
        <v>-2.5008044865908019E-2</v>
      </c>
    </row>
    <row r="311" spans="1:4" x14ac:dyDescent="0.3">
      <c r="A311" s="2" t="s">
        <v>72</v>
      </c>
      <c r="B311" s="4">
        <f>0.001*11</f>
        <v>1.0999999999999999E-2</v>
      </c>
      <c r="C311" s="4">
        <f t="shared" si="32"/>
        <v>-3.2069568896440384</v>
      </c>
      <c r="D311" s="4">
        <f t="shared" si="33"/>
        <v>3.8031103559621471E-3</v>
      </c>
    </row>
    <row r="312" spans="1:4" x14ac:dyDescent="0.3">
      <c r="A312" s="2" t="s">
        <v>25</v>
      </c>
      <c r="B312" s="4">
        <f>0.001*8</f>
        <v>8.0000000000000002E-3</v>
      </c>
      <c r="C312" s="4">
        <f t="shared" si="32"/>
        <v>-4.0987204752878146</v>
      </c>
      <c r="D312" s="4">
        <f t="shared" si="33"/>
        <v>-8.9840475287815025E-2</v>
      </c>
    </row>
    <row r="313" spans="1:4" x14ac:dyDescent="0.3">
      <c r="A313" s="2" t="s">
        <v>27</v>
      </c>
      <c r="B313" s="4">
        <f>0.001*9</f>
        <v>9.0000000000000011E-3</v>
      </c>
      <c r="C313" s="4">
        <f t="shared" si="32"/>
        <v>-3.8215644272625253</v>
      </c>
      <c r="D313" s="4">
        <f t="shared" si="33"/>
        <v>-7.8724427262525154E-2</v>
      </c>
    </row>
    <row r="314" spans="1:4" x14ac:dyDescent="0.3">
      <c r="A314" s="2" t="s">
        <v>31</v>
      </c>
      <c r="B314" s="4">
        <f>0.001*11</f>
        <v>1.0999999999999999E-2</v>
      </c>
      <c r="C314" s="4">
        <f t="shared" si="32"/>
        <v>-3.2469374913760949</v>
      </c>
      <c r="D314" s="4">
        <f t="shared" si="33"/>
        <v>-3.6177491376094828E-2</v>
      </c>
    </row>
    <row r="315" spans="1:4" x14ac:dyDescent="0.3">
      <c r="A315" s="2" t="s">
        <v>33</v>
      </c>
      <c r="B315" s="4">
        <f>0.001*12</f>
        <v>1.2E-2</v>
      </c>
      <c r="C315" s="4">
        <f t="shared" si="32"/>
        <v>-2.924551273136843</v>
      </c>
      <c r="D315" s="4">
        <f t="shared" si="33"/>
        <v>2.0168726863156294E-2</v>
      </c>
    </row>
    <row r="316" spans="1:4" x14ac:dyDescent="0.3">
      <c r="A316" s="2"/>
      <c r="C316" s="4"/>
    </row>
    <row r="317" spans="1:4" x14ac:dyDescent="0.3">
      <c r="A317" s="2"/>
      <c r="C317" s="14" t="s">
        <v>37</v>
      </c>
      <c r="D317" s="14"/>
    </row>
    <row r="318" spans="1:4" x14ac:dyDescent="0.3">
      <c r="A318" s="2"/>
      <c r="C318" s="2" t="s">
        <v>38</v>
      </c>
      <c r="D318" s="2" t="s">
        <v>39</v>
      </c>
    </row>
    <row r="319" spans="1:4" x14ac:dyDescent="0.3">
      <c r="A319" s="2"/>
      <c r="C319" s="4">
        <v>266.04000000000002</v>
      </c>
      <c r="D319" s="4">
        <v>-6.1372</v>
      </c>
    </row>
    <row r="320" spans="1:4" x14ac:dyDescent="0.3">
      <c r="A320" s="2"/>
      <c r="C320" s="4"/>
    </row>
    <row r="321" spans="1:3" x14ac:dyDescent="0.3">
      <c r="A321" s="14" t="s">
        <v>40</v>
      </c>
      <c r="B321" s="14"/>
      <c r="C321" s="14"/>
    </row>
    <row r="322" spans="1:3" x14ac:dyDescent="0.3">
      <c r="A322" s="2" t="s">
        <v>36</v>
      </c>
      <c r="B322" s="2" t="s">
        <v>5</v>
      </c>
      <c r="C322" s="2" t="s">
        <v>41</v>
      </c>
    </row>
    <row r="323" spans="1:3" x14ac:dyDescent="0.3">
      <c r="A323" s="4">
        <v>-8.9840475287815025E-2</v>
      </c>
      <c r="B323" s="4">
        <f>1/16-0.5/16</f>
        <v>3.125E-2</v>
      </c>
      <c r="C323" s="4">
        <f t="shared" ref="C323:C338" si="34">4.91*(B323^0.14-(1-B323)^0.14)</f>
        <v>-1.8657648402099227</v>
      </c>
    </row>
    <row r="324" spans="1:3" x14ac:dyDescent="0.3">
      <c r="A324" s="4">
        <v>-7.8724427262525154E-2</v>
      </c>
      <c r="B324" s="4">
        <f>B323+1/16</f>
        <v>9.375E-2</v>
      </c>
      <c r="C324" s="4">
        <f t="shared" si="34"/>
        <v>-1.3178098407415364</v>
      </c>
    </row>
    <row r="325" spans="1:3" x14ac:dyDescent="0.3">
      <c r="A325" s="4">
        <v>-6.565405772998556E-2</v>
      </c>
      <c r="B325" s="4">
        <f t="shared" ref="B325:B338" si="35">B324+1/16</f>
        <v>0.15625</v>
      </c>
      <c r="C325" s="4">
        <f t="shared" si="34"/>
        <v>-1.0082783038771823</v>
      </c>
    </row>
    <row r="326" spans="1:3" x14ac:dyDescent="0.3">
      <c r="A326" s="4">
        <v>-5.3328111356491625E-2</v>
      </c>
      <c r="B326" s="4">
        <f t="shared" si="35"/>
        <v>0.21875</v>
      </c>
      <c r="C326" s="4">
        <f t="shared" si="34"/>
        <v>-0.77427005635431245</v>
      </c>
    </row>
    <row r="327" spans="1:3" x14ac:dyDescent="0.3">
      <c r="A327" s="4">
        <v>-4.7907886396748367E-2</v>
      </c>
      <c r="B327" s="4">
        <f t="shared" si="35"/>
        <v>0.28125</v>
      </c>
      <c r="C327" s="4">
        <f t="shared" si="34"/>
        <v>-0.57709366971925891</v>
      </c>
    </row>
    <row r="328" spans="1:3" x14ac:dyDescent="0.3">
      <c r="A328" s="4">
        <v>-3.7077649668187718E-2</v>
      </c>
      <c r="B328" s="4">
        <f t="shared" si="35"/>
        <v>0.34375</v>
      </c>
      <c r="C328" s="4">
        <f t="shared" si="34"/>
        <v>-0.4006301257381869</v>
      </c>
    </row>
    <row r="329" spans="1:3" x14ac:dyDescent="0.3">
      <c r="A329" s="4">
        <v>-3.6177491376094828E-2</v>
      </c>
      <c r="B329" s="4">
        <f t="shared" si="35"/>
        <v>0.40625</v>
      </c>
      <c r="C329" s="4">
        <f t="shared" si="34"/>
        <v>-0.23617194000999964</v>
      </c>
    </row>
    <row r="330" spans="1:3" x14ac:dyDescent="0.3">
      <c r="A330" s="4">
        <v>-2.5008044865908019E-2</v>
      </c>
      <c r="B330" s="4">
        <f t="shared" si="35"/>
        <v>0.46875</v>
      </c>
      <c r="C330" s="4">
        <f t="shared" si="34"/>
        <v>-7.8059966366998385E-2</v>
      </c>
    </row>
    <row r="331" spans="1:3" x14ac:dyDescent="0.3">
      <c r="A331" s="4">
        <v>3.8031103559621471E-3</v>
      </c>
      <c r="B331" s="4">
        <f t="shared" si="35"/>
        <v>0.53125</v>
      </c>
      <c r="C331" s="4">
        <f t="shared" si="34"/>
        <v>7.8059966366998385E-2</v>
      </c>
    </row>
    <row r="332" spans="1:3" x14ac:dyDescent="0.3">
      <c r="A332" s="4">
        <v>2.0168726863156294E-2</v>
      </c>
      <c r="B332" s="4">
        <f t="shared" si="35"/>
        <v>0.59375</v>
      </c>
      <c r="C332" s="4">
        <f t="shared" si="34"/>
        <v>0.23617194000999964</v>
      </c>
    </row>
    <row r="333" spans="1:3" x14ac:dyDescent="0.3">
      <c r="A333" s="4">
        <v>2.2452721333573677E-2</v>
      </c>
      <c r="B333" s="4">
        <f t="shared" si="35"/>
        <v>0.65625</v>
      </c>
      <c r="C333" s="4">
        <f t="shared" si="34"/>
        <v>0.4006301257381869</v>
      </c>
    </row>
    <row r="334" spans="1:3" x14ac:dyDescent="0.3">
      <c r="A334" s="4">
        <v>4.76747984020367E-2</v>
      </c>
      <c r="B334" s="4">
        <f t="shared" si="35"/>
        <v>0.71875</v>
      </c>
      <c r="C334" s="4">
        <f t="shared" si="34"/>
        <v>0.57709366971925891</v>
      </c>
    </row>
    <row r="335" spans="1:3" x14ac:dyDescent="0.3">
      <c r="A335" s="4">
        <v>5.5826727987180469E-2</v>
      </c>
      <c r="B335" s="4">
        <f t="shared" si="35"/>
        <v>0.78125</v>
      </c>
      <c r="C335" s="4">
        <f t="shared" si="34"/>
        <v>0.77427005635431245</v>
      </c>
    </row>
    <row r="336" spans="1:3" x14ac:dyDescent="0.3">
      <c r="A336" s="4">
        <v>5.8504738385787292E-2</v>
      </c>
      <c r="B336" s="4">
        <f t="shared" si="35"/>
        <v>0.84375</v>
      </c>
      <c r="C336" s="4">
        <f t="shared" si="34"/>
        <v>1.0082783038771823</v>
      </c>
    </row>
    <row r="337" spans="1:3" x14ac:dyDescent="0.3">
      <c r="A337" s="4">
        <v>0.11281874079669052</v>
      </c>
      <c r="B337" s="4">
        <f t="shared" si="35"/>
        <v>0.90625</v>
      </c>
      <c r="C337" s="4">
        <f t="shared" si="34"/>
        <v>1.3178098407415364</v>
      </c>
    </row>
    <row r="338" spans="1:3" x14ac:dyDescent="0.3">
      <c r="A338" s="4">
        <v>0.11305306640934276</v>
      </c>
      <c r="B338" s="4">
        <f t="shared" si="35"/>
        <v>0.96875</v>
      </c>
      <c r="C338" s="4">
        <f t="shared" si="34"/>
        <v>1.8657648402099227</v>
      </c>
    </row>
    <row r="340" spans="1:3" x14ac:dyDescent="0.3">
      <c r="A340" s="14" t="s">
        <v>42</v>
      </c>
      <c r="B340" s="14"/>
    </row>
    <row r="341" spans="1:3" x14ac:dyDescent="0.3">
      <c r="A341" s="2" t="s">
        <v>36</v>
      </c>
      <c r="B341" s="2" t="s">
        <v>43</v>
      </c>
    </row>
    <row r="342" spans="1:3" x14ac:dyDescent="0.3">
      <c r="A342" s="4">
        <v>-8.9840475287815025E-2</v>
      </c>
      <c r="B342" s="4">
        <f t="shared" ref="B342:B357" si="36">B299*$C$319+$D$319</f>
        <v>-6.1372</v>
      </c>
    </row>
    <row r="343" spans="1:3" x14ac:dyDescent="0.3">
      <c r="A343" s="4">
        <v>-7.8724427262525154E-2</v>
      </c>
      <c r="B343" s="4">
        <f t="shared" si="36"/>
        <v>-5.0730399999999998</v>
      </c>
    </row>
    <row r="344" spans="1:3" x14ac:dyDescent="0.3">
      <c r="A344" s="4">
        <v>-6.565405772998556E-2</v>
      </c>
      <c r="B344" s="4">
        <f t="shared" si="36"/>
        <v>-4.8070000000000004</v>
      </c>
    </row>
    <row r="345" spans="1:3" x14ac:dyDescent="0.3">
      <c r="A345" s="4">
        <v>-5.3328111356491625E-2</v>
      </c>
      <c r="B345" s="4">
        <f t="shared" si="36"/>
        <v>-4.2749199999999998</v>
      </c>
    </row>
    <row r="346" spans="1:3" x14ac:dyDescent="0.3">
      <c r="A346" s="4">
        <v>-4.7907886396748367E-2</v>
      </c>
      <c r="B346" s="4">
        <f t="shared" si="36"/>
        <v>-4.0088799999999996</v>
      </c>
    </row>
    <row r="347" spans="1:3" x14ac:dyDescent="0.3">
      <c r="A347" s="4">
        <v>-3.7077649668187718E-2</v>
      </c>
      <c r="B347" s="4">
        <f t="shared" si="36"/>
        <v>-4.8070000000000004</v>
      </c>
    </row>
    <row r="348" spans="1:3" x14ac:dyDescent="0.3">
      <c r="A348" s="4">
        <v>-3.6177491376094828E-2</v>
      </c>
      <c r="B348" s="4">
        <f t="shared" si="36"/>
        <v>-4.5409600000000001</v>
      </c>
    </row>
    <row r="349" spans="1:3" x14ac:dyDescent="0.3">
      <c r="A349" s="4">
        <v>-2.5008044865908019E-2</v>
      </c>
      <c r="B349" s="4">
        <f t="shared" si="36"/>
        <v>-4.0088799999999996</v>
      </c>
    </row>
    <row r="350" spans="1:3" x14ac:dyDescent="0.3">
      <c r="A350" s="4">
        <v>3.8031103559621471E-3</v>
      </c>
      <c r="B350" s="4">
        <f t="shared" si="36"/>
        <v>-3.7428399999999997</v>
      </c>
    </row>
    <row r="351" spans="1:3" x14ac:dyDescent="0.3">
      <c r="A351" s="4">
        <v>2.0168726863156294E-2</v>
      </c>
      <c r="B351" s="4">
        <f t="shared" si="36"/>
        <v>-4.2749199999999998</v>
      </c>
    </row>
    <row r="352" spans="1:3" x14ac:dyDescent="0.3">
      <c r="A352" s="4">
        <v>2.2452721333573677E-2</v>
      </c>
      <c r="B352" s="4">
        <f t="shared" si="36"/>
        <v>-4.0088799999999996</v>
      </c>
    </row>
    <row r="353" spans="1:2" x14ac:dyDescent="0.3">
      <c r="A353" s="4">
        <v>4.76747984020367E-2</v>
      </c>
      <c r="B353" s="4">
        <f t="shared" si="36"/>
        <v>-3.4767999999999999</v>
      </c>
    </row>
    <row r="354" spans="1:2" x14ac:dyDescent="0.3">
      <c r="A354" s="4">
        <v>5.5826727987180469E-2</v>
      </c>
      <c r="B354" s="4">
        <f t="shared" si="36"/>
        <v>-3.2107600000000001</v>
      </c>
    </row>
    <row r="355" spans="1:2" x14ac:dyDescent="0.3">
      <c r="A355" s="4">
        <v>5.8504738385787292E-2</v>
      </c>
      <c r="B355" s="4">
        <f t="shared" si="36"/>
        <v>-4.0088799999999996</v>
      </c>
    </row>
    <row r="356" spans="1:2" x14ac:dyDescent="0.3">
      <c r="A356" s="4">
        <v>0.11281874079669052</v>
      </c>
      <c r="B356" s="4">
        <f t="shared" si="36"/>
        <v>-3.7428399999999997</v>
      </c>
    </row>
    <row r="357" spans="1:2" x14ac:dyDescent="0.3">
      <c r="A357" s="4">
        <v>0.11305306640934276</v>
      </c>
      <c r="B357" s="4">
        <f t="shared" si="36"/>
        <v>-3.2107600000000001</v>
      </c>
    </row>
    <row r="359" spans="1:2" x14ac:dyDescent="0.3">
      <c r="A359" s="14" t="s">
        <v>44</v>
      </c>
      <c r="B359" s="14"/>
    </row>
    <row r="360" spans="1:2" x14ac:dyDescent="0.3">
      <c r="A360" s="2" t="s">
        <v>36</v>
      </c>
      <c r="B360" s="2" t="s">
        <v>45</v>
      </c>
    </row>
    <row r="361" spans="1:2" x14ac:dyDescent="0.3">
      <c r="A361" s="4">
        <v>-5.3328111356491625E-2</v>
      </c>
      <c r="B361" s="4">
        <v>1</v>
      </c>
    </row>
    <row r="362" spans="1:2" x14ac:dyDescent="0.3">
      <c r="A362" s="4">
        <v>4.76747984020367E-2</v>
      </c>
      <c r="B362" s="4">
        <v>2</v>
      </c>
    </row>
    <row r="363" spans="1:2" x14ac:dyDescent="0.3">
      <c r="A363" s="4">
        <v>0.11281874079669052</v>
      </c>
      <c r="B363" s="4">
        <v>3</v>
      </c>
    </row>
    <row r="364" spans="1:2" x14ac:dyDescent="0.3">
      <c r="A364" s="4">
        <v>0.11305306640934276</v>
      </c>
      <c r="B364" s="4">
        <v>4</v>
      </c>
    </row>
    <row r="365" spans="1:2" x14ac:dyDescent="0.3">
      <c r="A365" s="4">
        <v>-3.7077649668187718E-2</v>
      </c>
      <c r="B365" s="4">
        <v>5</v>
      </c>
    </row>
    <row r="366" spans="1:2" x14ac:dyDescent="0.3">
      <c r="A366" s="4">
        <v>2.2452721333573677E-2</v>
      </c>
      <c r="B366" s="4">
        <v>6</v>
      </c>
    </row>
    <row r="367" spans="1:2" x14ac:dyDescent="0.3">
      <c r="A367" s="4">
        <v>5.8504738385787292E-2</v>
      </c>
      <c r="B367" s="4">
        <v>7</v>
      </c>
    </row>
    <row r="368" spans="1:2" x14ac:dyDescent="0.3">
      <c r="A368" s="4">
        <v>5.5826727987180469E-2</v>
      </c>
      <c r="B368" s="4">
        <v>8</v>
      </c>
    </row>
    <row r="369" spans="1:12" x14ac:dyDescent="0.3">
      <c r="A369" s="4">
        <v>-6.565405772998556E-2</v>
      </c>
      <c r="B369" s="4">
        <v>9</v>
      </c>
    </row>
    <row r="370" spans="1:12" x14ac:dyDescent="0.3">
      <c r="A370" s="4">
        <v>-4.7907886396748367E-2</v>
      </c>
      <c r="B370" s="4">
        <v>10</v>
      </c>
    </row>
    <row r="371" spans="1:12" x14ac:dyDescent="0.3">
      <c r="A371" s="4">
        <v>-2.5008044865908019E-2</v>
      </c>
      <c r="B371" s="4">
        <v>11</v>
      </c>
    </row>
    <row r="372" spans="1:12" x14ac:dyDescent="0.3">
      <c r="A372" s="4">
        <v>3.8031103559621471E-3</v>
      </c>
      <c r="B372" s="4">
        <v>12</v>
      </c>
    </row>
    <row r="373" spans="1:12" x14ac:dyDescent="0.3">
      <c r="A373" s="4">
        <v>-8.9840475287815025E-2</v>
      </c>
      <c r="B373" s="4">
        <v>13</v>
      </c>
    </row>
    <row r="374" spans="1:12" x14ac:dyDescent="0.3">
      <c r="A374" s="4">
        <v>-7.8724427262525154E-2</v>
      </c>
      <c r="B374" s="4">
        <v>14</v>
      </c>
    </row>
    <row r="375" spans="1:12" x14ac:dyDescent="0.3">
      <c r="A375" s="4">
        <v>-3.6177491376094828E-2</v>
      </c>
      <c r="B375" s="4">
        <v>15</v>
      </c>
    </row>
    <row r="376" spans="1:12" x14ac:dyDescent="0.3">
      <c r="A376" s="4">
        <v>2.0168726863156294E-2</v>
      </c>
      <c r="B376" s="4">
        <v>16</v>
      </c>
    </row>
    <row r="380" spans="1:12" x14ac:dyDescent="0.3">
      <c r="A380" s="14" t="s">
        <v>46</v>
      </c>
      <c r="B380" s="14"/>
      <c r="C380" s="14"/>
      <c r="E380" s="2" t="s">
        <v>47</v>
      </c>
      <c r="F380" s="2" t="s">
        <v>48</v>
      </c>
      <c r="G380" s="2" t="s">
        <v>49</v>
      </c>
      <c r="H380" s="2" t="s">
        <v>50</v>
      </c>
      <c r="L380" s="2" t="s">
        <v>51</v>
      </c>
    </row>
    <row r="381" spans="1:12" x14ac:dyDescent="0.3">
      <c r="A381" s="2"/>
      <c r="B381" s="2" t="s">
        <v>38</v>
      </c>
      <c r="C381" s="2" t="s">
        <v>39</v>
      </c>
      <c r="E381" s="4">
        <v>2.145</v>
      </c>
      <c r="F381" s="4">
        <f>SUM(D300*D300, D301*D301,D302*D302,D303*D303,D304*D304,D305*D305,D306*D306,D307*D307,D308*D308,D309*D309,D310*D310,D311*D311,D312*D312,D313*D313,D314*D314,D315*D315)</f>
        <v>6.2274064439687402E-2</v>
      </c>
      <c r="G381" s="4">
        <f>SUM(C300:C315)/16</f>
        <v>-4.0088434695881272</v>
      </c>
      <c r="H381" s="4">
        <f>SUM(C300*C300,C301*C301,C302*C302,C303*C303,C304*C304,C305*C305,C306*C306,C307*C307,C308*C308,C309*C309,C310*C310,C311*C311,C312*C312,C313*C313,C314*C314,C315*C315)-16*G381*G381</f>
        <v>5.7245038457978126</v>
      </c>
      <c r="L381" s="4">
        <f t="shared" ref="L381:L396" si="37">(C300-$G$381)^2</f>
        <v>1.2488613249595106</v>
      </c>
    </row>
    <row r="382" spans="1:12" x14ac:dyDescent="0.3">
      <c r="A382" s="2" t="s">
        <v>52</v>
      </c>
      <c r="B382" s="4">
        <f>$C$319+$E$381*SQRT(($F$381/14)*(1/$H$381))</f>
        <v>266.09979267163038</v>
      </c>
      <c r="C382" s="4">
        <f>$D$319+$E$381*SQRT(($F$381/(16*14))*(($G$381^2)/$H$381))</f>
        <v>-6.0772751347013614</v>
      </c>
      <c r="L382" s="4">
        <f t="shared" si="37"/>
        <v>0.56322283008048402</v>
      </c>
    </row>
    <row r="383" spans="1:12" x14ac:dyDescent="0.3">
      <c r="A383" s="2" t="s">
        <v>53</v>
      </c>
      <c r="B383" s="4">
        <f>$C$319-$E$381*SQRT(($F$381/14)*(1/$H$381))</f>
        <v>265.98020732836966</v>
      </c>
      <c r="C383" s="4">
        <f>$D$319-$E$381*SQRT(($F$381/(16*4))*(($G$381^2)/$H$381))</f>
        <v>-6.2493091574480424</v>
      </c>
      <c r="E383" s="2" t="s">
        <v>54</v>
      </c>
      <c r="F383" s="2" t="s">
        <v>55</v>
      </c>
      <c r="L383" s="4">
        <f t="shared" si="37"/>
        <v>2.3487950077731419E-2</v>
      </c>
    </row>
    <row r="384" spans="1:12" x14ac:dyDescent="0.3">
      <c r="E384" s="4">
        <f>SUM(L381:L396)</f>
        <v>5.7245038457978996</v>
      </c>
      <c r="F384" s="4">
        <f>($E$384 - $F$381)/$E$384</f>
        <v>0.98912149137861083</v>
      </c>
      <c r="L384" s="4">
        <f t="shared" si="37"/>
        <v>1.2772737408867325E-2</v>
      </c>
    </row>
    <row r="385" spans="1:12" x14ac:dyDescent="0.3">
      <c r="A385" s="14" t="s">
        <v>56</v>
      </c>
      <c r="B385" s="14"/>
      <c r="C385" s="14"/>
      <c r="L385" s="4">
        <f t="shared" si="37"/>
        <v>0.69761613557401159</v>
      </c>
    </row>
    <row r="386" spans="1:12" x14ac:dyDescent="0.3">
      <c r="A386" s="2" t="s">
        <v>43</v>
      </c>
      <c r="B386" s="2" t="s">
        <v>11</v>
      </c>
      <c r="C386" s="2" t="s">
        <v>10</v>
      </c>
      <c r="L386" s="4">
        <f t="shared" si="37"/>
        <v>0.25975719828420102</v>
      </c>
    </row>
    <row r="387" spans="1:12" x14ac:dyDescent="0.3">
      <c r="A387" s="4">
        <f t="shared" ref="A387:A396" si="38">B299*$C$319+$D$319</f>
        <v>-6.1372</v>
      </c>
      <c r="B387" s="4">
        <f>$A387-$E$381*SQRT(($F$381/14)*(1 + 1/16+((B299-$G$381)^2)/$H$381))</f>
        <v>-6.4186267164257753</v>
      </c>
      <c r="C387" s="4">
        <f>$A387+$E$381*SQRT(($F$381/14)*(1 + 1/16+((C299-$G$381)^2)/$H$381))</f>
        <v>-5.8557732835742247</v>
      </c>
      <c r="L387" s="4">
        <f t="shared" si="37"/>
        <v>3.418531343680867E-3</v>
      </c>
    </row>
    <row r="388" spans="1:12" x14ac:dyDescent="0.3">
      <c r="A388" s="4">
        <f t="shared" si="38"/>
        <v>-5.0730399999999998</v>
      </c>
      <c r="B388" s="4">
        <f t="shared" ref="B388:B402" si="39">$A388-$E$381*SQRT(($F$381/14)*(1 + 1/16+((B300-$G$381)^2)/$H$381))</f>
        <v>-5.3546704530589624</v>
      </c>
      <c r="C388" s="4">
        <f t="shared" ref="C388:C402" si="40">$A388+$E$381*SQRT(($F$381/14)*(1 + 1/16+((C300-$G$381)^2)/$H$381))</f>
        <v>-4.9111448223461629</v>
      </c>
      <c r="L388" s="4">
        <f t="shared" si="37"/>
        <v>0.10357467607136175</v>
      </c>
    </row>
    <row r="389" spans="1:12" x14ac:dyDescent="0.3">
      <c r="A389" s="4">
        <f t="shared" si="38"/>
        <v>-4.8070000000000004</v>
      </c>
      <c r="B389" s="4">
        <f t="shared" si="39"/>
        <v>-5.0886813959227961</v>
      </c>
      <c r="C389" s="4">
        <f t="shared" si="40"/>
        <v>-4.6528611704626197</v>
      </c>
      <c r="L389" s="4">
        <f t="shared" si="37"/>
        <v>0.11004518310894314</v>
      </c>
    </row>
    <row r="390" spans="1:12" x14ac:dyDescent="0.3">
      <c r="A390" s="4">
        <f t="shared" si="38"/>
        <v>-4.2749199999999998</v>
      </c>
      <c r="B390" s="4">
        <f t="shared" si="39"/>
        <v>-4.5567032920838875</v>
      </c>
      <c r="C390" s="4">
        <f t="shared" si="40"/>
        <v>-4.1271731276644505</v>
      </c>
      <c r="L390" s="4">
        <f t="shared" si="37"/>
        <v>2.2986671031187526E-3</v>
      </c>
    </row>
    <row r="391" spans="1:12" x14ac:dyDescent="0.3">
      <c r="A391" s="4">
        <f t="shared" si="38"/>
        <v>-4.0088799999999996</v>
      </c>
      <c r="B391" s="4">
        <f t="shared" si="39"/>
        <v>-4.290714245377373</v>
      </c>
      <c r="C391" s="4">
        <f t="shared" si="40"/>
        <v>-3.8612628273985572</v>
      </c>
      <c r="L391" s="4">
        <f t="shared" si="37"/>
        <v>0.25708492192324084</v>
      </c>
    </row>
    <row r="392" spans="1:12" x14ac:dyDescent="0.3">
      <c r="A392" s="4">
        <f t="shared" si="38"/>
        <v>-4.8070000000000004</v>
      </c>
      <c r="B392" s="4">
        <f t="shared" si="39"/>
        <v>-5.0886813959227961</v>
      </c>
      <c r="C392" s="4">
        <f t="shared" si="40"/>
        <v>-4.6513103830615439</v>
      </c>
      <c r="L392" s="4">
        <f t="shared" si="37"/>
        <v>0.64302208709442765</v>
      </c>
    </row>
    <row r="393" spans="1:12" x14ac:dyDescent="0.3">
      <c r="A393" s="4">
        <f t="shared" si="38"/>
        <v>-4.5409600000000001</v>
      </c>
      <c r="B393" s="4">
        <f t="shared" si="39"/>
        <v>-4.8226923422650669</v>
      </c>
      <c r="C393" s="4">
        <f t="shared" si="40"/>
        <v>-4.3903816499746293</v>
      </c>
      <c r="L393" s="4">
        <f t="shared" si="37"/>
        <v>8.0778761535416372E-3</v>
      </c>
    </row>
    <row r="394" spans="1:12" x14ac:dyDescent="0.3">
      <c r="A394" s="4">
        <f t="shared" si="38"/>
        <v>-4.0088799999999996</v>
      </c>
      <c r="B394" s="4">
        <f t="shared" si="39"/>
        <v>-4.290714245377373</v>
      </c>
      <c r="C394" s="4">
        <f t="shared" si="40"/>
        <v>-3.861376146389345</v>
      </c>
      <c r="L394" s="4">
        <f t="shared" si="37"/>
        <v>3.5073439694394581E-2</v>
      </c>
    </row>
    <row r="395" spans="1:12" x14ac:dyDescent="0.3">
      <c r="A395" s="4">
        <f t="shared" si="38"/>
        <v>-3.7428399999999997</v>
      </c>
      <c r="B395" s="4">
        <f t="shared" si="39"/>
        <v>-4.0247252021436397</v>
      </c>
      <c r="C395" s="4">
        <f t="shared" si="40"/>
        <v>-3.5941273191990453</v>
      </c>
      <c r="L395" s="4">
        <f t="shared" si="37"/>
        <v>0.58050071963523386</v>
      </c>
    </row>
    <row r="396" spans="1:12" x14ac:dyDescent="0.3">
      <c r="A396" s="4">
        <f t="shared" si="38"/>
        <v>-4.2749199999999998</v>
      </c>
      <c r="B396" s="4">
        <f t="shared" si="39"/>
        <v>-4.5567032920838875</v>
      </c>
      <c r="C396" s="4">
        <f t="shared" si="40"/>
        <v>-4.1261295616240208</v>
      </c>
      <c r="L396" s="4">
        <f t="shared" si="37"/>
        <v>1.1756895672851502</v>
      </c>
    </row>
    <row r="397" spans="1:12" x14ac:dyDescent="0.3">
      <c r="A397" s="4">
        <f t="shared" ref="A397:A401" si="41">B309*$C$319+$D$319</f>
        <v>-4.0088799999999996</v>
      </c>
      <c r="B397" s="4">
        <f t="shared" si="39"/>
        <v>-4.290714245377373</v>
      </c>
      <c r="C397" s="4">
        <f t="shared" si="40"/>
        <v>-3.8613897185162855</v>
      </c>
    </row>
    <row r="398" spans="1:12" x14ac:dyDescent="0.3">
      <c r="A398" s="4">
        <f t="shared" si="41"/>
        <v>-3.4767999999999999</v>
      </c>
      <c r="B398" s="4">
        <f t="shared" si="39"/>
        <v>-3.7587361623808042</v>
      </c>
      <c r="C398" s="4">
        <f t="shared" si="40"/>
        <v>-3.3262533770845728</v>
      </c>
    </row>
    <row r="399" spans="1:12" x14ac:dyDescent="0.3">
      <c r="A399" s="4">
        <f t="shared" si="41"/>
        <v>-3.2107600000000001</v>
      </c>
      <c r="B399" s="4">
        <f t="shared" si="39"/>
        <v>-3.4927471260869845</v>
      </c>
      <c r="C399" s="4">
        <f t="shared" si="40"/>
        <v>-3.0556984826315814</v>
      </c>
    </row>
    <row r="400" spans="1:12" x14ac:dyDescent="0.3">
      <c r="A400" s="4">
        <f t="shared" si="41"/>
        <v>-4.0088799999999996</v>
      </c>
      <c r="B400" s="4">
        <f t="shared" si="39"/>
        <v>-4.290714245377373</v>
      </c>
      <c r="C400" s="4">
        <f t="shared" si="40"/>
        <v>-3.8613196911433576</v>
      </c>
    </row>
    <row r="401" spans="1:3" x14ac:dyDescent="0.3">
      <c r="A401" s="4">
        <f t="shared" si="41"/>
        <v>-3.7428399999999997</v>
      </c>
      <c r="B401" s="4">
        <f t="shared" si="39"/>
        <v>-4.0247252021436397</v>
      </c>
      <c r="C401" s="4">
        <f t="shared" si="40"/>
        <v>-3.5949530218529056</v>
      </c>
    </row>
    <row r="402" spans="1:3" x14ac:dyDescent="0.3">
      <c r="A402" s="4">
        <f>B314*$C$319+$D$319</f>
        <v>-3.2107600000000001</v>
      </c>
      <c r="B402" s="4">
        <f t="shared" si="39"/>
        <v>-3.4927471260869845</v>
      </c>
      <c r="C402" s="4">
        <f t="shared" si="40"/>
        <v>-3.0564209250622483</v>
      </c>
    </row>
  </sheetData>
  <sortState xmlns:xlrd2="http://schemas.microsoft.com/office/spreadsheetml/2017/richdata2" ref="A323:A338">
    <sortCondition ref="A323:A338"/>
  </sortState>
  <mergeCells count="8">
    <mergeCell ref="A380:C380"/>
    <mergeCell ref="A385:C385"/>
    <mergeCell ref="A274:C274"/>
    <mergeCell ref="A297:D297"/>
    <mergeCell ref="C317:D317"/>
    <mergeCell ref="A321:C321"/>
    <mergeCell ref="A340:B340"/>
    <mergeCell ref="A359:B35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EF02A-BF43-42EE-A469-6ECF125B9A6C}">
  <dimension ref="A1:A3"/>
  <sheetViews>
    <sheetView workbookViewId="0"/>
  </sheetViews>
  <sheetFormatPr defaultRowHeight="14.4" x14ac:dyDescent="0.3"/>
  <sheetData>
    <row r="1" spans="1:1" x14ac:dyDescent="0.3">
      <c r="A1" s="1" t="s">
        <v>93</v>
      </c>
    </row>
    <row r="2" spans="1:1" x14ac:dyDescent="0.3">
      <c r="A2" s="1" t="s">
        <v>94</v>
      </c>
    </row>
    <row r="3" spans="1:1" x14ac:dyDescent="0.3">
      <c r="A3" s="1" t="s">
        <v>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6 0 7 7 0 a 3 - b c 2 3 - 4 1 0 a - 9 d d 9 - 5 c 5 a 0 6 4 3 8 4 9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q 8 A A A K v A b + r 0 P 4 A A C + F S U R B V H h e 7 Z 3 n e x x J k t 6 j P W z D g w B B g C Q I 0 H v P 4 X C G 5 M z t z u 6 t 9 q T T 6 S S d 2 X 1 0 K + 2 e T v c X 6 Y M e f d Q n z a O 9 m d 0 b w + H Q g w Y k H B 0 8 Q H g Q H m i 0 b 8 U b W d l d 3 e g G G i B m l m j 0 S y a y q t p X 1 a 8 i M j I y y / L / b j V F K K u s s t o U W Y 0 6 q 6 y y 2 g R Z f n / 7 Y d Z C Z Z X V J i l r o b L K a h O V B S q r r D Z R 7 P I 9 y r p 8 7 4 G c + a X k z C s n q 7 2 I X D a i x v I A l e a F K R K J U D A Y J L v d T i / G 7 D Q 2 b 6 O S f K I z d U F a 8 l v I G g n S 6 N Q M v e o f o V A 4 b L x b V n 8 q W f 7 l T h a o H 1 t 2 Z w H l l h 2 i Q I A o H A o z C B G K M A y A R 5 e 6 k h A 1 V A T p T r e T P m r w 0 Y L P Q s 2 D T g p F L P I e 5 6 s n 6 d V 0 K e 0 v n q K J 6 S W q r 6 s k m y O H c p w 2 s l q t 5 A 9 Z q K m j k + a X P P L 8 r H 4 c Z Y H 6 k V R Q c Y Q C 4 T w K M U C R c I j q y w J U W x S g W z 0 u 8 g e U Z Q F I u c 4 I 7 S n 2 U 6 X b Q g 6 b O j R h h g 2 Q J A r b v V 4 v 5 e T k k M 3 G Z o 0 1 O z t L J S X F F A q G y O 5 w C K h 5 + Q X U O z p F L / r e y H O y + u H E Q D 3 O A v U D q a T 2 L H n Y Q A T 5 5 A 4 z R N c b l s n H V u n J k I M u 7 f Y J Q N N L F n o 2 S F Q R e k 3 F 7 h y q q a m J g 2 d 6 e l r A c T A c M z M z V F V V z Q C 5 j E e J h o a G a d e u G g Y 1 R F N T U + I a T k / P U F l Z K R U U F J D L 5 Z L P A X A o F o u V e s a m q f v N m P E O W W 2 m L F / c z Q K 1 2 c q t O E t + f 1 j a P j i Z A Q S E Z Z c t T L 6 g h R o r A m R l 7 6 2 m K C i P a S 0 t L c V Z H M D h d D o o L y + P F h e X + D 3 C X C + S h f + F + f 1 K S 0 v k M Q h Q K W g s 8 h k u e 4 Q W F h b Z t Q x Q f n 4 u 5 e b m 8 a u I r P y c k T k L 1 Z W 7 6 O v H 7 f K 9 s t o c Z Y H a J N m c + W Q v P M Q g B Q U g F J y o u m j t Z 5 B q i + M h 0 m p t a a X d u 3 f T w u I C W 7 Z l O n B g v 0 A y M D B I e b m 5 A o v T 5 W R A g v w 5 f g G n u r r K e L X S 4 O A b s r G F q 2 G r B U U Y I X y 8 j Y 0 e v g e s H 1 4 3 5 w l T S Y G d f O w y F p W W 0 l c P 2 8 U d z e r d l A X q H e X M d Z M l b 7 + A h J N f g w Q l 1 l o 1 R S E 6 t I N 9 P 0 P 6 8 V e v X t O + f f U 0 4 3 N R Z Y E 6 u f / Y w W 0 p h 5 M q C 8 N k n 2 m l w 0 c O k 8 / n E y v D L 6 T e 3 l 4 G 7 4 A 8 F 6 B A c A N b p 6 v Z 3 c u l A l e E A Q 5 R 9 1 s 7 B U J E l 3 c v M p x O m v e y p Q o t 8 7 J L 3 E J Y M V j G b 5 p f r f i + W a U v y x f 3 n m T 3 3 g a V W 3 6 G v F 4 F E k 5 C s 2 t n r s 2 y R b x 0 d b 9 6 L q x F 6 7 C D J h e t Z G c L E j Q M R G 1 J m N 7 M W O m T / T 6 G h G j G Y 6 X m N w 5 5 z O 9 b p p J A F + U 7 / N T Y 2 C C W C k A A B q 3 H / X a a 8 y n X L 1 G n a w M U 8 Y x T U X E J r 0 X Y n X T R k s f P Y D m k n Y Y 2 2 K L H R / d e 9 K o X Z L U u W b 7 M A r V u u a t P E T d n p I 1 k d u 8 g X a N 9 d K 3 B K 0 B A y e B 6 O u S g 6 a X 4 6 B 1 e V 5 g T o T m v 2 g 5 X D W 4 i r B r a R W 0 j D n n s / G 4 / D X a 2 U 2 5 e r n y P 4 u J i m p + f p 9 G R M T p 3 / g z d G y y W 1 0 P 4 D v h 4 M 2 C F w Q E 6 u q d Q Q M Q F 4 c W Y g 2 Y C B Q y 5 h X 5 y M C B w P e s e p v H p W e M V W a W j L F D r l L P 0 D L t c g T i Q E m G C z l V N U j D g p 1 J u n y T q 2 0 5 l T Q C P 0 x 4 h b y B 2 o n + 0 z 0 d N / U 7 p R 0 o U A L 3 Z b V i i S J h O l o 1 R e X k p L f P r 7 / W p y F 9 x b p j O 1 v q l v 8 p m W X l o 0 a Z 6 0 O e U 1 0 B X 6 r 3 0 d m K E i o q K a N J f Q n 3 T D r r e 6 C M H m 0 x Y U F d u H v 3 h f o s 8 N 6 u 1 x U A 1 Z 4 F K Q w W V B 8 n j z Z G 2 x m o g Q U U 5 I d q d M 8 w n e / k K t + v V h J 2 G Z u 3 G 2 t p C W 2 t m 2 U q F z j C N L r A 7 5 o t / v 8 N V A Z r j x w 9 U B u i 7 L g X b L m 4 z H e T 1 t W T + b l 1 d 3 b S 8 v E y 7 9 + y l J + M V / B 5 h f u 8 g L f o d V F F k p z t t P b T k 9 R n P z i q V L F / e z w K 1 l n L L T 5 P H E 4 i 2 l c z F L K w 7 b R G x M r p / S A t P v d X r o q D J 8 s B C 2 a w R t i R E O 9 m l s 4 U 9 D E 6 A S o v y o 1 Y s H Z 2 r 8 9 P j Q a d 0 B A e M 9 7 + w 2 0 e F r v Q O r Q b r z u 2 7 d O T o Y b G q d / r 4 8 8 N B 2 m 3 v o / K K M o k s V u / a T V 8 / a p X n Z p V c l j 9 k g V p V 9 u L T 7 O L 5 U 7 a V t P T 6 v v I g 9 b 0 Z p y t H y x g W i 8 q / W 1 B 9 S t C H e 3 2 U 4 0 i + y / v 7 B 2 j P n t 2 y f I O B W u + B A a B h 4 0 V A B I s A H O 5 j H n / m B / z Z a H 9 5 / P z o 0 j C 5 3 Y W U m 5 u r n s 9 Q o Y z O s z W 0 z p P H F 6 K O m W o q z w / T q V 0 B c f 8 Q t r c 7 n P T 1 4 + f y m q x W i p u 8 2 P X Z k l g s V j t Z 3 a f I y 2 6 O O R y u i 1 b i e s 9 b O 4 V z a / j k t t D D A a e k E g U m W u n T / V 4 p q W B C C l F e X r 4 s I x 0 p + b N W l 4 Y J 0 o u 6 L e b h N t P w n E 2 g e z 7 m I J s j l / L z 8 w U U l J a W N v k d F s 8 o + S y F t K O 8 m E p y Q / R 2 y U r f v H b J 7 8 d + G B z o p 4 + O 7 u V 3 j N 9 f 2 a K K 5 Q 8 P n m 7 k 2 G W 0 C s v r a N F b E m 0 v O a z I b k h t l R J 1 k d 0 t 9 P 9 o P X 7 8 h M 6 d O 2 u s J R f S i t C x W l 5 e J u v d / a P 0 J r i H P w M Z E b J p U 4 W M j R 2 h 5 7 R / f 6 O s 6 w s D 4 I L Q p t K P 3 e r J o a B n i o 5 X e a i q q o r 8 v F 8 i t j x 6 9 K o 7 5 T 7 Y r r L 8 M Q t U n H L c 1 e Q N V 0 Z h Q o H M J 0 6 q k 6 g o N 0 z n a v 3 G m h K e + / p V J x 0 4 u D 8 u C J B M S C k K M z 3 D w 8 P S w e t 0 O o 1 H V B / V 9 z r C Z w h t p o + 5 v a b 1 Z h Y p R T Z a 8 M W H 4 p M p M v 2 C L h w u p 8 L C Q u r s 7 J K E 2 s r K S u N R o m d P W + j 0 m V P G m p J 2 C 9 + 8 e U N 7 9 + 6 l s b E x e j W x Z D y a F c R A P c s C Z S i v t J a W f M V x k T w o H Z h w Y u v s c A j P e / H 8 J R 0 6 f D B 6 1 U 9 H P b 2 9 5 C 5 0 U 0 V F u b F l p Q Z m 7 N Q 1 q S K F c C P N w n f 3 + 5 G 7 l y f R v 6 f D D g q F L X S k S k X 9 4 O 5 B x b Y Z q i 9 Z l n Y R I B 4 b G 6 d D h 1 T G h V Z v b x / V 1 + + N u x B o q O D + o U M Z C b k d I 3 P 8 e 4 0 n b H N Z / t i U B Q r K L 6 m m J X + F Z B 5 o m B L h S Q X T 8 W q / p A Z p 4 X l t r e 1 0 4 u R x Y 0 v 6 e v D g I V 2 6 d M F Y W 7 8 U U H 5 p H 6 2 m 7 u 5 u d u t 6 6 G c / + 6 m k L 9 X X 1 8 t 2 p D 8 h h 1 B D N D 8 / R 2 5 3 U V K o h o e G a W f N T u l Y f t g 9 a j y 6 v Z X + p T P D B Z h w M i Y D C U o F E 1 R h w O T x e K i l t U 2 A 3 A h M E L L C 3 0 X I c E C A Y T U N s W v Y 0 N B A O T m 5 E g x B R r r W w Y M H 5 P t j X B U E m H q 6 e + N + v 9 5 H S M A F W I g U X m z c a T y 6 v Y W g T 5 J Y x f Y q 1 s K T G 2 o z Q X C 5 5 u f m Z N g F h l G c P H E 8 O v R i I 9 q M j G + z N U k m d P w i d H 7 i w l V J P T r B 3 9 k s f H + k M r 1 m a 4 X f j n 6 o l t b n v G 9 W Q o W i 3 b 9 j O 4 u T 7 t / t V L Z 9 2 N x W d D L q 5 q U D k 1 y B W D n 2 S L T 9 k o 6 L l Y 7 w W U u b M G S 9 h t 2 w t Y T w / d M h J z 3 o j w 1 W T N Q B s V Y R v t g E G T w X 3 e j K o c 7 J 2 M V C 7 5 s 5 v q B g 3 x U X F 9 G J O k Q p V + 7 n 7 V K s S b Z t m 5 J T f k L y 8 n Q G B L Q a T B A u 0 g D p w 3 o V X c N Q i o m J y a i L 9 C 7 C S V l S g i z w d 1 N R k V t + 0 2 r C h Q G W C h O 9 t I + o Q E U y 2 W x W C e U f P N B A p 3 d 6 a G D a z t b N e J C F f T T s K Z V 9 A P X 3 D 1 K F O y f p / t 4 O Z d u 2 o V w F F W w N Y k M v d N F K B h P 0 S a N X r s j P n 7 + g h w 8 f U V 9 f H x 0 5 c l i G P T Q 1 P V z z R F 5 N c L V g C c Y n J s T q b V R w 4 5 a X 1 8 6 7 0 / l + 4 4 s 2 6 f R d S 6 U F V j p W H Z B E 3 O d j s X z E A 5 V + g a 6 r q 4 v b c D b a U x H L d N 9 u s n z 1 s D X 5 m Z P h i u Q f k 5 P W D J R W K p i 0 i 6 f D y W Z 1 d n b K a F u M m M W w 9 L I y 1 U G 7 U T U 3 P 5 X x T n n s S t o Z N H w n 9 F N h n o i 1 2 k j 4 T f P z C 9 K 3 l I 5 0 3 m B i C D 6 V M F i x n y 0 V v s Y n j T 7 J X M 9 z q n 2 G i w L a o 7 B Y / f M b v 7 h s V W 1 L l 8 9 e f D w a h E g X p s Z y N W w d J + v u 3 X W y b B Y A Q s M c E C D q d f / e A w k n r 1 e Y N w K Z F c e P H x N 4 F u b n 6 e n T Z / T d j e / l f c f H x 6 m 1 t X V V C 4 Z + L 2 R e r C Z M t K R j D M e q 1 X s B L A x 2 X E s N v C 9 O 1 v h 5 X + E 1 3 L Z 6 M i j b A T q + H z 6 / t K y U G q v c K / Z 9 p p d t 5 / K 5 C q t k l K 2 G y a x U M G E 4 + u 5 S 9 R p Y o s Q o H s A x B y U Q 7 f v g 8 i W 2 V o M 0 O a n a F m s J Q y f u 3 W t i l 8 k u a U o I f + P E R J v q 9 O l T 5 C 4 q F L c S q T 8 n T p z g 5 3 v p w Y M m C d U n C i f 2 6 9 e d D G Y z 9 f T 0 S u b F 6 O g Y v X 3 7 V k A D t N M L I Q q G 1 M U k j + b J a f y k 1 h F n W n m E S J p d X l T Q n j 9 S S 9 + 8 d t L r C c w J q E Y K Y 1 4 L C m 7 c b d 2 q s n z 9 q C 2 d / Z c x i u Q f l e z x j b h 6 9 + 8 / o A 8 + u C T L Z i 2 w K 6 Y n U U k U Q H n 4 8 D F d v f q R s S V e g P T Z s x a 2 b I 2 S / Z 1 K b 9 9 O M a i 5 0 R m O t B C u b 2 l p p e M n j l M h W z S t m z e / p 2 v X r h p r M e n f j N + P C 0 F r a 7 t Y X A R X B m Y c F M i v p 4 q C E J 3 Y u f Z 4 K i j A 7 + F g 0 C c Z 1 r a Z W t m G i 3 V N U Y C q c 2 c k S f j F W K y f K 9 O 1 r V w + V 9 k x C Q G v x 9 U D T L p N g E 7 P Z J q b n U s K E w Q 3 7 e z Z 0 + I C Y o i 6 W b A u L 1 + 8 o j N n T q 8 K E 4 R G / y M G M 1 G w j J c v f 8 D t L D v d u X N P A i a T k 2 / 5 5 + J H r x S s B y w f L K B 0 y F 4 8 L z M n Y d j I x 6 d U u H 1 y c e 0 A h R b a d 6 0 t b b T E V g / 7 S j 6 V P 2 N o z k 4 v 3 7 r F N S 3 N d 8 Q d h 0 w u 2 8 r l 8 3 j U E I R E e F L B N D f c T g s L C 3 I S V l Z W J B 3 O D i 2 a M g 2 S C W 0 h u I C w C I A K L t i D + 0 1 i K T G g L x 3 h e + 9 r U O l B y Z S b m 0 N X r l w W C 4 Z o 4 9 V r H x u P b E x o T 5 n 6 c V M K + w Z Z I b p d + Q l D p f a n R S a K 6 e k f p v L c 9 E c o b 3 U x U E k w y 8 D i K D 4 m J z Q O t i 5 r q a j m m G R j o + 2 y m m b n 0 u u D w n t Z 2 D q 4 3 W 6 6 9 M H F t K N w E G a f N c 9 s l E r a 8 m x U Z 3 b F 2 j 1 6 S H 0 6 A l g 6 U I J B j R B m q Z 1 y H s O C a l M l O S 6 Z V r Z N 6 t H y c v y c e V q r g V X g S i 8 N K M g u Y T r C y R 5 k l 9 M 8 L C N 9 R d Y E W y u x n b U e l e S F q b E i F p 2 8 3 Z s 6 k 0 I L + x A B j 1 l 2 f b E c M u 9 S h m l 2 2 U a 7 3 b a k x y X T y r Z o Q z l K j s Y F I V a D y C x 3 m n M y O J z x J x 0 w x M j d Z D M X e T x L A t Z 6 h b Z R q n Z a o m p 2 V h t L 6 x f a m E s j b R T 0 q e i h P 4 h h 8 a o f z L z f E M R A F H F i Y k L G R 8 E d 1 k N O M F w E g o V C 6 R h 3 U c + k g 4 p c m e 8 Q b Y s 2 1 P J y / H w Q W m u B d X C H 6 q t a S 5 j O G A r z i Y R 3 x E 7 F 3 B L m 6 c G 0 + v o G J C i w H n V 1 9 4 i 7 B 1 d x L S F 7 H N M 1 b 1 Q z M 9 N 0 6 P A h + u x Y 7 D t i D N X C o s o Q G R k Z o / s P m q Q d e O 7 c G R m U W F d X J 2 F 5 C L 9 f w w c 3 U J e x J T u 5 7 e l Z / K 0 s y z d P O l Y / q 7 a 4 b L m V 5 A k U S / s p E a r V g P J 6 5 q j O 2 k m 7 d u 2 S Q A K i Y H g 9 Y E D n J Z J Y 5 f X 8 f 2 Z 2 h u o P n 5 M b p G k h 4 B A I + G l 4 J k I j 3 U / l u c i x Q 2 Z 3 u q 4 b B D c q F A q m n X n x z d f f 0 s d X P 9 q g W 0 n U z 8 D v 2 a s m i n n Q 7 6 Q l v w L L 7 1 2 k n x + P f W / s T / P v Q P v J Y n X J z E 4 Q I M J v D i M 8 H / D J H I U H y x Z o L p 1 I x x a W 5 d v m z A Y q n H s k O t E K D r C G S N e Q e R p k r T M 1 H i r J V y f T 8 4 4 X 5 G Y Y 0 F l 6 5 M g h 2 r F j R / T K q w V r h A x u h N h v 3 7 5 L Z 8 + e o Y G B A T p 0 6 O C G X D y t 7 7 6 7 T d e v J + / D S h Q i k v i d G H q x U b W 3 d 0 j 3 A P r P A G X H p J v b Q G o / r J a a N L F o k 1 l t 4 8 X 7 m y 9 C u L A A q K D f S + d 2 L d J 4 Y O P 7 4 3 1 X z K 5 n q F L 1 O 2 m B i U S Y 3 D n h K E y Q D m 1 / + u l 1 q q 6 u F i t l h u n l u I N c 7 M 7 g X k 4 4 q a 9 f v y r W C F b t x Y u X x r O U M C w e / U V N D x 5 S N 7 t y u L L j N e g g x V V / D B k N k 2 / F K o 6 P T 1 B + X g 4 t s j X s n V r b q o 2 O j q b l F q 4 m u H C w w E i j A p y W i Y d 0 s m x E H t N z / i U K b a y V M E H 8 f F x 4 8 A / 7 y 7 T P M l V 8 1 u B H Z m a x u Y + s c P M g 8 3 o S x m j e a 5 G T / d t v v 5 O J S C B c s R M 1 7 V H Q Y X Z X d L q i o Y 7 G u Y Y N J z c + C y c o L B c 6 c o u K i 6 S / 6 O K l C 3 L y Y t g H A J 2 c m K T 2 t n Y q K y + T 5 y A A A S j P c j u l t 6 e X S q x v 5 T 1 T C Z / T 0 9 2 X N B V p P U L m B W 7 6 B q D Q a X z m z C n p v L 1 Y M y P T m 5 m F o R z o r 9 L z V C Q V 9 q / a H S w L t Y 0 6 y S F T R M c f q 0 w p l h t P n y c 5 p T J D Q Z e 6 9 c t q 7 l 4 y e e Y n 6 M o + 9 R r k z B U U 5 M t J f f T Y U Z q Z n q H i k m K Z 8 F E P N s R E J T j 5 U v U T z c z M 0 s j w i O T 1 o X 1 j t m 7 p C E D 2 9 Q 4 w h O e N L c k F a E d G R i T r P R 3 h 9 8 G q T k / P U m P j v m h C b b I x W b i w j L A l O r a v g j p G H T T l S S / i C J c v G A x w 4 T a l H 2 0 p H 5 3 d u U A z l n c f k P k + K q N d v v V 2 5 E Y V 9 E o H r C s n V 7 w U d J Q i e 3 p u b l 7 a U o P D b 6 M w 4 Y R 0 8 t U c M M E a w o V D p A 0 u G w B 6 8 u S p n K h w G / 3 c j l g v T C M j o x I A W f a u t J C J g h X F j d o A V j r C d 0 E u 3 y K 7 n F A H t x V T D X C 0 2 x 1 0 Y F e B z N G 3 G k w 7 3 f E Z 9 r z n p c a v V s 4 f o q G y K S O V s S 6 f s + T w m u 5 e K u W V 1 t H L q R J p S O / c u V M a 5 7 j q I 5 8 O y 9 2 v 2 q P W o L O z O 5 q U + s 0 3 N 8 T l E q t o n D X 7 9 z d E x 0 6 5 n D n r A h v P x Z x + Z W X l 8 t m r u X P 4 T M y n v n f v H h m v B Q H k 5 i f N s m w W 2 m x 4 b 8 C f l 5 8 n I O L C w B u N Z 6 w U 3 N J X L 1 9 S L i n 4 z M I 1 4 l q j C l i M z C e 2 9 X A 8 4 u s 2 t n B q P f M K u 3 w v 0 j / C W 0 j h 3 E N 8 o q z f 3 d M C j J f 3 B i j f p e Z 5 w M m s O y 4 x U h f B C d w C B i H t s b E J e T 6 y B X R W O T 7 n C Z / M m C P v 8 u V L M m Q C U 3 I B 0 H Q 1 y m 5 W D l s / n P B I W 0 K 7 K j E L A p 8 L m B 4 2 P a K P + L O R 3 Y 1 B j k h 4 h f U 5 d u y I Z K P r l C R M a o m x V n g O X v v x x 1 c E F t w o A O 2 6 1 S K S 2 A 9 2 u 4 0 G 5 v J p f y W s P 5 9 C O I 8 M J b v B A e 4 J j E y S E L t 9 2 u U L + L 3 U W L Z M V n e R 8 a z M E f a / 7 J R M K 8 F g z D q l C 5 F Z O M k e D L i k / Y K T Y p j b Q F q I H N b V 1 U r Q A E G I f f v 2 0 l F 2 6 U L B 2 A h V u F P L 7 H 4 h 0 g f X s 7 2 9 f V 0 w A Z K X L 1 6 K C 4 Y x R r h 5 d S J M r z s 7 J Y o I 4 N A 2 k 4 P J m u U 2 2 9 T U N B 0 4 0 C j B h Q s X z s u Y K o T w / + I v / o 1 Y M Y B 0 7 d r H 8 j u h u t 1 1 a 2 Z i Y P J M R C g B E 2 R 8 X E q Z 9 3 t 0 S V 5 k o U J n M H q s M q l k r M u n 3 b 2 4 g 7 o B s I K O M s k W L y s v l S s 9 3 s P F b h / e X w s n L V R b t 8 v 4 T N U v 5 V n 2 G D v a E n d r m 3 S E i T K v X l U Z 4 1 V V O 9 j V d E g E D m 2 z O S 6 P 2 f q F G e C j R 4 / E R R a h Y 8 e P s m X 0 0 T C 7 p O b v m U o I t / f 3 9 x t r q w t d B 4 A Y d w p Z e 3 / q / a 9 L r H o 5 D t c w / p h l Q s n I o I S z 5 G A a B z s 9 e U L K j c F V v 6 F h n w Q a 3 M X u 6 J V d C 5 + H S B 9 O b G / I I r e N Q R 6 b j j K m k y m O d h m g g c W p q K x Y 8 R l v h o Y E E B y 6 s 2 d O S 4 p Q M u E 7 I B 1 o J 7 u l G M e 1 1 r 7 A d 0 N m B w I x 6 e g w f y 6 G a 2 A 0 M P r T o M S + P C W V L R F l S s T r / H f e Z 1 X b M 0 w Z m R y L U Q T q Q L 7 7 E c M 8 4 o 9 f z 8 q d K B C Q Q L r N n i R h a b S f d u x Q k + 2 7 b B H q l U l M L O T z c r u B X b 6 1 U o E w A Q v a P I g Q Y q x U b e 0 u 4 x E 1 E H G R Q T t 4 4 I B k Q a B / y 2 y R U g n P w 1 x 5 j x 4 + M b Y k F 9 x K W B 5 8 b r r C 5 + M C c 5 D d S A j R v 2 R S c T 0 l o G T i i h b n P X H H L R O K 5 W b L y 4 y 7 T g S c B 9 d M N 1 q v 9 p Y G J e H V w 9 b j 2 d N n M k r W L P R F 4 Q T W j X r c A c M W W q S v n k e o w F 2 K D 1 e h e H u E r h h z + m k B I t w k 4 M j h 5 I M N W 1 v b 6 P C R w z L U f C N C O x B t M L S h V h P G X A F s Q J i O M D J Y B 2 q S B y R w t / u Q B C S k L 4 q v d N I f 5 f N K c M L t 4 D Z m w w 7 j 2 Z m h j G x D Y b b T z b B O Z v W x x R l b s M r c E Z h Y X 7 d N M H M y 3 B f 0 0 0 j o m d U 5 a Z e b r d 0 f K q X C o j K 5 m m t 3 C n d y f z 0 R D w Z c v N p d M Y u U q B 2 V l X w C r p x B C a 9 r a + s Q m L V w E U E 4 H B Y T 7 a I b N 2 5 K e w w 3 A V g r i w I R P M A L t z M d o c N 7 T f F x k G O B G v + k V r D N S a Q 9 + T H c q s V y s / X V 5 p 5 5 7 4 G W L Q 3 S H t E W S m s z I I O n l f f 2 D h X X f x A 3 O S Q y A t J t g 0 A Y K o 7 U p W d D T n Z 9 p u m X Z / K i n c W J g g V 7 + r S F P v j g o r F F / Z a v v / q W f v L T T 6 V f q b n 5 m Y w A R g Q S 0 c T C w n w J p p j b Y Y A F j 2 N q s v M X z k v U T g t u 6 e 9 / / w V v K + A T 3 k o n j h + S r g E t 7 E s d B f z D v 3 5 N V e z e n j 5 1 U t a R O W G + 7 a k W v i O 6 F U J I j O U 6 a q H 8 X g m h h / z L d O b U x s d u v Y + y f J + B Q C 3 R P g F K R / q g z Y B J C + 4 L L N J m C T e s x o 3 S V s v m 7 u n p Y f d K 3 S H k x Y t X 4 k o V F r r p 9 G l 1 U m v h 8 d X 6 k v R + 6 O h 4 L h Y G O Y s O / i 3 Y X F x S R K c Y k r u 9 L j p T P S s Q N z T U y 1 g n D B 9 B J s U n n 1 y T i K N Z y d w 9 C P t f g O L 9 J f 1 Q R t a 5 9 E c x V E E G 6 t z p 9 L s S t o I Y q N c Z B V R l c S H 1 z p T L F f e H A m q z h S C G P 2 y h / d x G q y 1 J P T l m W 1 u 7 d B D D U u E W N G j v o A N 3 o 4 I b a J 7 J q a u z i + r 3 1 d P I g o t q i 9 X 3 A K B w F d E 1 A F c w c V x W K p h A q A Y K F y B p R 5 m A g p U C U O f P p H Z 1 t 6 I y D q i 8 / D K a W H R v K a A g f D / L 0 N c U D q E B H 5 R O Y 0 B j t V g p J z e H 9 u y p k 5 M a B Z G + B / c f 0 o W L 5 1 a E 1 t e j O 3 f u 0 o c f X o 5 G D O H W I f s 9 2 W B G b E f Q x f x 5 C L y g r Z h M c I H N F k q C E h o o I 1 s i 6 F u m C 2 f V X H 6 Z o o w L m 2 O K 4 a 2 q S x f P y r D y n T u r J Y q I 5 U J 3 g f T 7 Y M Z Y 9 B c h B Q l C B + + 7 w C R j s F x V N L l k o 7 t 9 L p p a s k p b L d W F B 5 9 l f g i W K R V M k A p A 4 I K m i w 5 I q J r / q D r J M d z K h d v B m f V v V y k 3 q n G g t p r C P u k E R j + X 7 t u B p U D a E O Y 2 R z 8 W c g c R G M D v w z y B G x U s B 1 K p r p 9 v k G m m T 9 f 4 a W b Z S j f v P K b y 8 u T 3 9 l V W T O 1 X 3 B x 7 N S l g V B 0 r B l g S g Y 0 B F g 6 x Z c 6 g f x u / x L 2 n c j l W P 9 j v q 1 x O l 6 Q Q w Q I h I V Y L m Q 7 n z 5 8 1 1 p Q w R G N H V e y O 7 e t V Y t s L N 1 7 r H A v S m R O r 9 1 M B A O j 1 x N o B G c Y l C o 2 8 L r q s o T K 2 Z 5 g y z u W r K N y a 1 4 j L e 5 P f z w n Z F 4 i u 6 Z M P d X d X t 0 T 4 N i o M m o Q L h 1 m M v m 3 3 0 N v p G f J 5 F m g h k D o 9 C h Y K n 5 0 y C G E o z r 2 T o t b D i d u l f c v + e Z J j u J U L n 3 1 J t m 7 h 4 v O n j p K 9 z 5 o x h t O b h R N P O o V 5 W Q c O W p 6 1 0 I G D + x m o 2 I 0 B 1 i v c O x d j p i b G J 8 m d 7 y J X b g H l 5 B d R c Y 5 f h n X g c x O F P q 0 v b z 0 3 1 l I L L 1 U Q 6 W L A A 6 t k Q I Q C w O B 6 J h 6 / r V 4 y b u b Y O Y + H r t R v v d u o t I 7 G G v i Y P B L j l m 7 e v E V 3 7 9 6 n Q u N G A n D V a m t r J T i B D I 0 F H 3 7 x + o R g R k N j g y T y O l 0 O m g 9 y z e 2 z k g K H z H E B i 9 j U 9 E i s l 1 m L / F k F d b G O 5 d W k I I q 3 R H F w Y V n q C N l t G e Y k 3 e 7 o y i h H t q 6 i m K o K X Y S M A N y z C A c N 0 v X 7 L J 3 n 9 / L l K 8 n m T h z / h M g c L B W s B Y D i c 3 H d Q r 8 S O n X x / h g w i C R c R P o q 8 u P v N o g 0 K r i G + g b Y a 7 l 6 S q r v C X P x q X A 5 b r m 6 s h / K L 3 1 Q X g r 4 l u n a 1 f R u l r B V l H F B C V 9 A n x h b 7 z q B P L 9 b X X a Z b D I x n w 4 X B E T m d B b E R m C C E E W 0 O Z w 0 O P C G K o 3 s + E S Y I A R I 0 F Y D g G 0 j a 0 + a G b N A s E z a A h m 1 U Q S 2 c C i 6 j D r T l H F h 8 / k l r 1 z F c b C u N 5 i T Q W G Q 3 3 8 F I n b K b / y 5 W C d M T Y Z M c b h + 3 3 9 / i 2 p 2 q e m 9 3 k X Y N + 0 v + q h + 3 1 4 Z K L m a P v r 4 i t w M b i z + t l Z J h I a T g h 4 Q C S w C F 2 p V J C h h 3 s 4 F 2 8 z H L h P + Z Z y F 8 r K b A V n 4 U o G D V 1 u i r r 5 G m 3 5 L y B 9 x U H v 3 u A x L z 8 n J l X y 9 8 + f P x d 2 h 8 F 0 U s J d I 1 s N a A n z H T 5 0 n B 6 b W X U P w B z R Q q M U a G b U G S M E W M g I S y l J l m j J v g K E h z M M A 9 0 b f b H q r a W R R t Z 8 w l F 0 N x 5 i S q a C R z P q u c u S k P y c e 5 t V A e y 2 5 B C M G R S 2 L 1 T F H 8 w C N w K O L 4 e 5 x G 0 t Z M b 7 Y J T u G W 7 j w p S f J 1 i 1 e 0 A j G 1 V V l N y f v 3 3 n f V V i + m 0 r L y i V b A g X B A 4 w a h p D r p 4 X E V U y k i S B M u j p 3 t I 4 6 + l a / S 7 z W 1 X 2 p M + A B k s D E f w Q U s U 6 q N l s o 5 e 4 p i D R U W L d m 4 A y y G R c 2 R 4 F 1 g t u B 2 8 y 8 a 5 v j T y V c E G 7 3 5 U s H r C 7 Y h g y H N 2 + G 5 f c h m R V T m s G f f f 7 8 O d 2 + f c d 4 9 e r a X 1 d C T 1 p e y z J S j l Z T K I I 9 u p p g o Y w i o B j F g E j D o 2 G K 1 S F q 2 F e T 9 P h t 5 Z J 5 L h + X E P s o O H C F G T D v G 3 t Q c U L / k c v l l N D 6 4 O C g 3 B 6 n p L i I T p 4 8 w d Z 4 Z b Q u U Z h e r K O j g 4 q d y 9 T 5 Z o 4 c 1 g j 1 T 6 d O 1 1 q r r 4 s 5 M i y S 4 c 4 Z 1 k m W o / C Y H h d 3 T 5 U 9 9 T u T H r + t X D L S 5 W s Z m p E r O o S J / 7 V w h d 9 K g v u Q 7 C s j G x 0 Z 6 H v 3 7 p X w t h b b C G M p u d A W + / J u D x 0 5 c o T + 7 Z 9 f o x 1 u C z X d u U F F l r d i 7 Z K p J D d V A 0 p 8 P Z M l 0 g E I L M e g E Z i M N l N 0 G 9 a 5 q G O k j l m m l N X t / R a W P k F m F 7 Z m G w q C d c J h S l c F b L 1 S g Q E B g Y 9 P V U U v L B h z h d m O M P P t / e Z O / r z k Q P p W z K s O k P i v E Y B A I C L a f p J 1 V b S 7 p 2 s N U i g c 5 P W t G S x a S x k 7 c + z c 7 C w f Y M y V h w n / e c M W l X n e i r V 0 8 N A B C V L g Z D Y H L r S w F w q T T K x S W 1 t D B + q r a M E T f 5 M B v A f m 3 q v K S 5 i 0 B T A Z b p 4 C x 2 y V Y t t 1 H e I a o C v r F J R i 5 5 + V e M w y o W S s h S o o L B S g c G e 9 r a y u y f V N H Y Y b u g 0 M D N L n n / + e b t + 6 E 5 3 p C H m A s 3 N z k r a U K L T H M M H L l 1 9 8 S c + e t U q H M m Z L w n 1 0 M W 3 z k i V + B G 8 0 A C H u X p g c N g 1 Q g k W S b Q Z I X M x Q f f b z y 8 a 7 Z Z Y s 9 1 7 2 J b f z G a A D Z S 6 y O V x 0 s 8 s l J 4 G W e f l 9 l 8 M W o Y / 3 r c 9 t R b o Q E m y R 7 N r X 1 0 / j Y + N i b U 6 c P C 6 T a W J a 6 M b G B u P Z J N H B h f x j 9 L N T K 2 f E h b 7 r y h H 3 E x L L J E E f D U e I D l V 6 q W 3 Y w s D A + q h 5 + J D H J 8 P e T T l 8 a r Y j l c P 3 7 / 7 y q n r D D F N G h s 1 1 Q Z s g J P 1 Q a h j E V p P d u n J S z N W E 2 9 d g j j 7 c H A 2 p S 8 j 7 Q 9 / V l Y 8 + l J s J I C h x k q G C 5 d D C K G F E C O v L 2 L K k u M 7 E Y D L 1 K x n t p Q t 1 y z L x v 7 J K G j T 1 W A w 6 5 e b p + S W I 2 0 + J x y p T S k a G z X X B V V J A 2 j o G K U 4 Y d C h X v D T 1 n N 0 9 T O C C e f k S b 5 w G y 4 O b b a N L A X c E 0 U L C L U D Z U Z p P N 7 5 L 3 Y + l Y I o P M L h d A b J b Q t T z l q 0 T b x O X D h Z K i r J W A p I 8 p q B C u X D x W N L j l Q m F 7 X u S r R l S + h Z w V / Y g 7 S l R V k p r q 1 i r 9 Y 7 m h 9 X A n B O p b k u D 3 4 0 b t + F x 3 D 3 j w Y M m m Z u i u 6 u H 2 p o f 0 q W L Z 6 J t L r M A U 8 w C q V K U G 6 T j V V 6 B z E o M G o O q H 9 c B C g 1 Y m C 9 s 2 j o B q J p a D L 9 f e b w y o W R s U E I L B 3 V n g Y p 8 b S V T h c O z X i F 3 c S 1 h + u b 7 9 5 t k P N S F C x f J 7 i q k M 2 d P k 5 3 d Q 5 z 0 u C m b W e 0 j d o F D F 8 B y o X a Z j u 7 w 8 v M x T V i Y B q Z 4 P w t A 2 r U z Q G L X T k B C M a C i S G a G y 7 U y N m y u i z e I q y a 7 K 3 w w z c G I 9 9 1 K n a x Z 3 6 h j / L a 1 f t P Q 0 B A F + M R G 5 O 7 x 4 2 b q 7 e 0 m m y U g r 3 U 4 7 H I P Y f N 7 z C 8 T j c 6 p o T D a M n 1 U 7 y G H 1 X D n G K J b 3 Q o 4 b Z W k 8 L 4 W m L R l k q I G G f 7 V f / w s e m w y s W S 0 y 4 c y 4 b d J p A k H F S f B V r F S L n t Y 3 C 8 E D d I R Q E D 7 C U P c k + n / f P G I 8 v I L y F 1 Y K I m 2 m E k J m R b P O z r k t Q c O H p A M D M A 1 7 b H I a O c H / f H W q S L P z / t R t 5 H C F D S W s V / N t V g r h k n W A Z U U B p e h w j 2 z E o 9 R J h X L g 9 c D W 7 T J n r 4 q b c s 0 v u S i w b l 8 s t o d c l B 1 e N h s t d 4 b 8 X c 6 U T r M 7 l e O D F N H 5 y q u f h A i d w A A 1 g J g I L c P c 0 w g L I 6 + p p 6 e P j n 5 8 R t 3 7 d o p k L V 0 d N G F M 0 e T 3 q M K + Y C 4 O Z v e D 5 i 8 c s H L 7 2 / 0 M S n L p I I R D W V e q i y A p V H Q t L y x 0 s w S u 3 0 A R i A y w u U I k / M y Z o g N G t M u o 1 y 7 d p Z 2 V C W f 9 y 9 T Z H n Q m f l A Q f Z l P 3 V O 5 c n w b 2 S j W 2 3 q h m j v J V C s q s I Q H a 2 O z 1 x I F L 4 7 L B i G y 7 e 0 t M k N 0 N B G w n w Q m C D z / v 0 H M j A x V c Y 9 5 q i w 8 X 7 I y 8 u V 9 7 r b 6 6 T l A F w 8 t j a 8 r t w 4 B R T q g + V e K s 0 z g G L r c 6 v b Z l i l m B W C a 4 e b V C f 2 P W E e 8 7 / 5 1 S + N T 8 5 c W Z o 6 B 7 c F U L O T X p r w u M j G F g o F Q A G s 9 x m q C 7 t 9 V O h a + 7 u h / w k T Z C Y G J Q A X o E E H b z K h 8 x f h d b x O w c S Q G l Z J 9 z M J T B L B C 9 H l v R 4 B C K 5 e 6 5 C V p h f 5 c Q F K u d Q A C p Y y B h P u + u 4 l v 2 + Z j h 6 u p x O n M 2 t C l m T K + C i f V n F F D h 9 8 5 Z L g w E v D m Q t O n P d V D w f S G 8 s F a 5 E s w o e I H T p 4 c V + o R O E i g t v U I I Q + v U T k 8 S N w A 0 t k F C w b 7 U 4 E G M 7 X e n i / K Z h Q x 2 D i / S n b s F 9 R x / a x A M Z g h b n e D j B B 2 w Y o y G H F A e e G t Y a K T x y c D H x 6 q S e 8 h x q c W b s z C p P 8 p x J y 9 2 C F 4 B q a L T H u c I h b h G J b U Y 5 q I y m L t L K 4 n Q G y W t S + Q r n f q 4 I V y B q P g y r O U q F g X / v p J 5 9 d M T 4 1 8 2 W F y 7 N d S s P e P L n q 4 k A r 1 0 R Z K o H q P X X 7 O i f V z d B S C W 4 b M i R W U 1 1 d r b S z m p o e 0 s D A g A Q 5 Y L k Q m A E w + P 2 J l k l D g m W 7 B Z A o c D C I 0 R 8 w H p d t M Y u k 9 6 n O 3 8 O d C 2 G d q q o r k h 6 P T C z b y k J B t T v 4 6 i o n A U L A O B G M w s v i / s n Z + 3 7 B d a M r 9 S S T y H j 4 6 U / / z F h L r t 6 + P o k E I l C B m W d n Z + c k U K F h 8 g f Y E g k 8 B l R i m f R y i H Y U q H A 5 3 L 2 7 v b a o Z Z L 9 G K 0 V V N r N w / 7 F f B 6 / / s 1 / M L 7 F 9 t C 2 A 6 q o m E 8 k A U o f e L U c h Y t P J j 2 N 8 F b Q W n N m 3 P z + F u 3 Z v V u A w m 8 C A P k F e d L B i 2 U U d M 4 i 7 A 1 4 F C A a G P W c 8 X l u Y / m C d L e b Y d I X I O M i J P t R 1 t W + N M N 0 + E g s o 3 2 7 K K O T Y 1 O V E 0 d K 1 A n A Y I m f j 5 p d F Z w g g A 0 n 1 l Y B C q 5 b M m E I x 9 2 7 9 + j K h 2 r c k W S L i O X h 3 4 X / v D w w Z a E b n U g 5 A j x G 0 V A B M N k W p D d T E X r U z z B F n 6 d h U k B p q D R M i O 7 B 1 T t / 6 W T S / Z / J x f K o e 2 h r n D m b r L H x J R o e X y a r 3 S l 9 M R J K t y K x 1 A i n c / v C a l N h d f k X H e j y p 1 G q G 1 r j p g L I y 4 O l Q j o R w t u F b r e 0 m T A s Q 1 8 Y A B O W M T 7 q e c c L y t / / C / I H Y Y l V 4 E E F J X A h M d w / Y z 0 K F t c A S i 4 6 h n W S D B S B C R c k h M g Z J p + X a y / 9 5 r f / S T 5 3 u 2 n b A g U 9 b R 2 j M B k w r Y C K j T c 6 g F F b s I x G Z 8 x D B m g / p k 7 s 9 F N F Q X y I H + k / U 1 N v J Q M C I f D d 4 t q p w Z Q o q n N W g Y Q C q z U + P i G 3 s p n O P U k 5 u f k K J I Z I A 6 V B w j o A A q D K c p t r g B Q D K n Z 3 d 3 U T A E T 1 a u v U T Q a 2 m y y P e r Y v U N C j 5 h G G B T A 5 F V S A i S 2 T l b c B p q i 1 S g D r x w Y K H / d J Y / w 9 c H 0 + P x e v M a w d H d Q x e F B k F l d Y H K w L K G r 9 7 a K F 2 k Z s A o / a j t c l g s Q 1 A O N l a V M B L M M y S Y l a J g W T 3 E 2 D r Z T T b q W / / 4 e / U l 9 w G 4 q B G t 7 W Q E F N j 4 c M m L S l U m 6 f y q Y A R P G W C n d m x x m u w M I 7 w C l E 9 c N C l u c I k n / g O x l 1 i 0 5 b 3 J l d 5 / I J Q A K O g k a v T 4 y P s 1 v Y T R c u n J P Y 5 d C M h b o m M B G o G S S A F b N O U Z d P Q A J g s E w a J M M y 8 X I M J p U R w W 9 C / / C 7 / 6 y + 7 D a V 5 X E W K D 6 p i O 4 / G j R g M q A S m A A V Y D K s l A C l a v 6 j a p Z Y K w F M A 6 U B i / 5 Z V f p p + B 4 p B V j 4 X 0 N 5 k G q L / H y i Y 7 g G N g O g l Q W P P 3 n S L O 0 o 3 L G w c X 8 j v R q z 0 d i C S q y N g a Q g 0 p Z K g D K g 0 h Y q C p R Y K B W A Q B 8 T w B I 3 j y 1 T O O i n 3 / 7 T 3 x t f d v s q C 5 S h 6 R k P v X g 9 Y c B k g s o M F G q G S F k r h k b X O L N R 4 5 + x D G E d / 2 O K W 0 m Q c R g S j g b j I d t U L X / p e s N y H D y q 4 G F l m V A A F L I j R k d H Z V K W y U W i j h G 7 e g 7 A w f M E n h h U U a D E Q p n b T N o 6 6 b a T n 4 E y s s k F p g D D 9 H f q C 2 9 z W R 7 3 j u A Y Z c V a W P D S s 7 Z h B k Z b K n P U T 7 l 9 G q 7 E 9 l S 0 C E R Y x j s a y / L u L L U x K V b R g w A y D A G M W K 2 g Q V 2 Z H 6 R D V c h k N e D B A 6 j F 3 U P R w K j 6 T o 9 D H t O W S V s j 9 T g X h g b L s E g q C K G A i s J k W K Y o T G K Z N E x s m f 7 H r + S 3 Z 8 X H 9 k k W q D h N T S 1 S + 4 s R h k l Z q U T 3 L 2 q h N F R 8 I m E d s G i g 5 O Q y l h U 9 2 C Z v z 1 r t x N M A m Z e N w w N A s I 3 / Y / D h h T q V m x d f A E w M r F l P h F q H G S b Z r g B S j 5 t d P B Q D K F g k r E v N M A l I M e s k b S f d b g J M D N k / / v O v 1 f f L S p Q F K o n m 5 j 3 U / G y Q o Y G l A k y A y r B S c A H F O i m L J R D p O g q R W p Z a 1 v H f A E k q Y 3 m F F D B q S S / L E l c K E r U Y o Y / q V c R P l 5 E 5 K 9 m s Y Z r k N t L b J W 4 n h b B d g a Q A U 0 A l G z g o 1 g g l h G U A h G U N k q o B k U A l b p 6 f X x e k 3 2 U t 0 w p Z n v R l g U q m 6 e l F e v p s I G q l l K X S r p 8 B E 9 c 4 o R R Y M a j 4 j 1 o G O F K z s F 2 E x 4 z F J F L M x M B R A h C o u M Z j q F G R y j 0 0 g y W F I V H L S Y D C Y 6 g j C i D c 9 C w a J m d w Y k E I 1 P F u X t C P Q I S P f 0 G E f v f P v 1 J f L a s 4 M V C j + q h l l S C c l N 9 8 2 8 r g A C i H A C V w G T A p k F A D E m w z Q S X g a K B Q y x a p l W Q t K n U Q T I d C g J E / s o L v I k s G N H q b L B u 1 A s i o 0 W b S 6 w K Y C S a x S K p W I G k L Z b J O c O 9 g m V A b l g n u n t P p o N / 8 4 9 / K d 8 l q p S z N W a D W 1 F d f N V M E 4 E i 7 K g a V O V i h L B S g U i C p Y g q r A y A h S G F k X o 4 J M B i L I r 2 O W j 0 Q B U h v w 3 K 0 m A G K D 0 J o o B R U M a A U S M p K J b p 5 5 o R X W K m 9 e + v o z 3 / 5 q X y P r J L L 0 t y f B S o d v X g x Q P 3 9 k 2 Q R m G C x A J I q s E x R q K J W S t U K J B N M 8 t 8 A S W + L C o A Y i y x G w 9 h k r g F O r J Z / e l n A w b J R A x o D K A W S h k h D Z Y C E Z U C E 9 p O G S S B S Q Q h i 1 / J v f / 3 v q a h 4 7 R t d b 3 c x U G N 8 d L J K R z h J v / y i i a G x M 1 i A S Y M F k L i O A q W h 0 g V R Q A M k R Z Z s X 0 3 4 L G O J l 3 U N k N R j + I c H o v D o A l h k G + B R 6 z G o F E y o I 7 B K W B f r h D a T h k m 5 e G o I R k B m X s q 6 e O k r C 9 Q G 9 N 2 N Z l p c 4 s a 5 W C i G S y x U z F o p S 6 V A M o M l S G m Q s E 0 t J Z V i S B 0 a x k I 2 C F B Y M + D B 4 2 r Z D J U B D 5 Y B l w G U Q I R l w y L F t 5 s S Y c K Q d 6 K / / O t f 0 I 6 q C v k O W a U n y 9 M s U B v W 5 5 / f 4 j 2 o Q T L X y a F S E O m a h W 2 r C V C s q M 0 g 6 W I A B Y C M 5 a i L J 4 A Z l i k K k a r j L B N A Y q C w 7 n a 7 6 d e / + W t 8 Y l b r l O X p w H g W q H e Q x + O l P 3 5 5 T 8 C K Q Q W Y e B n g G H A J R E b h F Y M l B V T U a p k E K I w l X j b V A A d F 1 o 2 w u R E W j 1 o l L E f r t S y T g g j Q Y U z V f / u n b D 7 e u y g L 1 C Z p d G S S 7 t x 5 x n A w U G K d F F h x E U C A k w w q 9 V 8 t s w C L s S B / B C S p e U H + K y s U L Q I P l m G N z D B h X U E k t Y B k w C Q W C Z P 3 h w W k / / r f / 8 7 4 X l m 9 i y z P s k B t q r x e H 3 3 + f 2 / w E q y S E V o X w D R Q q t Y n r 4 Z L r X B J O B q M i b E t B h D / i S 4 L R E a t 3 T y 9 b H b v o s t o J 3 G N N h J m j P 0 v v / 0 b / e l Z b Y I s z w Y n s k D 9 Q P r 2 X + / R 2 M S U A K V A 0 o V P 4 S h U 8 e 5 f o h R L + A t o s K i B i o G E W l s l Z a E A k K p V N I 9 d O g M s z I 1 + 9 v w p O n f x J N 4 5 q 0 1 W F q g f Q T j h f / / 5 1 z Q 7 u 6 R A E u t l A B W F K g V Q i i h 5 D 7 W u l g E P H o w D y Q S U 7 m f C c w D R 9 T + 7 Q v s P 7 p P 3 y O q H k 6 X 1 z W T E F v B S w J 7 e t L 9 Z v b v m Z u f p D / / y H S 2 z e w i Y V I E A m L E I w R h F F w A R K m w B O A o s D R F y 8 r A N z 8 W 0 z L t q q + m z X 3 z K y 1 v 7 L v h b T Z b W 7 v 7 I 5 P A A R a w O K i 4 t p d c d 7 X T 0 g 8 y 8 Q / f 7 K o A x P T V L z 9 t f U 0 9 X H / k D A Q W J P I j / 8 i d a a 2 O G 3 M L q n V V U t 6 e G 9 j X u o Y K C / J S W L q s f R 5 b / + b / + d + T c p c t k z c 0 n p 8 t F X c + e U N 2 x 0 8 b D W W W V 1 X p k a W G X z 1 j O K q u s 0 t T T R 0 2 0 c 1 c t z U 5 P y z R q T q e L i o q L t 9 9 U z F l l 9 a 5 C 9 0 N b 8 2 P q a H l G j x / c p f u 3 b t L w m w H V N d I 6 9 D Z r o b L K a l N E 9 P 8 B g F W q o O F L 6 D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  / & g t ; & l t ; D e c o r a t o r s 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0 E 0 9 1 2 C 6 - 6 F 9 0 - 4 9 0 5 - A 8 E 9 - B 8 E D 0 A E A 5 E 8 4 } "   T o u r I d = " e c 1 d d 5 d e - d 8 c b - 4 d e 4 - 9 f b 5 - 3 5 2 d 6 5 5 6 d a 6 9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q 8 A A A K v A b + r 0 P 4 A A C + F S U R B V H h e 7 Z 3 n e x x J k t 6 j P W z D g w B B g C Q I 0 H v P 4 X C G 5 M z t z u 6 t 9 q T T 6 S S d 2 X 1 0 K + 2 e T v c X 6 Y M e f d Q n z a O 9 m d 0 b w + H Q g w Y k H B 0 8 Q H g Q H m i 0 b 8 U b W d l d 3 e g G G i B m l m j 0 S y a y q t p X 1 a 8 i M j I y y / L / b j V F K K u s s t o U W Y 0 6 q 6 y y 2 g R Z f n / 7 Y d Z C Z Z X V J i l r o b L K a h O V B S q r r D Z R 7 P I 9 y r p 8 7 4 G c + a X k z C s n q 7 2 I X D a i x v I A l e a F K R K J U D A Y J L v d T i / G 7 D Q 2 b 6 O S f K I z d U F a 8 l v I G g n S 6 N Q M v e o f o V A 4 b L x b V n 8 q W f 7 l T h a o H 1 t 2 Z w H l l h 2 i Q I A o H A o z C B G K M A y A R 5 e 6 k h A 1 V A T p T r e T P m r w 0 Y L P Q s 2 D T g p F L P I e 5 6 s n 6 d V 0 K e 0 v n q K J 6 S W q r 6 s k m y O H c p w 2 s l q t 5 A 9 Z q K m j k + a X P P L 8 r H 4 c Z Y H 6 k V R Q c Y Q C 4 T w K M U C R c I j q y w J U W x S g W z 0 u 8 g e U Z Q F I u c 4 I 7 S n 2 U 6 X b Q g 6 b O j R h h g 2 Q J A r b v V 4 v 5 e T k k M 3 G Z o 0 1 O z t L J S X F F A q G y O 5 w C K h 5 + Q X U O z p F L / r e y H O y + u H E Q D 3 O A v U D q a T 2 L H n Y Q A T 5 5 A 4 z R N c b l s n H V u n J k I M u 7 f Y J Q N N L F n o 2 S F Q R e k 3 F 7 h y q q a m J g 2 d 6 e l r A c T A c M z M z V F V V z Q C 5 j E e J h o a G a d e u G g Y 1 R F N T U + I a T k / P U F l Z K R U U F J D L 5 Z L P A X A o F o u V e s a m q f v N m P E O W W 2 m L F / c z Q K 1 2 c q t O E t + f 1 j a P j i Z A Q S E Z Z c t T L 6 g h R o r A m R l 7 6 2 m K C i P a S 0 t L c V Z H M D h d D o o L y + P F h e X + D 3 C X C + S h f + F + f 1 K S 0 v k M Q h Q K W g s 8 h k u e 4 Q W F h b Z t Q x Q f n 4 u 5 e b m 8 a u I r P y c k T k L 1 Z W 7 6 O v H 7 f K 9 s t o c Z Y H a J N m c + W Q v P M Q g B Q U g F J y o u m j t Z 5 B q i + M h 0 m p t a a X d u 3 f T w u I C W 7 Z l O n B g v 0 A y M D B I e b m 5 A o v T 5 W R A g v w 5 f g G n u r r K e L X S 4 O A b s r G F q 2 G r B U U Y I X y 8 j Y 0 e v g e s H 1 4 3 5 w l T S Y G d f O w y F p W W 0 l c P 2 8 U d z e r d l A X q H e X M d Z M l b 7 + A h J N f g w Q l 1 l o 1 R S E 6 t I N 9 P 0 P 6 8 V e v X t O + f f U 0 4 3 N R Z Y E 6 u f / Y w W 0 p h 5 M q C 8 N k n 2 m l w 0 c O k 8 / n E y v D L 6 T e 3 l 4 G 7 4 A 8 F 6 B A c A N b p 6 v Z 3 c u l A l e E A Q 5 R 9 1 s 7 B U J E l 3 c v M p x O m v e y p Q o t 8 7 J L 3 E J Y M V j G b 5 p f r f i + W a U v y x f 3 n m T 3 3 g a V W 3 6 G v F 4 F E k 5 C s 2 t n r s 2 y R b x 0 d b 9 6 L q x F 6 7 C D J h e t Z G c L E j Q M R G 1 J m N 7 M W O m T / T 6 G h G j G Y 6 X m N w 5 5 z O 9 b p p J A F + U 7 / N T Y 2 C C W C k A A B q 3 H / X a a 8 y n X L 1 G n a w M U 8 Y x T U X E J r 0 X Y n X T R k s f P Y D m k n Y Y 2 2 K L H R / d e 9 K o X Z L U u W b 7 M A r V u u a t P E T d n p I 1 k d u 8 g X a N 9 d K 3 B K 0 B A y e B 6 O u S g 6 a X 4 6 B 1 e V 5 g T o T m v 2 g 5 X D W 4 i r B r a R W 0 j D n n s / G 4 / D X a 2 U 2 5 e r n y P 4 u J i m p + f p 9 G R M T p 3 / g z d G y y W 1 0 P 4 D v h 4 M 2 C F w Q E 6 u q d Q Q M Q F 4 c W Y g 2 Y C B Q y 5 h X 5 y M C B w P e s e p v H p W e M V W a W j L F D r l L P 0 D L t c g T i Q E m G C z l V N U j D g p 1 J u n y T q 2 0 5 l T Q C P 0 x 4 h b y B 2 o n + 0 z 0 d N / U 7 p R 0 o U A L 3 Z b V i i S J h O l o 1 R e X k p L f P r 7 / W p y F 9 x b p j O 1 v q l v 8 p m W X l o 0 a Z 6 0 O e U 1 0 B X 6 r 3 0 d m K E i o q K a N J f Q n 3 T D r r e 6 C M H m 0 x Y U F d u H v 3 h f o s 8 N 6 u 1 x U A 1 Z 4 F K Q w W V B 8 n j z Z G 2 x m o g Q U U 5 I d q d M 8 w n e / k K t + v V h J 2 G Z u 3 G 2 t p C W 2 t m 2 U q F z j C N L r A 7 5 o t / v 8 N V A Z r j x w 9 U B u i 7 L g X b L m 4 z H e T 1 t W T + b l 1 d 3 b S 8 v E y 7 9 + y l J + M V / B 5 h f u 8 g L f o d V F F k p z t t P b T k 9 R n P z i q V L F / e z w K 1 l n L L T 5 P H E 4 i 2 l c z F L K w 7 b R G x M r p / S A t P v d X r o q D J 8 s B C 2 a w R t i R E O 9 m l s 4 U 9 D E 6 A S o v y o 1 Y s H Z 2 r 8 9 P j Q a d 0 B A e M 9 7 + w 2 0 e F r v Q O r Q b r z u 2 7 d O T o Y b G q d / r 4 8 8 N B 2 m 3 v o / K K M o k s V u / a T V 8 / a p X n Z p V c l j 9 k g V p V 9 u L T 7 O L 5 U 7 a V t P T 6 v v I g 9 b 0 Z p y t H y x g W i 8 q / W 1 B 9 S t C H e 3 2 U 4 0 i + y / v 7 B 2 j P n t 2 y f I O B W u + B A a B h 4 0 V A B I s A H O 5 j H n / m B / z Z a H 9 5 / P z o 0 j C 5 3 Y W U m 5 u r n s 9 Q o Y z O s z W 0 z p P H F 6 K O m W o q z w / T q V 0 B c f 8 Q t r c 7 n P T 1 4 + f y m q x W i p u 8 2 P X Z k l g s V j t Z 3 a f I y 2 6 O O R y u i 1 b i e s 9 b O 4 V z a / j k t t D D A a e k E g U m W u n T / V 4 p q W B C C l F e X r 4 s I x 0 p + b N W l 4 Y J 0 o u 6 L e b h N t P w n E 2 g e z 7 m I J s j l / L z 8 w U U l J a W N v k d F s 8 o + S y F t K O 8 m E p y Q / R 2 y U r f v H b J 7 8 d + G B z o p 4 + O 7 u V 3 j N 9 f 2 a K K 5 Q 8 P n m 7 k 2 G W 0 C s v r a N F b E m 0 v O a z I b k h t l R J 1 k d 0 t 9 P 9 o P X 7 8 h M 6 d O 2 u s J R f S i t C x W l 5 e J u v d / a P 0 J r i H P w M Z E b J p U 4 W M j R 2 h 5 7 R / f 6 O s 6 w s D 4 I L Q p t K P 3 e r J o a B n i o 5 X e a i q q o r 8 v F 8 i t j x 6 9 K o 7 5 T 7 Y r r L 8 M Q t U n H L c 1 e Q N V 0 Z h Q o H M J 0 6 q k 6 g o N 0 z n a v 3 G m h K e + / p V J x 0 4 u D 8 u C J B M S C k K M z 3 D w 8 P S w e t 0 O o 1 H V B / V 9 z r C Z w h t p o + 5 v a b 1 Z h Y p R T Z a 8 M W H 4 p M p M v 2 C L h w u p 8 L C Q u r s 7 J K E 2 s r K S u N R o m d P W + j 0 m V P G m p J 2 C 9 + 8 e U N 7 9 + 6 l s b E x e j W x Z D y a F c R A P c s C Z S i v t J a W f M V x k T w o H Z h w Y u v s c A j P e / H 8 J R 0 6 f D B 6 1 U 9 H P b 2 9 5 C 5 0 U 0 V F u b F l p Q Z m 7 N Q 1 q S K F c C P N w n f 3 + 5 G 7 l y f R v 6 f D D g q F L X S k S k X 9 4 O 5 B x b Y Z q i 9 Z l n Y R I B 4 b G 6 d D h 1 T G h V Z v b x / V 1 + + N u x B o q O D + o U M Z C b k d I 3 P 8 e 4 0 n b H N Z / t i U B Q r K L 6 m m J X + F Z B 5 o m B L h S Q X T 8 W q / p A Z p 4 X l t r e 1 0 4 u R x Y 0 v 6 e v D g I V 2 6 d M F Y W 7 8 U U H 5 p H 6 2 m 7 u 5 u d u t 6 6 G c / + 6 m k L 9 X X 1 8 t 2 p D 8 h h 1 B D N D 8 / R 2 5 3 U V K o h o e G a W f N T u l Y f t g 9 a j y 6 v Z X + p T P D B Z h w M i Y D C U o F E 1 R h w O T x e K i l t U 2 A 3 A h M E L L C 3 0 X I c E C A Y T U N s W v Y 0 N B A O T m 5 E g x B R r r W w Y M H 5 P t j X B U E m H q 6 e + N + v 9 5 H S M A F W I g U X m z c a T y 6 v Y W g T 5 J Y x f Y q 1 s K T G 2 o z Q X C 5 5 u f m Z N g F h l G c P H E 8 O v R i I 9 q M j G + z N U k m d P w i d H 7 i w l V J P T r B 3 9 k s f H + k M r 1 m a 4 X f j n 6 o l t b n v G 9 W Q o W i 3 b 9 j O 4 u T 7 t / t V L Z 9 2 N x W d D L q 5 q U D k 1 y B W D n 2 S L T 9 k o 6 L l Y 7 w W U u b M G S 9 h t 2 w t Y T w / d M h J z 3 o j w 1 W T N Q B s V Y R v t g E G T w X 3 e j K o c 7 J 2 M V C 7 5 s 5 v q B g 3 x U X F 9 G J O k Q p V + 7 n 7 V K s S b Z t m 5 J T f k L y 8 n Q G B L Q a T B A u 0 g D p w 3 o V X c N Q i o m J y a i L 9 C 7 C S V l S g i z w d 1 N R k V t + 0 2 r C h Q G W C h O 9 t I + o Q E U y 2 W x W C e U f P N B A p 3 d 6 a G D a z t b N e J C F f T T s K Z V 9 A P X 3 D 1 K F O y f p / t 4 O Z d u 2 o V w F F W w N Y k M v d N F K B h P 0 S a N X r s j P n 7 + g h w 8 f U V 9 f H x 0 5 c l i G P T Q 1 P V z z R F 5 N c L V g C c Y n J s T q b V R w 4 5 a X 1 8 6 7 0 / l + 4 4 s 2 6 f R d S 6 U F V j p W H Z B E 3 O d j s X z E A 5 V + g a 6 r q 4 v b c D b a U x H L d N 9 u s n z 1 s D X 5 m Z P h i u Q f k 5 P W D J R W K p i 0 i 6 f D y W Z 1 d n b K a F u M m M W w 9 L I y 1 U G 7 U T U 3 P 5 X x T n n s S t o Z N H w n 9 F N h n o i 1 2 k j 4 T f P z C 9 K 3 l I 5 0 3 m B i C D 6 V M F i x n y 0 V v s Y n j T 7 J X M 9 z q n 2 G i w L a o 7 B Y / f M b v 7 h s V W 1 L l 8 9 e f D w a h E g X p s Z y N W w d J + v u 3 X W y b B Y A Q s M c E C D q d f / e A w k n r 1 e Y N w K Z F c e P H x N 4 F u b n 6 e n T Z / T d j e / l f c f H x 6 m 1 t X V V C 4 Z + L 2 R e r C Z M t K R j D M e q 1 X s B L A x 2 X E s N v C 9 O 1 v h 5 X + E 1 3 L Z 6 M i j b A T q + H z 6 / t K y U G q v c K / Z 9 p p d t 5 / K 5 C q t k l K 2 G y a x U M G E 4 + u 5 S 9 R p Y o s Q o H s A x B y U Q 7 f v g 8 i W 2 V o M 0 O a n a F m s J Q y f u 3 W t i l 8 k u a U o I f + P E R J v q 9 O l T 5 C 4 q F L c S q T 8 n T p z g 5 3 v p w Y M m C d U n C i f 2 6 9 e d D G Y z 9 f T 0 S u b F 6 O g Y v X 3 7 V k A D t N M L I Q q G 1 M U k j + b J a f y k 1 h F n W n m E S J p d X l T Q n j 9 S S 9 + 8 d t L r C c w J q E Y K Y 1 4 L C m 7 c b d 2 q s n z 9 q C 2 d / Z c x i u Q f l e z x j b h 6 9 + 8 / o A 8 + u C T L Z i 2 w K 6 Y n U U k U Q H n 4 8 D F d v f q R s S V e g P T Z s x a 2 b I 2 S / Z 1 K b 9 9 O M a i 5 0 R m O t B C u b 2 l p p e M n j l M h W z S t m z e / p 2 v X r h p r M e n f j N + P C 0 F r a 7 t Y X A R X B m Y c F M i v p 4 q C E J 3 Y u f Z 4 K i j A 7 + F g 0 C c Z 1 r a Z W t m G i 3 V N U Y C q c 2 c k S f j F W K y f K 9 O 1 r V w + V 9 k x C Q G v x 9 U D T L p N g E 7 P Z J q b n U s K E w Q 3 7 e z Z 0 + I C Y o i 6 W b A u L 1 + 8 o j N n T q 8 K E 4 R G / y M G M 1 G w j J c v f 8 D t L D v d u X N P A i a T k 2 / 5 5 + J H r x S s B y w f L K B 0 y F 4 8 L z M n Y d j I x 6 d U u H 1 y c e 0 A h R b a d 6 0 t b b T E V g / 7 S j 6 V P 2 N o z k 4 v 3 7 r F N S 3 N d 8 Q d h 0 w u 2 8 r l 8 3 j U E I R E e F L B N D f c T g s L C 3 I S V l Z W J B 3 O D i 2 a M g 2 S C W 0 h u I C w C I A K L t i D + 0 1 i K T G g L x 3 h e + 9 r U O l B y Z S b m 0 N X r l w W C 4 Z o 4 9 V r H x u P b E x o T 5 n 6 c V M K + w Z Z I b p d + Q l D p f a n R S a K 6 e k f p v L c 9 E c o b 3 U x U E k w y 8 D i K D 4 m J z Q O t i 5 r q a j m m G R j o + 2 y m m b n 0 u u D w n t Z 2 D q 4 3 W 6 6 9 M H F t K N w E G a f N c 9 s l E r a 8 m x U Z 3 b F 2 j 1 6 S H 0 6 A l g 6 U I J B j R B m q Z 1 y H s O C a l M l O S 6 Z V r Z N 6 t H y c v y c e V q r g V X g S i 8 N K M g u Y T r C y R 5 k l 9 M 8 L C N 9 R d Y E W y u x n b U e l e S F q b E i F p 2 8 3 Z s 6 k 0 I L + x A B j 1 l 2 f b E c M u 9 S h m l 2 2 U a 7 3 b a k x y X T y r Z o Q z l K j s Y F I V a D y C x 3 m n M y O J z x J x 0 w x M j d Z D M X e T x L A t Z 6 h b Z R q n Z a o m p 2 V h t L 6 x f a m E s j b R T 0 q e i h P 4 h h 8 a o f z L z f E M R A F H F i Y k L G R 8 E d 1 k N O M F w E g o V C 6 R h 3 U c + k g 4 p c m e 8 Q b Y s 2 1 P J y / H w Q W m u B d X C H 6 q t a S 5 j O G A r z i Y R 3 x E 7 F 3 B L m 6 c G 0 + v o G J C i w H n V 1 9 4 i 7 B 1 d x L S F 7 H N M 1 b 1 Q z M 9 N 0 6 P A h + u x Y 7 D t i D N X C o s o Q G R k Z o / s P m q Q d e O 7 c G R m U W F d X J 2 F 5 C L 9 f w w c 3 U J e x J T u 5 7 e l Z / K 0 s y z d P O l Y / q 7 a 4 b L m V 5 A k U S / s p E a r V g P J 6 5 q j O 2 k m 7 d u 2 S Q A K i Y H g 9 Y E D n J Z J Y 5 f X 8 f 2 Z 2 h u o P n 5 M b p G k h 4 B A I + G l 4 J k I j 3 U / l u c i x Q 2 Z 3 u q 4 b B D c q F A q m n X n x z d f f 0 s d X P 9 q g W 0 n U z 8 D v 2 a s m i n n Q 7 6 Q l v w L L 7 1 2 k n x + P f W / s T / P v Q P v J Y n X J z E 4 Q I M J v D i M 8 H / D J H I U H y x Z o L p 1 I x x a W 5 d v m z A Y q n H s k O t E K D r C G S N e Q e R p k r T M 1 H i r J V y f T 8 4 4 X 5 G Y Y 0 F l 6 5 M g h 2 r F j R / T K q w V r h A x u h N h v 3 7 5 L Z 8 + e o Y G B A T p 0 6 O C G X D y t 7 7 6 7 T d e v J + / D S h Q i k v i d G H q x U b W 3 d 0 j 3 A P r P A G X H p J v b Q G o / r J a a N L F o k 1 l t 4 8 X 7 m y 9 C u L A A q K D f S + d 2 L d J 4 Y O P 7 4 3 1 X z K 5 n q F L 1 O 2 m B i U S Y 3 D n h K E y Q D m 1 / + u l 1 q q 6 u F i t l h u n l u I N c 7 M 7 g X k 4 4 q a 9 f v y r W C F b t x Y u X x r O U M C w e / U V N D x 5 S N 7 t y u L L j N e g g x V V / D B k N k 2 / F K o 6 P T 1 B + X g 4 t s j X s n V r b q o 2 O j q b l F q 4 m u H C w w E i j A p y W i Y d 0 s m x E H t N z / i U K b a y V M E H 8 f F x 4 8 A / 7 y 7 T P M l V 8 1 u B H Z m a x u Y + s c P M g 8 3 o S x m j e a 5 G T / d t v v 5 O J S C B c s R M 1 7 V H Q Y X Z X d L q i o Y 7 G u Y Y N J z c + C y c o L B c 6 c o u K i 6 S / 6 O K l C 3 L y Y t g H A J 2 c m K T 2 t n Y q K y + T 5 y A A A S j P c j u l t 6 e X S q x v 5 T 1 T C Z / T 0 9 2 X N B V p P U L m B W 7 6 B q D Q a X z m z C n p v L 1 Y M y P T m 5 m F o R z o r 9 L z V C Q V 9 q / a H S w L t Y 0 6 y S F T R M c f q 0 w p l h t P n y c 5 p T J D Q Z e 6 9 c t q 7 l 4 y e e Y n 6 M o + 9 R r k z B U U 5 M t J f f T Y U Z q Z n q H i k m K Z 8 F E P N s R E J T j 5 U v U T z c z M 0 s j w i O T 1 o X 1 j t m 7 p C E D 2 9 Q 4 w h O e N L c k F a E d G R i T r P R 3 h 9 8 G q T k / P U m P j v m h C b b I x W b i w j L A l O r a v g j p G H T T l S S / i C J c v G A x w 4 T a l H 2 0 p H 5 3 d u U A z l n c f k P k + K q N d v v V 2 5 E Y V 9 E o H r C s n V 7 w U d J Q i e 3 p u b l 7 a U o P D b 6 M w 4 Y R 0 8 t U c M M E a w o V D p A 0 u G w B 6 8 u S p n K h w G / 3 c j l g v T C M j o x I A W f a u t J C J g h X F j d o A V j r C d 0 E u 3 y K 7 n F A H t x V T D X C 0 2 x 1 0 Y F e B z N G 3 G k w 7 3 f E Z 9 r z n p c a v V s 4 f o q G y K S O V s S 6 f s + T w m u 5 e K u W V 1 t H L q R J p S O / c u V M a 5 7 j q I 5 8 O y 9 2 v 2 q P W o L O z O 5 q U + s 0 3 N 8 T l E q t o n D X 7 9 z d E x 0 6 5 n D n r A h v P x Z x + Z W X l 8 t m r u X P 4 T M y n v n f v H h m v B Q H k 5 i f N s m w W 2 m x 4 b 8 C f l 5 8 n I O L C w B u N Z 6 w U 3 N J X L 1 9 S L i n 4 z M I 1 4 l q j C l i M z C e 2 9 X A 8 4 u s 2 t n B q P f M K u 3 w v 0 j / C W 0 j h 3 E N 8 o q z f 3 d M C j J f 3 B i j f p e Z 5 w M m s O y 4 x U h f B C d w C B i H t s b E J e T 6 y B X R W O T 7 n C Z / M m C P v 8 u V L M m Q C U 3 I B 0 H Q 1 y m 5 W D l s / n P B I W 0 K 7 K j E L A p 8 L m B 4 2 P a K P + L O R 3 Y 1 B j k h 4 h f U 5 d u y I Z K P r l C R M a o m x V n g O X v v x x 1 c E F t w o A O 2 6 1 S K S 2 A 9 2 u 4 0 G 5 v J p f y W s P 5 9 C O I 8 M J b v B A e 4 J j E y S E L t 9 2 u U L + L 3 U W L Z M V n e R 8 a z M E f a / 7 J R M K 8 F g z D q l C 5 F Z O M k e D L i k / Y K T Y p j b Q F q I H N b V 1 U r Q A E G I f f v 2 0 l F 2 6 U L B 2 A h V u F P L 7 H 4 h 0 g f X s 7 2 9 f V 0 w A Z K X L 1 6 K C 4 Y x R r h 5 d S J M r z s 7 J Y o I 4 N A 2 k 4 P J m u U 2 2 9 T U N B 0 4 0 C j B h Q s X z s u Y K o T w / + I v / o 1 Y M Y B 0 7 d r H 8 j u h u t 1 1 a 2 Z i Y P J M R C g B E 2 R 8 X E q Z 9 3 t 0 S V 5 k o U J n M H q s M q l k r M u n 3 b 2 4 g 7 o B s I K O M s k W L y s v l S s 9 3 s P F b h / e X w s n L V R b t 8 v 4 T N U v 5 V n 2 G D v a E n d r m 3 S E i T K v X l U Z 4 1 V V O 9 j V d E g E D m 2 z O S 6 P 2 f q F G e C j R 4 / E R R a h Y 8 e P s m X 0 0 T C 7 p O b v m U o I t / f 3 9 x t r q w t d B 4 A Y d w p Z e 3 / q / a 9 L r H o 5 D t c w / p h l Q s n I o I S z 5 G A a B z s 9 e U L K j c F V v 6 F h n w Q a 3 M X u 6 J V d C 5 + H S B 9 O b G / I I r e N Q R 6 b j j K m k y m O d h m g g c W p q K x Y 8 R l v h o Y E E B y 6 s 2 d O S 4 p Q M u E 7 I B 1 o J 7 u l G M e 1 1 r 7 A d 0 N m B w I x 6 e g w f y 6 G a 2 A 0 M P r T o M S + P C W V L R F l S s T r / H f e Z 1 X b M 0 w Z m R y L U Q T q Q L 7 7 E c M 8 4 o 9 f z 8 q d K B C Q Q L r N n i R h a b S f d u x Q k + 2 7 b B H q l U l M L O T z c r u B X b 6 1 U o E w A Q v a P I g Q Y q x U b e 0 u 4 x E 1 E H G R Q T t 4 4 I B k Q a B / y 2 y R U g n P w 1 x 5 j x 4 + M b Y k F 9 x K W B 5 8 b r r C 5 + M C c 5 D d S A j R v 2 R S c T 0 l o G T i i h b n P X H H L R O K 5 W b L y 4 y 7 T g S c B 9 d M N 1 q v 9 p Y G J e H V w 9 b j 2 d N n M k r W L P R F 4 Q T W j X r c A c M W W q S v n k e o w F 2 K D 1 e h e H u E r h h z + m k B I t w k 4 M j h 5 I M N W 1 v b 6 P C R w z L U f C N C O x B t M L S h V h P G X A F s Q J i O M D J Y B 2 q S B y R w t / u Q B C S k L 4 q v d N I f 5 f N K c M L t 4 D Z m w w 7 j 2 Z m h j G x D Y b b T z b B O Z v W x x R l b s M r c E Z h Y X 7 d N M H M y 3 B f 0 0 0 j o m d U 5 a Z e b r d 0 f K q X C o j K 5 m m t 3 C n d y f z 0 R D w Z c v N p d M Y u U q B 2 V l X w C r p x B C a 9 r a + s Q m L V w E U E 4 H B Y T 7 a I b N 2 5 K e w w 3 A V g r i w I R P M A L t z M d o c N 7 T f F x k G O B G v + k V r D N S a Q 9 + T H c q s V y s / X V 5 p 5 5 7 4 G W L Q 3 S H t E W S m s z I I O n l f f 2 D h X X f x A 3 O S Q y A t J t g 0 A Y K o 7 U p W d D T n Z 9 p u m X Z / K i n c W J g g V 7 + r S F P v j g o r F F / Z a v v / q W f v L T T 6 V f q b n 5 m Y w A R g Q S 0 c T C w n w J p p j b Y Y A F j 2 N q s v M X z k v U T g t u 6 e 9 / / w V v K + A T 3 k o n j h + S r g E t 7 E s d B f z D v 3 5 N V e z e n j 5 1 U t a R O W G + 7 a k W v i O 6 F U J I j O U 6 a q H 8 X g m h h / z L d O b U x s d u v Y + y f J + B Q C 3 R P g F K R / q g z Y B J C + 4 L L N J m C T e s x o 3 S V s v m 7 u n p Y f d K 3 S H k x Y t X 4 k o V F r r p 9 G l 1 U m v h 8 d X 6 k v R + 6 O h 4 L h Y G O Y s O / i 3 Y X F x S R K c Y k r u 9 L j p T P S s Q N z T U y 1 g n D B 9 B J s U n n 1 y T i K N Z y d w 9 C P t f g O L 9 J f 1 Q R t a 5 9 E c x V E E G 6 t z p 9 L s S t o I Y q N c Z B V R l c S H 1 z p T L F f e H A m q z h S C G P 2 y h / d x G q y 1 J P T l m W 1 u 7 d B D D U u E W N G j v o A N 3 o 4 I b a J 7 J q a u z i + r 3 1 d P I g o t q i 9 X 3 A K B w F d E 1 A F c w c V x W K p h A q A Y K F y B p R 5 m A g p U C U O f P p H Z 1 t 6 I y D q i 8 / D K a W H R v K a A g f D / L 0 N c U D q E B H 5 R O Y 0 B j t V g p J z e H 9 u y p k 5 M a B Z G + B / c f 0 o W L 5 1 a E 1 t e j O 3 f u 0 o c f X o 5 G D O H W I f s 9 2 W B G b E f Q x f x 5 C L y g r Z h M c I H N F k q C E h o o I 1 s i 6 F u m C 2 f V X H 6 Z o o w L m 2 O K 4 a 2 q S x f P y r D y n T u r J Y q I 5 U J 3 g f T 7 Y M Z Y 9 B c h B Q l C B + + 7 w C R j s F x V N L l k o 7 t 9 L p p a s k p b L d W F B 5 9 l f g i W K R V M k A p A 4 I K m i w 5 I q J r / q D r J M d z K h d v B m f V v V y k 3 q n G g t p r C P u k E R j + X 7 t u B p U D a E O Y 2 R z 8 W c g c R G M D v w z y B G x U s B 1 K p r p 9 v k G m m T 9 f 4 a W b Z S j f v P K b y 8 u T 3 9 l V W T O 1 X 3 B x 7 N S l g V B 0 r B l g S g Y 0 B F g 6 x Z c 6 g f x u / x L 2 n c j l W P 9 j v q 1 x O l 6 Q Q w Q I h I V Y L m Q 7 n z 5 8 1 1 p Q w R G N H V e y O 7 e t V Y t s L N 1 7 r H A v S m R O r 9 1 M B A O j 1 x N o B G c Y l C o 2 8 L r q s o T K 2 Z 5 g y z u W r K N y a 1 4 j L e 5 P f z w n Z F 4 i u 6 Z M P d X d X t 0 T 4 N i o M m o Q L h 1 m M v m 3 3 0 N v p G f J 5 F m g h k D o 9 C h Y K n 5 0 y C G E o z r 2 T o t b D i d u l f c v + e Z J j u J U L n 3 1 J t m 7 h 4 v O n j p K 9 z 5 o x h t O b h R N P O o V 5 W Q c O W p 6 1 0 I G D + x m o 2 I 0 B 1 i v c O x d j p i b G J 8 m d 7 y J X b g H l 5 B d R c Y 5 f h n X g c x O F P q 0 v b z 0 3 1 l I L L 1 U Q 6 W L A A 6 t k Q I Q C w O B 6 J h 6 / r V 4 y b u b Y O Y + H r t R v v d u o t I 7 G G v i Y P B L j l m 7 e v E V 3 7 9 6 n Q u N G A n D V a m t r J T i B D I 0 F H 3 7 x + o R g R k N j g y T y O l 0 O m g 9 y z e 2 z k g K H z H E B i 9 j U 9 E i s l 1 m L / F k F d b G O 5 d W k I I q 3 R H F w Y V n q C N l t G e Y k 3 e 7 o y i h H t q 6 i m K o K X Y S M A N y z C A c N 0 v X 7 L J 3 n 9 / L l K 8 n m T h z / h M g c L B W s B Y D i c 3 H d Q r 8 S O n X x / h g w i C R c R P o q 8 u P v N o g 0 K r i G + g b Y a 7 l 6 S q r v C X P x q X A 5 b r m 6 s h / K L 3 1 Q X g r 4 l u n a 1 f R u l r B V l H F B C V 9 A n x h b 7 z q B P L 9 b X X a Z b D I x n w 4 X B E T m d B b E R m C C E E W 0 O Z w 0 O P C G K o 3 s + E S Y I A R I 0 F Y D g G 0 j a 0 + a G b N A s E z a A h m 1 U Q S 2 c C i 6 j D r T l H F h 8 / k l r 1 z F c b C u N 5 i T Q W G Q 3 3 8 F I n b K b / y 5 W C d M T Y Z M c b h + 3 3 9 / i 2 p 2 q e m 9 3 k X Y N + 0 v + q h + 3 1 4 Z K L m a P v r 4 i t w M b i z + t l Z J h I a T g h 4 Q C S w C F 2 p V J C h h 3 s 4 F 2 8 z H L h P + Z Z y F 8 r K b A V n 4 U o G D V 1 u i r r 5 G m 3 5 L y B 9 x U H v 3 u A x L z 8 n J l X y 9 8 + f P x d 2 h 8 F 0 U s J d I 1 s N a A n z H T 5 0 n B 6 b W X U P w B z R Q q M U a G b U G S M E W M g I S y l J l m j J v g K E h z M M A 9 0 b f b H q r a W R R t Z 8 w l F 0 N x 5 i S q a C R z P q u c u S k P y c e 5 t V A e y 2 5 B C M G R S 2 L 1 T F H 8 w C N w K O L 4 e 5 x G 0 t Z M b 7 Y J T u G W 7 j w p S f J 1 i 1 e 0 A j G 1 V V l N y f v 3 3 n f V V i + m 0 r L y i V b A g X B A 4 w a h p D r p 4 X E V U y k i S B M u j p 3 t I 4 6 + l a / S 7 z W 1 X 2 p M + A B k s D E f w Q U s U 6 q N l s o 5 e 4 p i D R U W L d m 4 A y y G R c 2 R 4 F 1 g t u B 2 8 y 8 a 5 v j T y V c E G 7 3 5 U s H r C 7 Y h g y H N 2 + G 5 f c h m R V T m s G f f f 7 8 O d 2 + f c d 4 9 e r a X 1 d C T 1 p e y z J S j l Z T K I I 9 u p p g o Y w i o B j F g E j D o 2 G K 1 S F q 2 F e T 9 P h t 5 Z J 5 L h + X E P s o O H C F G T D v G 3 t Q c U L / k c v l l N D 6 4 O C g 3 B 6 n p L i I T p 4 8 w d Z 4 Z b Q u U Z h e r K O j g 4 q d y 9 T 5 Z o 4 c 1 g j 1 T 6 d O 1 1 q r r 4 s 5 M i y S 4 c 4 Z 1 k m W o / C Y H h d 3 T 5 U 9 9 T u T H r + t X D L S 5 W s Z m p E r O o S J / 7 V w h d 9 K g v u Q 7 C s j G x 0 Z 6 H v 3 7 p X w t h b b C G M p u d A W + / J u D x 0 5 c o T + 7 Z 9 f o x 1 u C z X d u U F F l r d i 7 Z K p J D d V A 0 p 8 P Z M l 0 g E I L M e g E Z i M N l N 0 G 9 a 5 q G O k j l m m l N X t / R a W P k F m F 7 Z m G w q C d c J h S l c F b L 1 S g Q E B g Y 9 P V U U v L B h z h d m O M P P t / e Z O / r z k Q P p W z K s O k P i v E Y B A I C L a f p J 1 V b S 7 p 2 s N U i g c 5 P W t G S x a S x k 7 c + z c 7 C w f Y M y V h w n / e c M W l X n e i r V 0 8 N A B C V L g Z D Y H L r S w F w q T T K x S W 1 t D B + q r a M E T f 5 M B v A f m 3 q v K S 5 i 0 B T A Z b p 4 C x 2 y V Y t t 1 H e I a o C v r F J R i 5 5 + V e M w y o W S s h S o o L B S g c G e 9 r a y u y f V N H Y Y b u g 0 M D N L n n / + e b t + 6 E 5 3 p C H m A s 3 N z k r a U K L T H M M H L l 1 9 8 S c + e t U q H M m Z L w n 1 0 M W 3 z k i V + B G 8 0 A C H u X p g c N g 1 Q g k W S b Q Z I X M x Q f f b z y 8 a 7 Z Z Y s 9 1 7 2 J b f z G a A D Z S 6 y O V x 0 s 8 s l J 4 G W e f l 9 l 8 M W o Y / 3 r c 9 t R b o Q E m y R 7 N r X 1 0 / j Y + N i b U 6 c P C 6 T a W J a 6 M b G B u P Z J N H B h f x j 9 L N T K 2 f E h b 7 r y h H 3 E x L L J E E f D U e I D l V 6 q W 3 Y w s D A + q h 5 + J D H J 8 P e T T l 8 a r Y j l c P 3 7 / 7 y q n r D D F N G h s 1 1 Q Z s g J P 1 Q a h j E V p P d u n J S z N W E 2 9 d g j j 7 c H A 2 p S 8 j 7 Q 9 / V l Y 8 + l J s J I C h x k q G C 5 d D C K G F E C O v L 2 L K k u M 7 E Y D L 1 K x n t p Q t 1 y z L x v 7 J K G j T 1 W A w 6 5 e b p + S W I 2 0 + J x y p T S k a G z X X B V V J A 2 j o G K U 4 Y d C h X v D T 1 n N 0 9 T O C C e f k S b 5 w G y 4 O b b a N L A X c E 0 U L C L U D Z U Z p P N 7 5 L 3 Y + l Y I o P M L h d A b J b Q t T z l q 0 T b x O X D h Z K i r J W A p I 8 p q B C u X D x W N L j l Q m F 7 X u S r R l S + h Z w V / Y g 7 S l R V k p r q 1 i r 9 Y 7 m h 9 X A n B O p b k u D 3 4 0 b t + F x 3 D 3 j w Y M m m Z u i u 6 u H 2 p o f 0 q W L Z 6 J t L r M A U 8 w C q V K U G 6 T j V V 6 B z E o M G o O q H 9 c B C g 1 Y m C 9 s 2 j o B q J p a D L 9 f e b w y o W R s U E I L B 3 V n g Y p 8 b S V T h c O z X i F 3 c S 1 h + u b 7 9 5 t k P N S F C x f J 7 i q k M 2 d P k 5 3 d Q 5 z 0 u C m b W e 0 j d o F D F 8 B y o X a Z j u 7 w 8 v M x T V i Y B q Z 4 P w t A 2 r U z Q G L X T k B C M a C i S G a G y 7 U y N m y u i z e I q y a 7 K 3 w w z c G I 9 9 1 K n a x Z 3 6 h j / L a 1 f t P Q 0 B A F + M R G 5 O 7 x 4 2 b q 7 e 0 m m y U g r 3 U 4 7 H I P Y f N 7 z C 8 T j c 6 p o T D a M n 1 U 7 y G H 1 X D n G K J b 3 Q o 4 b Z W k 8 L 4 W m L R l k q I G G f 7 V f / w s e m w y s W S 0 y 4 c y 4 b d J p A k H F S f B V r F S L n t Y 3 C 8 E D d I R Q E D 7 C U P c k + n / f P G I 8 v I L y F 1 Y K I m 2 m E k J m R b P O z r k t Q c O H p A M D M A 1 7 b H I a O c H / f H W q S L P z / t R t 5 H C F D S W s V / N t V g r h k n W A Z U U B p e h w j 2 z E o 9 R J h X L g 9 c D W 7 T J n r 4 q b c s 0 v u S i w b l 8 s t o d c l B 1 e N h s t d 4 b 8 X c 6 U T r M 7 l e O D F N H 5 y q u f h A i d w A A 1 g J g I L c P c 0 w g L I 6 + p p 6 e P j n 5 8 R t 3 7 d o p k L V 0 d N G F M 0 e T 3 q M K + Y C 4 O Z v e D 5 i 8 c s H L 7 2 / 0 M S n L p I I R D W V e q i y A p V H Q t L y x 0 s w S u 3 0 A R i A y w u U I k / M y Z o g N G t M u o 1 y 7 d p Z 2 V C W f 9 y 9 T Z H n Q m f l A Q f Z l P 3 V O 5 c n w b 2 S j W 2 3 q h m j v J V C s q s I Q H a 2 O z 1 x I F L 4 7 L B i G y 7 e 0 t M k N 0 N B G w n w Q m C D z / v 0 H M j A x V c Y 9 5 q i w 8 X 7 I y 8 u V 9 7 r b 6 6 T l A F w 8 t j a 8 r t w 4 B R T q g + V e K s 0 z g G L r c 6 v b Z l i l m B W C a 4 e b V C f 2 P W E e 8 7 / 5 1 S + N T 8 5 c W Z o 6 B 7 c F U L O T X p r w u M j G F g o F Q A G s 9 x m q C 7 t 9 V O h a + 7 u h / w k T Z C Y G J Q A X o E E H b z K h 8 x f h d b x O w c S Q G l Z J 9 z M J T B L B C 9 H l v R 4 B C K 5 e 6 5 C V p h f 5 c Q F K u d Q A C p Y y B h P u + u 4 l v 2 + Z j h 6 u p x O n M 2 t C l m T K + C i f V n F F D h 9 8 5 Z L g w E v D m Q t O n P d V D w f S G 8 s F a 5 E s w o e I H T p 4 c V + o R O E i g t v U I I Q + v U T k 8 S N w A 0 t k F C w b 7 U 4 E G M 7 X e n i / K Z h Q x 2 D i / S n b s F 9 R x / a x A M Z g h b n e D j B B 2 w Y o y G H F A e e G t Y a K T x y c D H x 6 q S e 8 h x q c W b s z C p P 8 p x J y 9 2 C F 4 B q a L T H u c I h b h G J b U Y 5 q I y m L t L K 4 n Q G y W t S + Q r n f q 4 I V y B q P g y r O U q F g X / v p J 5 9 d M T 4 1 8 2 W F y 7 N d S s P e P L n q 4 k A r 1 0 R Z K o H q P X X 7 O i f V z d B S C W 4 b M i R W U 1 1 d r b S z m p o e 0 s D A g A Q 5 Y L k Q m A E w + P 2 J l k l D g m W 7 B Z A o c D C I 0 R 8 w H p d t M Y u k 9 6 n O 3 8 O d C 2 G d q q o r k h 6 P T C z b y k J B t T v 4 6 i o n A U L A O B G M w s v i / s n Z + 3 7 B d a M r 9 S S T y H j 4 6 U / / z F h L r t 6 + P o k E I l C B m W d n Z + c k U K F h 8 g f Y E g k 8 B l R i m f R y i H Y U q H A 5 3 L 2 7 v b a o Z Z L 9 G K 0 V V N r N w / 7 F f B 6 / / s 1 / M L 7 F 9 t C 2 A 6 q o m E 8 k A U o f e L U c h Y t P J j 2 N 8 F b Q W n N m 3 P z + F u 3 Z v V u A w m 8 C A P k F e d L B i 2 U U d M 4 i 7 A 1 4 F C A a G P W c 8 X l u Y / m C d L e b Y d I X I O M i J P t R 1 t W + N M N 0 + E g s o 3 2 7 K K O T Y 1 O V E 0 d K 1 A n A Y I m f j 5 p d F Z w g g A 0 n 1 l Y B C q 5 b M m E I x 9 2 7 9 + j K h 2 r c k W S L i O X h 3 4 X / v D w w Z a E b n U g 5 A j x G 0 V A B M N k W p D d T E X r U z z B F n 6 d h U k B p q D R M i O 7 B 1 T t / 6 W T S / Z / J x f K o e 2 h r n D m b r L H x J R o e X y a r 3 S l 9 M R J K t y K x 1 A i n c / v C a l N h d f k X H e j y p 1 G q G 1 r j p g L I y 4 O l Q j o R w t u F b r e 0 m T A s Q 1 8 Y A B O W M T 7 q e c c L y t / / C / I H Y Y l V 4 E E F J X A h M d w / Y z 0 K F t c A S i 4 6 h n W S D B S B C R c k h M g Z J p + X a y / 9 5 r f / S T 5 3 u 2 n b A g U 9 b R 2 j M B k w r Y C K j T c 6 g F F b s I x G Z 8 x D B m g / p k 7 s 9 F N F Q X y I H + k / U 1 N v J Q M C I f D d 4 t q p w Z Q o q n N W g Y Q C q z U + P i G 3 s p n O P U k 5 u f k K J I Z I A 6 V B w j o A A q D K c p t r g B Q D K n Z 3 d 3 U T A E T 1 a u v U T Q a 2 m y y P e r Y v U N C j 5 h G G B T A 5 F V S A i S 2 T l b c B p q i 1 S g D r x w Y K H / d J Y / w 9 c H 0 + P x e v M a w d H d Q x e F B k F l d Y H K w L K G r 9 7 a K F 2 k Z s A o / a j t c l g s Q 1 A O N l a V M B L M M y S Y l a J g W T 3 E 2 D r Z T T b q W / / 4 e / U l 9 w G 4 q B G t 7 W Q E F N j 4 c M m L S l U m 6 f y q Y A R P G W C n d m x x m u w M I 7 w C l E 9 c N C l u c I k n / g O x l 1 i 0 5 b 3 J l d 5 / I J Q A K O g k a v T 4 y P s 1 v Y T R c u n J P Y 5 d C M h b o m M B G o G S S A F b N O U Z d P Q A J g s E w a J M M y 8 X I M J p U R w W 9 C / / C 7 / 6 y + 7 D a V 5 X E W K D 6 p i O 4 / G j R g M q A S m A A V Y D K s l A C l a v 6 j a p Z Y K w F M A 6 U B i / 5 Z V f p p + B 4 p B V j 4 X 0 N 5 k G q L / H y i Y 7 g G N g O g l Q W P P 3 n S L O 0 o 3 L G w c X 8 j v R q z 0 d i C S q y N g a Q g 0 p Z K g D K g 0 h Y q C p R Y K B W A Q B 8 T w B I 3 j y 1 T O O i n 3 / 7 T 3 x t f d v s q C 5 S h 6 R k P v X g 9 Y c B k g s o M F G q G S F k r h k b X O L N R 4 5 + x D G E d / 2 O K W 0 m Q c R g S j g b j I d t U L X / p e s N y H D y q 4 G F l m V A A F L I j R k d H Z V K W y U W i j h G 7 e g 7 A w f M E n h h U U a D E Q p n b T N o 6 6 b a T n 4 E y s s k F p g D D 9 H f q C 2 9 z W R 7 3 j u A Y Z c V a W P D S s 7 Z h B k Z b K n P U T 7 l 9 G q 7 E 9 l S 0 C E R Y x j s a y / L u L L U x K V b R g w A y D A G M W K 2 g Q V 2 Z H 6 R D V c h k N e D B A 6 j F 3 U P R w K j 6 T o 9 D H t O W S V s j 9 T g X h g b L s E g q C K G A i s J k W K Y o T G K Z N E x s m f 7 H r + S 3 Z 8 X H 9 k k W q D h N T S 1 S + 4 s R h k l Z q U T 3 L 2 q h N F R 8 I m E d s G i g 5 O Q y l h U 9 2 C Z v z 1 r t x N M A m Z e N w w N A s I 3 / Y / D h h T q V m x d f A E w M r F l P h F q H G S b Z r g B S j 5 t d P B Q D K F g k r E v N M A l I M e s k b S f d b g J M D N k / / v O v 1 f f L S p Q F K o n m 5 j 3 U / G y Q o Y G l A k y A y r B S c A H F O i m L J R D p O g q R W p Z a 1 v H f A E k q Y 3 m F F D B q S S / L E l c K E r U Y o Y / q V c R P l 5 E 5 K 9 m s Y Z r k N t L b J W 4 n h b B d g a Q A U 0 A l G z g o 1 g g l h G U A h G U N k q o B k U A l b p 6 f X x e k 3 2 U t 0 w p Z n v R l g U q m 6 e l F e v p s I G q l l K X S r p 8 B E 9 c 4 o R R Y M a j 4 j 1 o G O F K z s F 2 E x 4 z F J F L M x M B R A h C o u M Z j q F G R y j 0 0 g y W F I V H L S Y D C Y 6 g j C i D c 9 C w a J m d w Y k E I 1 P F u X t C P Q I S P f 0 G E f v f P v 1 J f L a s 4 M V C j + q h l l S C c l N 9 8 2 8 r g A C i H A C V w G T A p k F A D E m w z Q S X g a K B Q y x a p l W Q t K n U Q T I d C g J E / s o L v I k s G N H q b L B u 1 A s i o 0 W b S 6 w K Y C S a x S K p W I G k L Z b J O c O 9 g m V A b l g n u n t P p o N / 8 4 9 / K d 8 l q p S z N W a D W 1 F d f N V M E 4 E i 7 K g a V O V i h L B S g U i C p Y g q r A y A h S G F k X o 4 J M B i L I r 2 O W j 0 Q B U h v w 3 K 0 m A G K D 0 J o o B R U M a A U S M p K J b p 5 5 o R X W K m 9 e + v o z 3 / 5 q X y P r J L L 0 t y f B S o d v X g x Q P 3 9 k 2 Q R m G C x A J I q s E x R q K J W S t U K J B N M 8 t 8 A S W + L C o A Y i y x G w 9 h k r g F O r J Z / e l n A w b J R A x o D K A W S h k h D Z Y C E Z U C E 9 p O G S S B S Q Q h i 1 / J v f / 3 v q a h 4 7 R t d b 3 c x U G N 8 d L J K R z h J v / y i i a G x M 1 i A S Y M F k L i O A q W h 0 g V R Q A M k R Z Z s X 0 3 4 L G O J l 3 U N k N R j + I c H o v D o A l h k G + B R 6 z G o F E y o I 7 B K W B f r h D a T h k m 5 e G o I R k B m X s q 6 e O k r C 9 Q G 9 N 2 N Z l p c 4 s a 5 W C i G S y x U z F o p S 6 V A M o M l S G m Q s E 0 t J Z V i S B 0 a x k I 2 C F B Y M + D B 4 2 r Z D J U B D 5 Y B l w G U Q I R l w y L F t 5 s S Y c K Q d 6 K / / O t f 0 I 6 q C v k O W a U n y 9 M s U B v W 5 5 / f 4 j 2 o Q T L X y a F S E O m a h W 2 r C V C s q M 0 g 6 W I A B Y C M 5 a i L J 4 A Z l i k K k a r j L B N A Y q C w 7 n a 7 6 d e / + W t 8 Y l b r l O X p w H g W q H e Q x + O l P 3 5 5 T 8 C K Q Q W Y e B n g G H A J R E b h F Y M l B V T U a p k E K I w l X j b V A A d F 1 o 2 w u R E W j 1 o l L E f r t S y T g g j Q Y U z V f / u n b D 7 e u y g L 1 C Z p d G S S 7 t x 5 x n A w U G K d F F h x E U C A k w w q 9 V 8 t s w C L s S B / B C S p e U H + K y s U L Q I P l m G N z D B h X U E k t Y B k w C Q W C Z P 3 h w W k / / r f / 8 7 4 X l m 9 i y z P s k B t q r x e H 3 3 + f 2 / w E q y S E V o X w D R Q q t Y n r 4 Z L r X B J O B q M i b E t B h D / i S 4 L R E a t 3 T y 9 b H b v o s t o J 3 G N N h J m j P 0 v v / 0 b / e l Z b Y I s z w Y n s k D 9 Q P r 2 X + / R 2 M S U A K V A 0 o V P 4 S h U 8 e 5 f o h R L + A t o s K i B i o G E W l s l Z a E A k K p V N I 9 d O g M s z I 1 + 9 v w p O n f x J N 4 5 q 0 1 W F q g f Q T j h f / / 5 1 z Q 7 u 6 R A E u t l A B W F K g V Q i i h 5 D 7 W u l g E P H o w D y Q S U 7 m f C c w D R 9 T + 7 Q v s P 7 p P 3 y O q H k 6 X 1 z W T E F v B S w J 7 e t L 9 Z v b v m Z u f p D / / y H S 2 z e w i Y V I E A m L E I w R h F F w A R K m w B O A o s D R F y 8 r A N z 8 W 0 z L t q q + m z X 3 z K y 1 v 7 L v h b T Z b W 7 v 7 I 5 P A A R a w O K i 4 t p d c d 7 X T 0 g 8 y 8 Q / f 7 K o A x P T V L z 9 t f U 0 9 X H / k D A Q W J P I j / 8 i d a a 2 O G 3 M L q n V V U t 6 e G 9 j X u o Y K C / J S W L q s f R 5 b / + b / + d + T c p c t k z c 0 n p 8 t F X c + e U N 2 x 0 8 b D W W W V 1 X p k a W G X z 1 j O K q u s 0 t T T R 0 2 0 c 1 c t z U 5 P y z R q T q e L i o q L t 9 9 U z F l l 9 a 5 C 9 0 N b 8 2 P q a H l G j x / c p f u 3 b t L w m w H V N d I 6 9 D Z r o b L K a l N E 9 P 8 B g F W q o O F L 6 D E A A A A A S U V O R K 5 C Y I I = < / I m a g e > < / T o u r > < / T o u r s > < / V i s u a l i z a t i o n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9D8249050D244AB3291E25E44E9E61" ma:contentTypeVersion="8" ma:contentTypeDescription="Create a new document." ma:contentTypeScope="" ma:versionID="de66317dd7ce282fecab2c27c9f14507">
  <xsd:schema xmlns:xsd="http://www.w3.org/2001/XMLSchema" xmlns:xs="http://www.w3.org/2001/XMLSchema" xmlns:p="http://schemas.microsoft.com/office/2006/metadata/properties" xmlns:ns2="66de5014-e8da-4796-bdfb-c10b0cfdf816" xmlns:ns3="a004e035-50b8-418f-b096-b0421c71bc5c" targetNamespace="http://schemas.microsoft.com/office/2006/metadata/properties" ma:root="true" ma:fieldsID="1fbdb41caee633568256cb29b570d179" ns2:_="" ns3:_="">
    <xsd:import namespace="66de5014-e8da-4796-bdfb-c10b0cfdf816"/>
    <xsd:import namespace="a004e035-50b8-418f-b096-b0421c71bc5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e5014-e8da-4796-bdfb-c10b0cfdf8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04e035-50b8-418f-b096-b0421c71bc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0912C6-6F90-4905-A8E9-B8ED0AEA5E8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FB0E056-8B06-45E0-89F0-C68A64EEBFCE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719FC241-7561-4851-A854-FF4951A525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e5014-e8da-4796-bdfb-c10b0cfdf816"/>
    <ds:schemaRef ds:uri="a004e035-50b8-418f-b096-b0421c71b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A856CDC-2E2A-41B5-BB37-E0AA7C2DFAC2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a004e035-50b8-418f-b096-b0421c71bc5c"/>
    <ds:schemaRef ds:uri="http://purl.org/dc/terms/"/>
    <ds:schemaRef ds:uri="http://schemas.microsoft.com/office/infopath/2007/PartnerControls"/>
    <ds:schemaRef ds:uri="http://schemas.microsoft.com/office/2006/documentManagement/types"/>
    <ds:schemaRef ds:uri="66de5014-e8da-4796-bdfb-c10b0cfdf816"/>
    <ds:schemaRef ds:uri="http://www.w3.org/XML/1998/namespace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713F3DC9-A6A9-4B66-99C8-05CF4AAC8B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Linear Regression for δ</vt:lpstr>
      <vt:lpstr>Linear Regression for μ</vt:lpstr>
      <vt:lpstr>Linear Regression for δμ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Marta Sanguinetti</cp:lastModifiedBy>
  <cp:revision/>
  <dcterms:created xsi:type="dcterms:W3CDTF">2006-09-16T00:00:00Z</dcterms:created>
  <dcterms:modified xsi:type="dcterms:W3CDTF">2022-01-08T15:36:25Z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0x0101008A9D8249050D244AB3291E25E44E9E61</vt:lpwstr>
  </property>
</Properties>
</file>