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4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iit.sharepoint.com/sites/Project4/Shared Documents/General/Data_Analysis/"/>
    </mc:Choice>
  </mc:AlternateContent>
  <xr:revisionPtr revIDLastSave="1166" documentId="11_2E2202707D9E5F6D37A74A831E4D50963A730393" xr6:coauthVersionLast="47" xr6:coauthVersionMax="47" xr10:uidLastSave="{ABE9FA62-2836-4A52-937E-B5AF929ED38E}"/>
  <bookViews>
    <workbookView xWindow="-108" yWindow="-108" windowWidth="23256" windowHeight="12720" activeTab="2" xr2:uid="{00000000-000D-0000-FFFF-FFFF00000000}"/>
  </bookViews>
  <sheets>
    <sheet name="Linear regression λ" sheetId="1" r:id="rId1"/>
    <sheet name="Linear regression μ" sheetId="2" r:id="rId2"/>
    <sheet name="Linear regression for μλ rapp" sheetId="4" r:id="rId3"/>
    <sheet name="Linear regression for μλ" sheetId="3" r:id="rId4"/>
  </sheets>
  <externalReferences>
    <externalReference r:id="rId5"/>
    <externalReference r:id="rId6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1" i="4" l="1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C206" i="4"/>
  <c r="D206" i="4"/>
  <c r="D212" i="4" s="1"/>
  <c r="I206" i="4"/>
  <c r="J206" i="4" s="1"/>
  <c r="C209" i="4"/>
  <c r="D213" i="4"/>
  <c r="C223" i="4"/>
  <c r="D223" i="4"/>
  <c r="D229" i="4" s="1"/>
  <c r="I223" i="4"/>
  <c r="C226" i="4"/>
  <c r="D230" i="4"/>
  <c r="C240" i="4"/>
  <c r="D240" i="4"/>
  <c r="D246" i="4" s="1"/>
  <c r="I240" i="4"/>
  <c r="C243" i="4"/>
  <c r="D247" i="4"/>
  <c r="C257" i="4"/>
  <c r="D257" i="4"/>
  <c r="D263" i="4" s="1"/>
  <c r="I257" i="4"/>
  <c r="C260" i="4"/>
  <c r="D264" i="4"/>
  <c r="C278" i="4"/>
  <c r="C301" i="4" s="1"/>
  <c r="C286" i="4"/>
  <c r="C309" i="4" s="1"/>
  <c r="C288" i="4"/>
  <c r="C311" i="4" s="1"/>
  <c r="C289" i="4"/>
  <c r="C290" i="4"/>
  <c r="C313" i="4" s="1"/>
  <c r="C291" i="4"/>
  <c r="C314" i="4" s="1"/>
  <c r="C292" i="4"/>
  <c r="C315" i="4" s="1"/>
  <c r="B345" i="4"/>
  <c r="A392" i="4"/>
  <c r="B350" i="4"/>
  <c r="A396" i="4"/>
  <c r="B353" i="4"/>
  <c r="C312" i="4"/>
  <c r="D312" i="4" s="1"/>
  <c r="A400" i="4"/>
  <c r="A401" i="4"/>
  <c r="A402" i="4"/>
  <c r="D315" i="4"/>
  <c r="B323" i="4"/>
  <c r="C323" i="4"/>
  <c r="B324" i="4"/>
  <c r="B325" i="4" s="1"/>
  <c r="C325" i="4" s="1"/>
  <c r="C324" i="4"/>
  <c r="B326" i="4"/>
  <c r="B327" i="4" s="1"/>
  <c r="B328" i="4" s="1"/>
  <c r="C327" i="4"/>
  <c r="B342" i="4"/>
  <c r="B343" i="4"/>
  <c r="B347" i="4"/>
  <c r="B349" i="4"/>
  <c r="B351" i="4"/>
  <c r="B352" i="4"/>
  <c r="B355" i="4"/>
  <c r="B357" i="4"/>
  <c r="A387" i="4"/>
  <c r="A389" i="4"/>
  <c r="A391" i="4"/>
  <c r="A393" i="4"/>
  <c r="A395" i="4"/>
  <c r="A397" i="4"/>
  <c r="A399" i="4"/>
  <c r="C189" i="4"/>
  <c r="D189" i="4"/>
  <c r="E189" i="4" s="1"/>
  <c r="I189" i="4"/>
  <c r="J189" i="4"/>
  <c r="I190" i="4"/>
  <c r="C192" i="4"/>
  <c r="D195" i="4"/>
  <c r="C172" i="4"/>
  <c r="D172" i="4"/>
  <c r="E172" i="4" s="1"/>
  <c r="I172" i="4"/>
  <c r="J172" i="4"/>
  <c r="I173" i="4"/>
  <c r="C175" i="4"/>
  <c r="D178" i="4"/>
  <c r="C155" i="4"/>
  <c r="D155" i="4"/>
  <c r="D162" i="4" s="1"/>
  <c r="I155" i="4"/>
  <c r="C158" i="4"/>
  <c r="C138" i="4"/>
  <c r="C285" i="4" s="1"/>
  <c r="C308" i="4" s="1"/>
  <c r="D308" i="4" s="1"/>
  <c r="D138" i="4"/>
  <c r="E138" i="4" s="1"/>
  <c r="I138" i="4"/>
  <c r="I139" i="4" s="1"/>
  <c r="C141" i="4"/>
  <c r="D145" i="4"/>
  <c r="C121" i="4"/>
  <c r="E121" i="4" s="1"/>
  <c r="D121" i="4"/>
  <c r="I121" i="4"/>
  <c r="I122" i="4" s="1"/>
  <c r="J122" i="4" s="1"/>
  <c r="J121" i="4"/>
  <c r="I123" i="4"/>
  <c r="I124" i="4" s="1"/>
  <c r="J124" i="4" s="1"/>
  <c r="C124" i="4"/>
  <c r="I125" i="4"/>
  <c r="C104" i="4"/>
  <c r="D104" i="4"/>
  <c r="I104" i="4"/>
  <c r="I105" i="4" s="1"/>
  <c r="J105" i="4" s="1"/>
  <c r="J104" i="4"/>
  <c r="I106" i="4"/>
  <c r="I107" i="4" s="1"/>
  <c r="J107" i="4" s="1"/>
  <c r="C107" i="4"/>
  <c r="I108" i="4"/>
  <c r="C87" i="4"/>
  <c r="D87" i="4"/>
  <c r="I87" i="4"/>
  <c r="I88" i="4" s="1"/>
  <c r="J88" i="4" s="1"/>
  <c r="J87" i="4"/>
  <c r="I89" i="4"/>
  <c r="I90" i="4" s="1"/>
  <c r="J90" i="4" s="1"/>
  <c r="C90" i="4"/>
  <c r="I91" i="4"/>
  <c r="C70" i="4"/>
  <c r="D70" i="4"/>
  <c r="I70" i="4"/>
  <c r="I71" i="4" s="1"/>
  <c r="J71" i="4" s="1"/>
  <c r="J70" i="4"/>
  <c r="I72" i="4"/>
  <c r="I73" i="4" s="1"/>
  <c r="J73" i="4" s="1"/>
  <c r="C73" i="4"/>
  <c r="I74" i="4"/>
  <c r="C53" i="4"/>
  <c r="D53" i="4"/>
  <c r="I53" i="4"/>
  <c r="I54" i="4" s="1"/>
  <c r="J54" i="4" s="1"/>
  <c r="J53" i="4"/>
  <c r="I55" i="4"/>
  <c r="I56" i="4" s="1"/>
  <c r="I57" i="4" s="1"/>
  <c r="C56" i="4"/>
  <c r="C36" i="4"/>
  <c r="D42" i="4" s="1"/>
  <c r="D36" i="4"/>
  <c r="I36" i="4"/>
  <c r="I37" i="4" s="1"/>
  <c r="J37" i="4" s="1"/>
  <c r="J36" i="4"/>
  <c r="I38" i="4"/>
  <c r="I39" i="4" s="1"/>
  <c r="J39" i="4" s="1"/>
  <c r="C39" i="4"/>
  <c r="I40" i="4"/>
  <c r="D43" i="4"/>
  <c r="C19" i="4"/>
  <c r="D19" i="4"/>
  <c r="E19" i="4"/>
  <c r="I19" i="4"/>
  <c r="I20" i="4" s="1"/>
  <c r="J20" i="4" s="1"/>
  <c r="C22" i="4"/>
  <c r="D25" i="4"/>
  <c r="D26" i="4"/>
  <c r="C2" i="4"/>
  <c r="C277" i="4" s="1"/>
  <c r="C300" i="4" s="1"/>
  <c r="D2" i="4"/>
  <c r="E2" i="4"/>
  <c r="I2" i="4"/>
  <c r="I3" i="4" s="1"/>
  <c r="J2" i="4"/>
  <c r="J3" i="4"/>
  <c r="I4" i="4"/>
  <c r="J4" i="4" s="1"/>
  <c r="C5" i="4"/>
  <c r="D8" i="4"/>
  <c r="D9" i="4"/>
  <c r="J57" i="4" l="1"/>
  <c r="I58" i="4"/>
  <c r="C280" i="4"/>
  <c r="C303" i="4" s="1"/>
  <c r="E53" i="4"/>
  <c r="J74" i="4"/>
  <c r="I75" i="4"/>
  <c r="C281" i="4"/>
  <c r="C304" i="4" s="1"/>
  <c r="E70" i="4"/>
  <c r="J91" i="4"/>
  <c r="I92" i="4"/>
  <c r="C282" i="4"/>
  <c r="C305" i="4" s="1"/>
  <c r="E87" i="4"/>
  <c r="J108" i="4"/>
  <c r="I109" i="4"/>
  <c r="C283" i="4"/>
  <c r="C306" i="4" s="1"/>
  <c r="E104" i="4"/>
  <c r="I21" i="4"/>
  <c r="D60" i="4"/>
  <c r="J56" i="4"/>
  <c r="D77" i="4"/>
  <c r="D128" i="4"/>
  <c r="I191" i="4"/>
  <c r="J190" i="4"/>
  <c r="D301" i="4"/>
  <c r="D300" i="4"/>
  <c r="D59" i="4"/>
  <c r="D76" i="4"/>
  <c r="D93" i="4"/>
  <c r="D110" i="4"/>
  <c r="D127" i="4"/>
  <c r="J138" i="4"/>
  <c r="B354" i="4"/>
  <c r="A398" i="4"/>
  <c r="A388" i="4"/>
  <c r="B344" i="4"/>
  <c r="D314" i="4"/>
  <c r="C284" i="4"/>
  <c r="C307" i="4" s="1"/>
  <c r="J223" i="4"/>
  <c r="I224" i="4"/>
  <c r="J40" i="4"/>
  <c r="I41" i="4"/>
  <c r="C279" i="4"/>
  <c r="C302" i="4" s="1"/>
  <c r="E36" i="4"/>
  <c r="J125" i="4"/>
  <c r="I126" i="4"/>
  <c r="E155" i="4"/>
  <c r="D161" i="4"/>
  <c r="I5" i="4"/>
  <c r="D94" i="4"/>
  <c r="D111" i="4"/>
  <c r="J19" i="4"/>
  <c r="J38" i="4"/>
  <c r="J55" i="4"/>
  <c r="J72" i="4"/>
  <c r="J89" i="4"/>
  <c r="J106" i="4"/>
  <c r="J123" i="4"/>
  <c r="J139" i="4"/>
  <c r="I140" i="4"/>
  <c r="J155" i="4"/>
  <c r="I156" i="4"/>
  <c r="B329" i="4"/>
  <c r="C328" i="4"/>
  <c r="D309" i="4"/>
  <c r="B346" i="4"/>
  <c r="A390" i="4"/>
  <c r="D313" i="4"/>
  <c r="D311" i="4"/>
  <c r="J257" i="4"/>
  <c r="I258" i="4"/>
  <c r="D144" i="4"/>
  <c r="I174" i="4"/>
  <c r="J173" i="4"/>
  <c r="D179" i="4"/>
  <c r="C287" i="4"/>
  <c r="C310" i="4" s="1"/>
  <c r="J240" i="4"/>
  <c r="I241" i="4"/>
  <c r="A394" i="4"/>
  <c r="B348" i="4"/>
  <c r="C326" i="4"/>
  <c r="E257" i="4"/>
  <c r="E240" i="4"/>
  <c r="E223" i="4"/>
  <c r="E206" i="4"/>
  <c r="D196" i="4"/>
  <c r="B356" i="4"/>
  <c r="I207" i="4"/>
  <c r="I141" i="4" l="1"/>
  <c r="J140" i="4"/>
  <c r="D304" i="4"/>
  <c r="J174" i="4"/>
  <c r="I175" i="4"/>
  <c r="C329" i="4"/>
  <c r="B330" i="4"/>
  <c r="J156" i="4"/>
  <c r="I157" i="4"/>
  <c r="I127" i="4"/>
  <c r="J126" i="4"/>
  <c r="I42" i="4"/>
  <c r="J41" i="4"/>
  <c r="D307" i="4"/>
  <c r="J21" i="4"/>
  <c r="I22" i="4"/>
  <c r="I110" i="4"/>
  <c r="J109" i="4"/>
  <c r="I93" i="4"/>
  <c r="J92" i="4"/>
  <c r="I76" i="4"/>
  <c r="J75" i="4"/>
  <c r="I59" i="4"/>
  <c r="J58" i="4"/>
  <c r="J258" i="4"/>
  <c r="I259" i="4"/>
  <c r="J224" i="4"/>
  <c r="I225" i="4"/>
  <c r="J207" i="4"/>
  <c r="I208" i="4"/>
  <c r="D302" i="4"/>
  <c r="L383" i="4"/>
  <c r="J191" i="4"/>
  <c r="I192" i="4"/>
  <c r="D306" i="4"/>
  <c r="D305" i="4"/>
  <c r="D303" i="4"/>
  <c r="J241" i="4"/>
  <c r="I242" i="4"/>
  <c r="D310" i="4"/>
  <c r="I6" i="4"/>
  <c r="J5" i="4"/>
  <c r="G381" i="4"/>
  <c r="F381" i="4" l="1"/>
  <c r="C382" i="4" s="1"/>
  <c r="C391" i="4"/>
  <c r="B395" i="4"/>
  <c r="C395" i="4"/>
  <c r="B394" i="4"/>
  <c r="J242" i="4"/>
  <c r="I243" i="4"/>
  <c r="J192" i="4"/>
  <c r="I193" i="4"/>
  <c r="J110" i="4"/>
  <c r="I111" i="4"/>
  <c r="I43" i="4"/>
  <c r="J42" i="4"/>
  <c r="L389" i="4"/>
  <c r="L395" i="4"/>
  <c r="L393" i="4"/>
  <c r="L381" i="4"/>
  <c r="E384" i="4" s="1"/>
  <c r="L394" i="4"/>
  <c r="L382" i="4"/>
  <c r="L390" i="4"/>
  <c r="L396" i="4"/>
  <c r="L392" i="4"/>
  <c r="J225" i="4"/>
  <c r="I226" i="4"/>
  <c r="B331" i="4"/>
  <c r="C330" i="4"/>
  <c r="L391" i="4"/>
  <c r="L387" i="4"/>
  <c r="J208" i="4"/>
  <c r="I209" i="4"/>
  <c r="J59" i="4"/>
  <c r="I60" i="4"/>
  <c r="J93" i="4"/>
  <c r="I94" i="4"/>
  <c r="L388" i="4"/>
  <c r="J127" i="4"/>
  <c r="I128" i="4"/>
  <c r="J141" i="4"/>
  <c r="I142" i="4"/>
  <c r="J76" i="4"/>
  <c r="I77" i="4"/>
  <c r="L386" i="4"/>
  <c r="I23" i="4"/>
  <c r="J22" i="4"/>
  <c r="J6" i="4"/>
  <c r="I7" i="4"/>
  <c r="L384" i="4"/>
  <c r="J259" i="4"/>
  <c r="I260" i="4"/>
  <c r="I158" i="4"/>
  <c r="J157" i="4"/>
  <c r="J175" i="4"/>
  <c r="I176" i="4"/>
  <c r="L385" i="4"/>
  <c r="B382" i="4"/>
  <c r="C402" i="4" l="1"/>
  <c r="B402" i="4"/>
  <c r="B390" i="4"/>
  <c r="B392" i="4"/>
  <c r="C400" i="4"/>
  <c r="C398" i="4"/>
  <c r="B397" i="4"/>
  <c r="C399" i="4"/>
  <c r="C396" i="4"/>
  <c r="F384" i="4"/>
  <c r="C390" i="4"/>
  <c r="B389" i="4"/>
  <c r="B400" i="4"/>
  <c r="B387" i="4"/>
  <c r="J60" i="4"/>
  <c r="I61" i="4"/>
  <c r="I227" i="4"/>
  <c r="J226" i="4"/>
  <c r="J43" i="4"/>
  <c r="I44" i="4"/>
  <c r="J23" i="4"/>
  <c r="I24" i="4"/>
  <c r="I143" i="4"/>
  <c r="J142" i="4"/>
  <c r="J111" i="4"/>
  <c r="I112" i="4"/>
  <c r="I244" i="4"/>
  <c r="J243" i="4"/>
  <c r="C394" i="4"/>
  <c r="B388" i="4"/>
  <c r="B391" i="4"/>
  <c r="C387" i="4"/>
  <c r="C397" i="4"/>
  <c r="B401" i="4"/>
  <c r="B393" i="4"/>
  <c r="B383" i="4"/>
  <c r="C383" i="4"/>
  <c r="J176" i="4"/>
  <c r="I177" i="4"/>
  <c r="I261" i="4"/>
  <c r="J260" i="4"/>
  <c r="J77" i="4"/>
  <c r="I78" i="4"/>
  <c r="J128" i="4"/>
  <c r="I129" i="4"/>
  <c r="B332" i="4"/>
  <c r="C331" i="4"/>
  <c r="I194" i="4"/>
  <c r="J193" i="4"/>
  <c r="J158" i="4"/>
  <c r="I159" i="4"/>
  <c r="I8" i="4"/>
  <c r="J7" i="4"/>
  <c r="J94" i="4"/>
  <c r="I95" i="4"/>
  <c r="I210" i="4"/>
  <c r="J209" i="4"/>
  <c r="C388" i="4"/>
  <c r="B398" i="4"/>
  <c r="C401" i="4"/>
  <c r="C393" i="4"/>
  <c r="B396" i="4"/>
  <c r="C389" i="4"/>
  <c r="B399" i="4"/>
  <c r="C392" i="4"/>
  <c r="B333" i="4" l="1"/>
  <c r="C332" i="4"/>
  <c r="J112" i="4"/>
  <c r="I113" i="4"/>
  <c r="I25" i="4"/>
  <c r="J24" i="4"/>
  <c r="J227" i="4"/>
  <c r="I228" i="4"/>
  <c r="J210" i="4"/>
  <c r="I211" i="4"/>
  <c r="J8" i="4"/>
  <c r="I9" i="4"/>
  <c r="J194" i="4"/>
  <c r="I195" i="4"/>
  <c r="J261" i="4"/>
  <c r="I262" i="4"/>
  <c r="I45" i="4"/>
  <c r="J44" i="4"/>
  <c r="J61" i="4"/>
  <c r="I62" i="4"/>
  <c r="J129" i="4"/>
  <c r="I130" i="4"/>
  <c r="J95" i="4"/>
  <c r="I96" i="4"/>
  <c r="I160" i="4"/>
  <c r="J159" i="4"/>
  <c r="J78" i="4"/>
  <c r="I79" i="4"/>
  <c r="J177" i="4"/>
  <c r="I178" i="4"/>
  <c r="J244" i="4"/>
  <c r="I245" i="4"/>
  <c r="I144" i="4"/>
  <c r="J143" i="4"/>
  <c r="J245" i="4" l="1"/>
  <c r="I246" i="4"/>
  <c r="J96" i="4"/>
  <c r="I97" i="4"/>
  <c r="J262" i="4"/>
  <c r="I263" i="4"/>
  <c r="J228" i="4"/>
  <c r="I229" i="4"/>
  <c r="I179" i="4"/>
  <c r="J178" i="4"/>
  <c r="J130" i="4"/>
  <c r="I131" i="4"/>
  <c r="I196" i="4"/>
  <c r="J195" i="4"/>
  <c r="J211" i="4"/>
  <c r="I212" i="4"/>
  <c r="J79" i="4"/>
  <c r="I80" i="4"/>
  <c r="J62" i="4"/>
  <c r="I63" i="4"/>
  <c r="J9" i="4"/>
  <c r="I10" i="4"/>
  <c r="J113" i="4"/>
  <c r="I114" i="4"/>
  <c r="J144" i="4"/>
  <c r="I145" i="4"/>
  <c r="J160" i="4"/>
  <c r="I161" i="4"/>
  <c r="J45" i="4"/>
  <c r="I46" i="4"/>
  <c r="J25" i="4"/>
  <c r="I26" i="4"/>
  <c r="C333" i="4"/>
  <c r="B334" i="4"/>
  <c r="J161" i="4" l="1"/>
  <c r="I162" i="4"/>
  <c r="I64" i="4"/>
  <c r="J63" i="4"/>
  <c r="I132" i="4"/>
  <c r="J131" i="4"/>
  <c r="J97" i="4"/>
  <c r="I98" i="4"/>
  <c r="B335" i="4"/>
  <c r="C334" i="4"/>
  <c r="J46" i="4"/>
  <c r="I47" i="4"/>
  <c r="J145" i="4"/>
  <c r="I146" i="4"/>
  <c r="J10" i="4"/>
  <c r="I11" i="4"/>
  <c r="J80" i="4"/>
  <c r="I81" i="4"/>
  <c r="I264" i="4"/>
  <c r="J263" i="4"/>
  <c r="I247" i="4"/>
  <c r="J246" i="4"/>
  <c r="J26" i="4"/>
  <c r="I27" i="4"/>
  <c r="J114" i="4"/>
  <c r="I115" i="4"/>
  <c r="I213" i="4"/>
  <c r="J212" i="4"/>
  <c r="I230" i="4"/>
  <c r="J229" i="4"/>
  <c r="I197" i="4"/>
  <c r="J196" i="4"/>
  <c r="I180" i="4"/>
  <c r="J179" i="4"/>
  <c r="I28" i="4" l="1"/>
  <c r="J27" i="4"/>
  <c r="J11" i="4"/>
  <c r="I12" i="4"/>
  <c r="J47" i="4"/>
  <c r="I48" i="4"/>
  <c r="J98" i="4"/>
  <c r="I99" i="4"/>
  <c r="J264" i="4"/>
  <c r="I265" i="4"/>
  <c r="J64" i="4"/>
  <c r="I65" i="4"/>
  <c r="J115" i="4"/>
  <c r="I116" i="4"/>
  <c r="J81" i="4"/>
  <c r="I82" i="4"/>
  <c r="J146" i="4"/>
  <c r="I147" i="4"/>
  <c r="I163" i="4"/>
  <c r="J162" i="4"/>
  <c r="J197" i="4"/>
  <c r="I198" i="4"/>
  <c r="J213" i="4"/>
  <c r="I214" i="4"/>
  <c r="J180" i="4"/>
  <c r="I181" i="4"/>
  <c r="J230" i="4"/>
  <c r="I231" i="4"/>
  <c r="J247" i="4"/>
  <c r="I248" i="4"/>
  <c r="B336" i="4"/>
  <c r="C335" i="4"/>
  <c r="J132" i="4"/>
  <c r="I133" i="4"/>
  <c r="J65" i="4" l="1"/>
  <c r="I66" i="4"/>
  <c r="J99" i="4"/>
  <c r="I100" i="4"/>
  <c r="B337" i="4"/>
  <c r="C336" i="4"/>
  <c r="J133" i="4"/>
  <c r="I134" i="4"/>
  <c r="I182" i="4"/>
  <c r="J181" i="4"/>
  <c r="J198" i="4"/>
  <c r="I199" i="4"/>
  <c r="J147" i="4"/>
  <c r="I148" i="4"/>
  <c r="J116" i="4"/>
  <c r="I117" i="4"/>
  <c r="I266" i="4"/>
  <c r="J265" i="4"/>
  <c r="J48" i="4"/>
  <c r="I49" i="4"/>
  <c r="I232" i="4"/>
  <c r="J231" i="4"/>
  <c r="I215" i="4"/>
  <c r="J214" i="4"/>
  <c r="J82" i="4"/>
  <c r="I83" i="4"/>
  <c r="I13" i="4"/>
  <c r="J12" i="4"/>
  <c r="J163" i="4"/>
  <c r="I164" i="4"/>
  <c r="I249" i="4"/>
  <c r="J248" i="4"/>
  <c r="J28" i="4"/>
  <c r="I29" i="4"/>
  <c r="J49" i="4" l="1"/>
  <c r="I50" i="4"/>
  <c r="J50" i="4" s="1"/>
  <c r="J199" i="4"/>
  <c r="I200" i="4"/>
  <c r="J100" i="4"/>
  <c r="I101" i="4"/>
  <c r="J101" i="4" s="1"/>
  <c r="I30" i="4"/>
  <c r="J29" i="4"/>
  <c r="I165" i="4"/>
  <c r="J164" i="4"/>
  <c r="J83" i="4"/>
  <c r="I84" i="4"/>
  <c r="J84" i="4" s="1"/>
  <c r="I149" i="4"/>
  <c r="J148" i="4"/>
  <c r="J66" i="4"/>
  <c r="I67" i="4"/>
  <c r="J67" i="4" s="1"/>
  <c r="J117" i="4"/>
  <c r="I118" i="4"/>
  <c r="J118" i="4" s="1"/>
  <c r="J134" i="4"/>
  <c r="I135" i="4"/>
  <c r="J135" i="4" s="1"/>
  <c r="I250" i="4"/>
  <c r="J249" i="4"/>
  <c r="J13" i="4"/>
  <c r="I14" i="4"/>
  <c r="I216" i="4"/>
  <c r="J215" i="4"/>
  <c r="I233" i="4"/>
  <c r="J232" i="4"/>
  <c r="I267" i="4"/>
  <c r="J266" i="4"/>
  <c r="J182" i="4"/>
  <c r="I183" i="4"/>
  <c r="C337" i="4"/>
  <c r="B338" i="4"/>
  <c r="C338" i="4" s="1"/>
  <c r="J183" i="4" l="1"/>
  <c r="I184" i="4"/>
  <c r="I15" i="4"/>
  <c r="J14" i="4"/>
  <c r="I234" i="4"/>
  <c r="J233" i="4"/>
  <c r="J30" i="4"/>
  <c r="I31" i="4"/>
  <c r="J200" i="4"/>
  <c r="I201" i="4"/>
  <c r="I268" i="4"/>
  <c r="J267" i="4"/>
  <c r="I217" i="4"/>
  <c r="J216" i="4"/>
  <c r="I251" i="4"/>
  <c r="J250" i="4"/>
  <c r="J149" i="4"/>
  <c r="I150" i="4"/>
  <c r="J165" i="4"/>
  <c r="I166" i="4"/>
  <c r="I167" i="4" l="1"/>
  <c r="J166" i="4"/>
  <c r="J251" i="4"/>
  <c r="I252" i="4"/>
  <c r="J268" i="4"/>
  <c r="I269" i="4"/>
  <c r="J15" i="4"/>
  <c r="I16" i="4"/>
  <c r="J16" i="4" s="1"/>
  <c r="J150" i="4"/>
  <c r="I151" i="4"/>
  <c r="J201" i="4"/>
  <c r="I202" i="4"/>
  <c r="J184" i="4"/>
  <c r="I185" i="4"/>
  <c r="J31" i="4"/>
  <c r="I32" i="4"/>
  <c r="J217" i="4"/>
  <c r="I218" i="4"/>
  <c r="J234" i="4"/>
  <c r="I235" i="4"/>
  <c r="I236" i="4" l="1"/>
  <c r="J235" i="4"/>
  <c r="J32" i="4"/>
  <c r="I33" i="4"/>
  <c r="J33" i="4" s="1"/>
  <c r="J202" i="4"/>
  <c r="I203" i="4"/>
  <c r="J203" i="4" s="1"/>
  <c r="I253" i="4"/>
  <c r="J252" i="4"/>
  <c r="I219" i="4"/>
  <c r="J218" i="4"/>
  <c r="J185" i="4"/>
  <c r="I186" i="4"/>
  <c r="J186" i="4" s="1"/>
  <c r="J151" i="4"/>
  <c r="I152" i="4"/>
  <c r="J152" i="4" s="1"/>
  <c r="I270" i="4"/>
  <c r="J269" i="4"/>
  <c r="J167" i="4"/>
  <c r="I168" i="4"/>
  <c r="J270" i="4" l="1"/>
  <c r="I271" i="4"/>
  <c r="J271" i="4" s="1"/>
  <c r="J253" i="4"/>
  <c r="I254" i="4"/>
  <c r="J254" i="4" s="1"/>
  <c r="I169" i="4"/>
  <c r="J169" i="4" s="1"/>
  <c r="J168" i="4"/>
  <c r="J219" i="4"/>
  <c r="I220" i="4"/>
  <c r="J220" i="4" s="1"/>
  <c r="J236" i="4"/>
  <c r="I237" i="4"/>
  <c r="J237" i="4" s="1"/>
  <c r="D264" i="3" l="1"/>
  <c r="D247" i="3"/>
  <c r="D230" i="3"/>
  <c r="D213" i="3"/>
  <c r="D196" i="3"/>
  <c r="D179" i="3"/>
  <c r="D162" i="3"/>
  <c r="D145" i="3"/>
  <c r="D128" i="3"/>
  <c r="D111" i="3"/>
  <c r="D94" i="3"/>
  <c r="D77" i="3"/>
  <c r="D60" i="3"/>
  <c r="D43" i="3"/>
  <c r="D26" i="3"/>
  <c r="D9" i="3"/>
  <c r="D145" i="2"/>
  <c r="D128" i="2"/>
  <c r="D111" i="2"/>
  <c r="D94" i="2"/>
  <c r="D77" i="2"/>
  <c r="D60" i="2"/>
  <c r="D43" i="2"/>
  <c r="D26" i="2"/>
  <c r="D9" i="2"/>
  <c r="D145" i="1"/>
  <c r="D128" i="1"/>
  <c r="D111" i="1"/>
  <c r="D94" i="1"/>
  <c r="D77" i="1"/>
  <c r="D60" i="1"/>
  <c r="D43" i="1"/>
  <c r="D26" i="1"/>
  <c r="D9" i="1"/>
  <c r="B387" i="3"/>
  <c r="D300" i="3"/>
  <c r="F381" i="3" s="1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L383" i="3"/>
  <c r="B315" i="3"/>
  <c r="B314" i="3"/>
  <c r="B313" i="3"/>
  <c r="B312" i="3"/>
  <c r="B355" i="3" s="1"/>
  <c r="B311" i="3"/>
  <c r="B310" i="3"/>
  <c r="B309" i="3"/>
  <c r="B352" i="3" s="1"/>
  <c r="B308" i="3"/>
  <c r="B307" i="3"/>
  <c r="B306" i="3"/>
  <c r="B305" i="3"/>
  <c r="B304" i="3"/>
  <c r="B347" i="3" s="1"/>
  <c r="B303" i="3"/>
  <c r="B302" i="3"/>
  <c r="B301" i="3"/>
  <c r="B344" i="3" s="1"/>
  <c r="B300" i="3"/>
  <c r="B283" i="3"/>
  <c r="B282" i="3"/>
  <c r="B284" i="3"/>
  <c r="B281" i="3"/>
  <c r="B285" i="3"/>
  <c r="B286" i="3"/>
  <c r="B280" i="3"/>
  <c r="B279" i="3"/>
  <c r="B287" i="3"/>
  <c r="B278" i="3"/>
  <c r="B288" i="3"/>
  <c r="B277" i="3"/>
  <c r="B289" i="3"/>
  <c r="B290" i="3"/>
  <c r="B291" i="3"/>
  <c r="B292" i="3"/>
  <c r="B354" i="3"/>
  <c r="B356" i="3"/>
  <c r="B348" i="3"/>
  <c r="B342" i="3"/>
  <c r="B324" i="3"/>
  <c r="C323" i="3"/>
  <c r="B323" i="3"/>
  <c r="B357" i="3"/>
  <c r="B353" i="3"/>
  <c r="C260" i="3"/>
  <c r="I258" i="3"/>
  <c r="I257" i="3"/>
  <c r="J257" i="3" s="1"/>
  <c r="D257" i="3"/>
  <c r="C257" i="3"/>
  <c r="D263" i="3" s="1"/>
  <c r="C243" i="3"/>
  <c r="I241" i="3"/>
  <c r="J240" i="3"/>
  <c r="I240" i="3"/>
  <c r="D240" i="3"/>
  <c r="C240" i="3"/>
  <c r="C226" i="3"/>
  <c r="I224" i="3"/>
  <c r="J223" i="3"/>
  <c r="I223" i="3"/>
  <c r="D223" i="3"/>
  <c r="C223" i="3"/>
  <c r="C209" i="3"/>
  <c r="I207" i="3"/>
  <c r="J206" i="3"/>
  <c r="I206" i="3"/>
  <c r="D206" i="3"/>
  <c r="C206" i="3"/>
  <c r="C192" i="3"/>
  <c r="I190" i="3"/>
  <c r="J189" i="3"/>
  <c r="I189" i="3"/>
  <c r="D189" i="3"/>
  <c r="C189" i="3"/>
  <c r="C175" i="3"/>
  <c r="I173" i="3"/>
  <c r="J172" i="3"/>
  <c r="I172" i="3"/>
  <c r="D172" i="3"/>
  <c r="C172" i="3"/>
  <c r="C287" i="3" s="1"/>
  <c r="C310" i="3" s="1"/>
  <c r="C158" i="3"/>
  <c r="I156" i="3"/>
  <c r="J155" i="3"/>
  <c r="I155" i="3"/>
  <c r="D155" i="3"/>
  <c r="C155" i="3"/>
  <c r="C141" i="3"/>
  <c r="I139" i="3"/>
  <c r="J138" i="3"/>
  <c r="I138" i="3"/>
  <c r="D138" i="3"/>
  <c r="C138" i="3"/>
  <c r="C124" i="3"/>
  <c r="I122" i="3"/>
  <c r="J121" i="3"/>
  <c r="I121" i="3"/>
  <c r="D121" i="3"/>
  <c r="C121" i="3"/>
  <c r="C107" i="3"/>
  <c r="I105" i="3"/>
  <c r="J104" i="3"/>
  <c r="I104" i="3"/>
  <c r="D104" i="3"/>
  <c r="C104" i="3"/>
  <c r="C90" i="3"/>
  <c r="I88" i="3"/>
  <c r="J88" i="3" s="1"/>
  <c r="J87" i="3"/>
  <c r="I87" i="3"/>
  <c r="D87" i="3"/>
  <c r="C87" i="3"/>
  <c r="C282" i="3" s="1"/>
  <c r="C305" i="3" s="1"/>
  <c r="C73" i="3"/>
  <c r="I71" i="3"/>
  <c r="I72" i="3" s="1"/>
  <c r="J70" i="3"/>
  <c r="I70" i="3"/>
  <c r="D70" i="3"/>
  <c r="C70" i="3"/>
  <c r="C281" i="3" s="1"/>
  <c r="C304" i="3" s="1"/>
  <c r="C56" i="3"/>
  <c r="I54" i="3"/>
  <c r="I55" i="3" s="1"/>
  <c r="J53" i="3"/>
  <c r="I53" i="3"/>
  <c r="D53" i="3"/>
  <c r="C53" i="3"/>
  <c r="C280" i="3" s="1"/>
  <c r="C303" i="3" s="1"/>
  <c r="C39" i="3"/>
  <c r="I37" i="3"/>
  <c r="I38" i="3" s="1"/>
  <c r="J36" i="3"/>
  <c r="I36" i="3"/>
  <c r="D36" i="3"/>
  <c r="C36" i="3"/>
  <c r="I23" i="3"/>
  <c r="C22" i="3"/>
  <c r="I20" i="3"/>
  <c r="I21" i="3" s="1"/>
  <c r="I22" i="3" s="1"/>
  <c r="J22" i="3" s="1"/>
  <c r="J19" i="3"/>
  <c r="I19" i="3"/>
  <c r="D19" i="3"/>
  <c r="C19" i="3"/>
  <c r="C5" i="3"/>
  <c r="I3" i="3"/>
  <c r="I4" i="3" s="1"/>
  <c r="I5" i="3" s="1"/>
  <c r="J5" i="3" s="1"/>
  <c r="J2" i="3"/>
  <c r="I2" i="3"/>
  <c r="D2" i="3"/>
  <c r="C2" i="3"/>
  <c r="C277" i="3" s="1"/>
  <c r="E240" i="3" l="1"/>
  <c r="E189" i="3"/>
  <c r="E104" i="3"/>
  <c r="E70" i="3"/>
  <c r="B351" i="3"/>
  <c r="B343" i="3"/>
  <c r="E257" i="3"/>
  <c r="E172" i="3"/>
  <c r="D144" i="3"/>
  <c r="E53" i="3"/>
  <c r="J23" i="3"/>
  <c r="I24" i="3"/>
  <c r="D303" i="3"/>
  <c r="E19" i="3"/>
  <c r="J21" i="3"/>
  <c r="C279" i="3"/>
  <c r="C302" i="3" s="1"/>
  <c r="D42" i="3"/>
  <c r="J38" i="3"/>
  <c r="I39" i="3"/>
  <c r="D304" i="3"/>
  <c r="I73" i="3"/>
  <c r="J72" i="3"/>
  <c r="D310" i="3"/>
  <c r="C300" i="3"/>
  <c r="D8" i="3"/>
  <c r="J55" i="3"/>
  <c r="I56" i="3"/>
  <c r="E2" i="3"/>
  <c r="J4" i="3"/>
  <c r="C278" i="3"/>
  <c r="C301" i="3" s="1"/>
  <c r="D25" i="3"/>
  <c r="I6" i="3"/>
  <c r="E36" i="3"/>
  <c r="D59" i="3"/>
  <c r="D110" i="3"/>
  <c r="C286" i="3"/>
  <c r="C309" i="3" s="1"/>
  <c r="I157" i="3"/>
  <c r="J156" i="3"/>
  <c r="D178" i="3"/>
  <c r="I225" i="3"/>
  <c r="J224" i="3"/>
  <c r="D93" i="3"/>
  <c r="I208" i="3"/>
  <c r="J207" i="3"/>
  <c r="D212" i="3"/>
  <c r="E223" i="3"/>
  <c r="C289" i="3"/>
  <c r="C312" i="3" s="1"/>
  <c r="J3" i="3"/>
  <c r="J20" i="3"/>
  <c r="J37" i="3"/>
  <c r="J54" i="3"/>
  <c r="J71" i="3"/>
  <c r="D76" i="3"/>
  <c r="E87" i="3"/>
  <c r="I89" i="3"/>
  <c r="C284" i="3"/>
  <c r="C307" i="3" s="1"/>
  <c r="I123" i="3"/>
  <c r="J122" i="3"/>
  <c r="E138" i="3"/>
  <c r="C288" i="3"/>
  <c r="C311" i="3" s="1"/>
  <c r="I191" i="3"/>
  <c r="J190" i="3"/>
  <c r="D195" i="3"/>
  <c r="E206" i="3"/>
  <c r="C290" i="3"/>
  <c r="C313" i="3" s="1"/>
  <c r="D229" i="3"/>
  <c r="I259" i="3"/>
  <c r="J258" i="3"/>
  <c r="C285" i="3"/>
  <c r="C308" i="3" s="1"/>
  <c r="I140" i="3"/>
  <c r="J139" i="3"/>
  <c r="E155" i="3"/>
  <c r="D161" i="3"/>
  <c r="D305" i="3"/>
  <c r="C283" i="3"/>
  <c r="C306" i="3" s="1"/>
  <c r="I106" i="3"/>
  <c r="J105" i="3"/>
  <c r="E121" i="3"/>
  <c r="D127" i="3"/>
  <c r="I174" i="3"/>
  <c r="J173" i="3"/>
  <c r="D246" i="3"/>
  <c r="C291" i="3"/>
  <c r="C314" i="3" s="1"/>
  <c r="I242" i="3"/>
  <c r="J241" i="3"/>
  <c r="B345" i="3"/>
  <c r="B349" i="3"/>
  <c r="B346" i="3"/>
  <c r="B350" i="3"/>
  <c r="B325" i="3"/>
  <c r="C324" i="3"/>
  <c r="C292" i="3"/>
  <c r="C315" i="3" s="1"/>
  <c r="D315" i="3" l="1"/>
  <c r="B326" i="3"/>
  <c r="C325" i="3"/>
  <c r="D313" i="3"/>
  <c r="I124" i="3"/>
  <c r="J123" i="3"/>
  <c r="J225" i="3"/>
  <c r="I226" i="3"/>
  <c r="J56" i="3"/>
  <c r="I57" i="3"/>
  <c r="J242" i="3"/>
  <c r="I243" i="3"/>
  <c r="D306" i="3"/>
  <c r="J259" i="3"/>
  <c r="I260" i="3"/>
  <c r="D311" i="3"/>
  <c r="D309" i="3"/>
  <c r="D301" i="3"/>
  <c r="I74" i="3"/>
  <c r="J73" i="3"/>
  <c r="J24" i="3"/>
  <c r="I25" i="3"/>
  <c r="I107" i="3"/>
  <c r="J106" i="3"/>
  <c r="D308" i="3"/>
  <c r="J191" i="3"/>
  <c r="I192" i="3"/>
  <c r="I90" i="3"/>
  <c r="J89" i="3"/>
  <c r="D312" i="3"/>
  <c r="J208" i="3"/>
  <c r="I209" i="3"/>
  <c r="I158" i="3"/>
  <c r="J157" i="3"/>
  <c r="D302" i="3"/>
  <c r="G381" i="3"/>
  <c r="L390" i="3" s="1"/>
  <c r="J39" i="3"/>
  <c r="I40" i="3"/>
  <c r="D314" i="3"/>
  <c r="I175" i="3"/>
  <c r="J174" i="3"/>
  <c r="I141" i="3"/>
  <c r="J140" i="3"/>
  <c r="D307" i="3"/>
  <c r="J6" i="3"/>
  <c r="I7" i="3"/>
  <c r="L388" i="3" l="1"/>
  <c r="L389" i="3"/>
  <c r="L394" i="3"/>
  <c r="L395" i="3"/>
  <c r="H381" i="3"/>
  <c r="J7" i="3"/>
  <c r="I8" i="3"/>
  <c r="I244" i="3"/>
  <c r="J243" i="3"/>
  <c r="J226" i="3"/>
  <c r="I227" i="3"/>
  <c r="J141" i="3"/>
  <c r="I142" i="3"/>
  <c r="I75" i="3"/>
  <c r="J74" i="3"/>
  <c r="I41" i="3"/>
  <c r="J40" i="3"/>
  <c r="L385" i="3"/>
  <c r="L391" i="3"/>
  <c r="L386" i="3"/>
  <c r="L384" i="3"/>
  <c r="L393" i="3"/>
  <c r="J192" i="3"/>
  <c r="I193" i="3"/>
  <c r="J25" i="3"/>
  <c r="I26" i="3"/>
  <c r="L392" i="3"/>
  <c r="L387" i="3"/>
  <c r="I58" i="3"/>
  <c r="J57" i="3"/>
  <c r="L396" i="3"/>
  <c r="J209" i="3"/>
  <c r="I210" i="3"/>
  <c r="I261" i="3"/>
  <c r="J260" i="3"/>
  <c r="I91" i="3"/>
  <c r="J90" i="3"/>
  <c r="J175" i="3"/>
  <c r="I176" i="3"/>
  <c r="L381" i="3"/>
  <c r="J158" i="3"/>
  <c r="I159" i="3"/>
  <c r="J107" i="3"/>
  <c r="I108" i="3"/>
  <c r="L382" i="3"/>
  <c r="J124" i="3"/>
  <c r="I125" i="3"/>
  <c r="B327" i="3"/>
  <c r="C326" i="3"/>
  <c r="E384" i="3" l="1"/>
  <c r="F384" i="3" s="1"/>
  <c r="J210" i="3"/>
  <c r="I211" i="3"/>
  <c r="I143" i="3"/>
  <c r="J142" i="3"/>
  <c r="I126" i="3"/>
  <c r="J125" i="3"/>
  <c r="I177" i="3"/>
  <c r="J176" i="3"/>
  <c r="J193" i="3"/>
  <c r="I194" i="3"/>
  <c r="J41" i="3"/>
  <c r="I42" i="3"/>
  <c r="I245" i="3"/>
  <c r="J244" i="3"/>
  <c r="I160" i="3"/>
  <c r="J159" i="3"/>
  <c r="J227" i="3"/>
  <c r="I228" i="3"/>
  <c r="J8" i="3"/>
  <c r="I9" i="3"/>
  <c r="B328" i="3"/>
  <c r="C327" i="3"/>
  <c r="I109" i="3"/>
  <c r="J108" i="3"/>
  <c r="I92" i="3"/>
  <c r="J91" i="3"/>
  <c r="J58" i="3"/>
  <c r="I59" i="3"/>
  <c r="C383" i="3"/>
  <c r="B382" i="3"/>
  <c r="B383" i="3"/>
  <c r="C397" i="3"/>
  <c r="C387" i="3"/>
  <c r="C382" i="3"/>
  <c r="C389" i="3"/>
  <c r="B393" i="3"/>
  <c r="B396" i="3"/>
  <c r="B397" i="3"/>
  <c r="C401" i="3"/>
  <c r="B388" i="3"/>
  <c r="C392" i="3"/>
  <c r="C398" i="3"/>
  <c r="B398" i="3"/>
  <c r="B389" i="3"/>
  <c r="B401" i="3"/>
  <c r="C400" i="3"/>
  <c r="C393" i="3"/>
  <c r="C396" i="3"/>
  <c r="B400" i="3"/>
  <c r="C388" i="3"/>
  <c r="B392" i="3"/>
  <c r="B395" i="3"/>
  <c r="B390" i="3"/>
  <c r="C402" i="3"/>
  <c r="C399" i="3"/>
  <c r="B391" i="3"/>
  <c r="B399" i="3"/>
  <c r="C395" i="3"/>
  <c r="C390" i="3"/>
  <c r="B394" i="3"/>
  <c r="C394" i="3"/>
  <c r="B402" i="3"/>
  <c r="C391" i="3"/>
  <c r="I262" i="3"/>
  <c r="J261" i="3"/>
  <c r="J26" i="3"/>
  <c r="I27" i="3"/>
  <c r="I76" i="3"/>
  <c r="J75" i="3"/>
  <c r="J27" i="3" l="1"/>
  <c r="I28" i="3"/>
  <c r="J109" i="3"/>
  <c r="I110" i="3"/>
  <c r="J160" i="3"/>
  <c r="I161" i="3"/>
  <c r="J143" i="3"/>
  <c r="I144" i="3"/>
  <c r="J228" i="3"/>
  <c r="I229" i="3"/>
  <c r="J194" i="3"/>
  <c r="I195" i="3"/>
  <c r="J211" i="3"/>
  <c r="I212" i="3"/>
  <c r="I60" i="3"/>
  <c r="J59" i="3"/>
  <c r="J9" i="3"/>
  <c r="I10" i="3"/>
  <c r="I43" i="3"/>
  <c r="J42" i="3"/>
  <c r="J177" i="3"/>
  <c r="I178" i="3"/>
  <c r="J76" i="3"/>
  <c r="I77" i="3"/>
  <c r="J262" i="3"/>
  <c r="I263" i="3"/>
  <c r="I93" i="3"/>
  <c r="J92" i="3"/>
  <c r="B329" i="3"/>
  <c r="C328" i="3"/>
  <c r="J245" i="3"/>
  <c r="I246" i="3"/>
  <c r="J126" i="3"/>
  <c r="I127" i="3"/>
  <c r="J144" i="3" l="1"/>
  <c r="I145" i="3"/>
  <c r="J93" i="3"/>
  <c r="I94" i="3"/>
  <c r="I44" i="3"/>
  <c r="J43" i="3"/>
  <c r="J127" i="3"/>
  <c r="I128" i="3"/>
  <c r="I264" i="3"/>
  <c r="J263" i="3"/>
  <c r="J178" i="3"/>
  <c r="I179" i="3"/>
  <c r="J10" i="3"/>
  <c r="I11" i="3"/>
  <c r="J212" i="3"/>
  <c r="I213" i="3"/>
  <c r="J229" i="3"/>
  <c r="I230" i="3"/>
  <c r="J161" i="3"/>
  <c r="I162" i="3"/>
  <c r="J28" i="3"/>
  <c r="I29" i="3"/>
  <c r="I247" i="3"/>
  <c r="J246" i="3"/>
  <c r="I78" i="3"/>
  <c r="J77" i="3"/>
  <c r="J195" i="3"/>
  <c r="I196" i="3"/>
  <c r="J110" i="3"/>
  <c r="I111" i="3"/>
  <c r="I61" i="3"/>
  <c r="J60" i="3"/>
  <c r="B330" i="3"/>
  <c r="C329" i="3"/>
  <c r="I197" i="3" l="1"/>
  <c r="J196" i="3"/>
  <c r="I163" i="3"/>
  <c r="J162" i="3"/>
  <c r="I180" i="3"/>
  <c r="J179" i="3"/>
  <c r="I95" i="3"/>
  <c r="J94" i="3"/>
  <c r="I112" i="3"/>
  <c r="J111" i="3"/>
  <c r="J29" i="3"/>
  <c r="I30" i="3"/>
  <c r="I231" i="3"/>
  <c r="J230" i="3"/>
  <c r="J11" i="3"/>
  <c r="I12" i="3"/>
  <c r="I146" i="3"/>
  <c r="J145" i="3"/>
  <c r="I214" i="3"/>
  <c r="J213" i="3"/>
  <c r="I129" i="3"/>
  <c r="J128" i="3"/>
  <c r="J61" i="3"/>
  <c r="I62" i="3"/>
  <c r="I248" i="3"/>
  <c r="J247" i="3"/>
  <c r="B331" i="3"/>
  <c r="C330" i="3"/>
  <c r="J78" i="3"/>
  <c r="I79" i="3"/>
  <c r="I265" i="3"/>
  <c r="J264" i="3"/>
  <c r="J44" i="3"/>
  <c r="I45" i="3"/>
  <c r="I63" i="3" l="1"/>
  <c r="J62" i="3"/>
  <c r="J12" i="3"/>
  <c r="I13" i="3"/>
  <c r="J30" i="3"/>
  <c r="I31" i="3"/>
  <c r="I266" i="3"/>
  <c r="J265" i="3"/>
  <c r="B332" i="3"/>
  <c r="C331" i="3"/>
  <c r="J214" i="3"/>
  <c r="I215" i="3"/>
  <c r="I46" i="3"/>
  <c r="J45" i="3"/>
  <c r="I80" i="3"/>
  <c r="J79" i="3"/>
  <c r="I96" i="3"/>
  <c r="J95" i="3"/>
  <c r="J163" i="3"/>
  <c r="I164" i="3"/>
  <c r="I249" i="3"/>
  <c r="J248" i="3"/>
  <c r="J129" i="3"/>
  <c r="I130" i="3"/>
  <c r="J146" i="3"/>
  <c r="I147" i="3"/>
  <c r="J231" i="3"/>
  <c r="I232" i="3"/>
  <c r="J112" i="3"/>
  <c r="I113" i="3"/>
  <c r="J180" i="3"/>
  <c r="I181" i="3"/>
  <c r="J197" i="3"/>
  <c r="I198" i="3"/>
  <c r="J232" i="3" l="1"/>
  <c r="I233" i="3"/>
  <c r="I216" i="3"/>
  <c r="J215" i="3"/>
  <c r="J13" i="3"/>
  <c r="I14" i="3"/>
  <c r="J198" i="3"/>
  <c r="I199" i="3"/>
  <c r="I114" i="3"/>
  <c r="J113" i="3"/>
  <c r="I148" i="3"/>
  <c r="J147" i="3"/>
  <c r="J31" i="3"/>
  <c r="I32" i="3"/>
  <c r="I182" i="3"/>
  <c r="J181" i="3"/>
  <c r="I131" i="3"/>
  <c r="J130" i="3"/>
  <c r="I165" i="3"/>
  <c r="J164" i="3"/>
  <c r="I81" i="3"/>
  <c r="J80" i="3"/>
  <c r="J266" i="3"/>
  <c r="I267" i="3"/>
  <c r="J249" i="3"/>
  <c r="I250" i="3"/>
  <c r="I97" i="3"/>
  <c r="J96" i="3"/>
  <c r="J46" i="3"/>
  <c r="I47" i="3"/>
  <c r="B333" i="3"/>
  <c r="C332" i="3"/>
  <c r="J63" i="3"/>
  <c r="I64" i="3"/>
  <c r="J199" i="3" l="1"/>
  <c r="I200" i="3"/>
  <c r="B334" i="3"/>
  <c r="C333" i="3"/>
  <c r="I98" i="3"/>
  <c r="J97" i="3"/>
  <c r="J165" i="3"/>
  <c r="I166" i="3"/>
  <c r="J148" i="3"/>
  <c r="I149" i="3"/>
  <c r="I65" i="3"/>
  <c r="J64" i="3"/>
  <c r="I48" i="3"/>
  <c r="J47" i="3"/>
  <c r="I251" i="3"/>
  <c r="J250" i="3"/>
  <c r="J32" i="3"/>
  <c r="I33" i="3"/>
  <c r="J33" i="3" s="1"/>
  <c r="J14" i="3"/>
  <c r="I15" i="3"/>
  <c r="J233" i="3"/>
  <c r="I234" i="3"/>
  <c r="I268" i="3"/>
  <c r="J267" i="3"/>
  <c r="J182" i="3"/>
  <c r="I183" i="3"/>
  <c r="J216" i="3"/>
  <c r="I217" i="3"/>
  <c r="I82" i="3"/>
  <c r="J81" i="3"/>
  <c r="J131" i="3"/>
  <c r="I132" i="3"/>
  <c r="J114" i="3"/>
  <c r="I115" i="3"/>
  <c r="I133" i="3" l="1"/>
  <c r="J132" i="3"/>
  <c r="J217" i="3"/>
  <c r="I218" i="3"/>
  <c r="J15" i="3"/>
  <c r="I16" i="3"/>
  <c r="J16" i="3" s="1"/>
  <c r="I269" i="3"/>
  <c r="J268" i="3"/>
  <c r="I252" i="3"/>
  <c r="J251" i="3"/>
  <c r="I116" i="3"/>
  <c r="J115" i="3"/>
  <c r="I184" i="3"/>
  <c r="J183" i="3"/>
  <c r="J234" i="3"/>
  <c r="I235" i="3"/>
  <c r="I150" i="3"/>
  <c r="J149" i="3"/>
  <c r="J200" i="3"/>
  <c r="I201" i="3"/>
  <c r="I167" i="3"/>
  <c r="J166" i="3"/>
  <c r="J65" i="3"/>
  <c r="I66" i="3"/>
  <c r="B335" i="3"/>
  <c r="C334" i="3"/>
  <c r="I83" i="3"/>
  <c r="J82" i="3"/>
  <c r="J48" i="3"/>
  <c r="I49" i="3"/>
  <c r="I99" i="3"/>
  <c r="J98" i="3"/>
  <c r="I67" i="3" l="1"/>
  <c r="J67" i="3" s="1"/>
  <c r="J66" i="3"/>
  <c r="J201" i="3"/>
  <c r="I202" i="3"/>
  <c r="J218" i="3"/>
  <c r="I219" i="3"/>
  <c r="J99" i="3"/>
  <c r="I100" i="3"/>
  <c r="I84" i="3"/>
  <c r="J84" i="3" s="1"/>
  <c r="J83" i="3"/>
  <c r="I270" i="3"/>
  <c r="J269" i="3"/>
  <c r="I50" i="3"/>
  <c r="J50" i="3" s="1"/>
  <c r="J49" i="3"/>
  <c r="J235" i="3"/>
  <c r="I236" i="3"/>
  <c r="J116" i="3"/>
  <c r="I117" i="3"/>
  <c r="B336" i="3"/>
  <c r="C335" i="3"/>
  <c r="J167" i="3"/>
  <c r="I168" i="3"/>
  <c r="J150" i="3"/>
  <c r="I151" i="3"/>
  <c r="J184" i="3"/>
  <c r="I185" i="3"/>
  <c r="I253" i="3"/>
  <c r="J252" i="3"/>
  <c r="J133" i="3"/>
  <c r="I134" i="3"/>
  <c r="I152" i="3" l="1"/>
  <c r="J152" i="3" s="1"/>
  <c r="J151" i="3"/>
  <c r="I203" i="3"/>
  <c r="J203" i="3" s="1"/>
  <c r="J202" i="3"/>
  <c r="B337" i="3"/>
  <c r="C336" i="3"/>
  <c r="J270" i="3"/>
  <c r="I271" i="3"/>
  <c r="J271" i="3" s="1"/>
  <c r="I135" i="3"/>
  <c r="J135" i="3" s="1"/>
  <c r="J134" i="3"/>
  <c r="I186" i="3"/>
  <c r="J186" i="3" s="1"/>
  <c r="J185" i="3"/>
  <c r="I169" i="3"/>
  <c r="J169" i="3" s="1"/>
  <c r="J168" i="3"/>
  <c r="I118" i="3"/>
  <c r="J118" i="3" s="1"/>
  <c r="J117" i="3"/>
  <c r="I220" i="3"/>
  <c r="J220" i="3" s="1"/>
  <c r="J219" i="3"/>
  <c r="I237" i="3"/>
  <c r="J237" i="3" s="1"/>
  <c r="J236" i="3"/>
  <c r="I101" i="3"/>
  <c r="J101" i="3" s="1"/>
  <c r="J100" i="3"/>
  <c r="J253" i="3"/>
  <c r="I254" i="3"/>
  <c r="J254" i="3" s="1"/>
  <c r="B338" i="3" l="1"/>
  <c r="C338" i="3" s="1"/>
  <c r="C337" i="3"/>
  <c r="H229" i="2" l="1"/>
  <c r="B236" i="1"/>
  <c r="L229" i="1"/>
  <c r="E232" i="1"/>
  <c r="F232" i="1" s="1"/>
  <c r="L237" i="1"/>
  <c r="L236" i="1"/>
  <c r="L235" i="1"/>
  <c r="L234" i="1"/>
  <c r="L233" i="1"/>
  <c r="L232" i="1"/>
  <c r="L231" i="1"/>
  <c r="L230" i="1"/>
  <c r="C236" i="1"/>
  <c r="B244" i="1"/>
  <c r="B243" i="1"/>
  <c r="B242" i="1"/>
  <c r="B241" i="1"/>
  <c r="B240" i="1"/>
  <c r="B239" i="1"/>
  <c r="B238" i="1"/>
  <c r="B237" i="1"/>
  <c r="C230" i="1"/>
  <c r="C231" i="1"/>
  <c r="B231" i="1"/>
  <c r="B230" i="1"/>
  <c r="A236" i="1"/>
  <c r="A237" i="1"/>
  <c r="A238" i="1"/>
  <c r="A239" i="1"/>
  <c r="A240" i="1"/>
  <c r="A241" i="1"/>
  <c r="A242" i="1"/>
  <c r="A243" i="1"/>
  <c r="A244" i="1"/>
  <c r="G229" i="1"/>
  <c r="H229" i="1"/>
  <c r="B190" i="1"/>
  <c r="B191" i="1"/>
  <c r="B192" i="1" s="1"/>
  <c r="B193" i="1" s="1"/>
  <c r="B194" i="1" s="1"/>
  <c r="B190" i="2"/>
  <c r="B191" i="2" s="1"/>
  <c r="B192" i="2" s="1"/>
  <c r="B193" i="2" s="1"/>
  <c r="B194" i="2" s="1"/>
  <c r="B195" i="2" s="1"/>
  <c r="B196" i="2" s="1"/>
  <c r="B197" i="2" s="1"/>
  <c r="B198" i="2" s="1"/>
  <c r="B182" i="2"/>
  <c r="B211" i="2" s="1"/>
  <c r="B181" i="2"/>
  <c r="B210" i="2" s="1"/>
  <c r="B180" i="2"/>
  <c r="B209" i="2" s="1"/>
  <c r="B179" i="2"/>
  <c r="B208" i="2" s="1"/>
  <c r="B178" i="2"/>
  <c r="B207" i="2" s="1"/>
  <c r="B177" i="2"/>
  <c r="B206" i="2" s="1"/>
  <c r="B176" i="2"/>
  <c r="B205" i="2" s="1"/>
  <c r="B175" i="2"/>
  <c r="B174" i="2"/>
  <c r="B166" i="2"/>
  <c r="B165" i="2"/>
  <c r="B164" i="2"/>
  <c r="B163" i="2"/>
  <c r="B162" i="2"/>
  <c r="B161" i="2"/>
  <c r="B160" i="2"/>
  <c r="B159" i="2"/>
  <c r="B182" i="1"/>
  <c r="B181" i="1"/>
  <c r="B180" i="1"/>
  <c r="B179" i="1"/>
  <c r="B178" i="1"/>
  <c r="B177" i="1"/>
  <c r="B176" i="1"/>
  <c r="B175" i="1"/>
  <c r="B174" i="1"/>
  <c r="B158" i="2"/>
  <c r="B158" i="1"/>
  <c r="B166" i="1"/>
  <c r="B165" i="1"/>
  <c r="B164" i="1"/>
  <c r="B163" i="1"/>
  <c r="B162" i="1"/>
  <c r="B161" i="1"/>
  <c r="B160" i="1"/>
  <c r="B159" i="1"/>
  <c r="C176" i="1"/>
  <c r="B205" i="1" s="1"/>
  <c r="C178" i="1"/>
  <c r="B207" i="1" s="1"/>
  <c r="C181" i="1"/>
  <c r="B210" i="1" s="1"/>
  <c r="C182" i="1"/>
  <c r="B211" i="1" s="1"/>
  <c r="C174" i="1"/>
  <c r="A236" i="2" l="1"/>
  <c r="B203" i="2"/>
  <c r="A237" i="2"/>
  <c r="B204" i="2"/>
  <c r="B203" i="1"/>
  <c r="C175" i="1"/>
  <c r="C177" i="1"/>
  <c r="B206" i="1" s="1"/>
  <c r="C179" i="1"/>
  <c r="B208" i="1" s="1"/>
  <c r="C180" i="1"/>
  <c r="B209" i="1" s="1"/>
  <c r="B195" i="1"/>
  <c r="B196" i="1" s="1"/>
  <c r="B197" i="1" s="1"/>
  <c r="B198" i="1" s="1"/>
  <c r="A244" i="2"/>
  <c r="A243" i="2"/>
  <c r="A242" i="2"/>
  <c r="A241" i="2"/>
  <c r="A240" i="2"/>
  <c r="A239" i="2"/>
  <c r="A238" i="2"/>
  <c r="C141" i="2"/>
  <c r="I138" i="2"/>
  <c r="I139" i="2" s="1"/>
  <c r="D138" i="2"/>
  <c r="C138" i="2"/>
  <c r="C124" i="2"/>
  <c r="I121" i="2"/>
  <c r="D121" i="2"/>
  <c r="C121" i="2"/>
  <c r="C107" i="2"/>
  <c r="I104" i="2"/>
  <c r="D104" i="2"/>
  <c r="C104" i="2"/>
  <c r="C164" i="2" s="1"/>
  <c r="C180" i="2" s="1"/>
  <c r="C90" i="2"/>
  <c r="I87" i="2"/>
  <c r="I88" i="2" s="1"/>
  <c r="J88" i="2" s="1"/>
  <c r="D87" i="2"/>
  <c r="C87" i="2"/>
  <c r="C163" i="2" s="1"/>
  <c r="C179" i="2" s="1"/>
  <c r="C73" i="2"/>
  <c r="I70" i="2"/>
  <c r="I71" i="2" s="1"/>
  <c r="D70" i="2"/>
  <c r="C70" i="2"/>
  <c r="C56" i="2"/>
  <c r="I53" i="2"/>
  <c r="D53" i="2"/>
  <c r="C53" i="2"/>
  <c r="C39" i="2"/>
  <c r="I36" i="2"/>
  <c r="I37" i="2" s="1"/>
  <c r="D36" i="2"/>
  <c r="C36" i="2"/>
  <c r="C160" i="2" s="1"/>
  <c r="C176" i="2" s="1"/>
  <c r="C22" i="2"/>
  <c r="I19" i="2"/>
  <c r="D19" i="2"/>
  <c r="C19" i="2"/>
  <c r="C5" i="2"/>
  <c r="I2" i="2"/>
  <c r="D2" i="2"/>
  <c r="C2" i="2"/>
  <c r="E19" i="2" l="1"/>
  <c r="D176" i="2"/>
  <c r="I54" i="2"/>
  <c r="J54" i="2" s="1"/>
  <c r="J53" i="2"/>
  <c r="D179" i="2"/>
  <c r="D180" i="2"/>
  <c r="I122" i="2"/>
  <c r="J122" i="2" s="1"/>
  <c r="J121" i="2"/>
  <c r="B204" i="1"/>
  <c r="J70" i="2"/>
  <c r="E104" i="2"/>
  <c r="J138" i="2"/>
  <c r="J36" i="2"/>
  <c r="D76" i="2"/>
  <c r="C158" i="2"/>
  <c r="C174" i="2" s="1"/>
  <c r="D25" i="2"/>
  <c r="E2" i="2"/>
  <c r="C165" i="2"/>
  <c r="C181" i="2" s="1"/>
  <c r="C159" i="2"/>
  <c r="C175" i="2" s="1"/>
  <c r="E36" i="2"/>
  <c r="C166" i="2"/>
  <c r="C182" i="2" s="1"/>
  <c r="I20" i="2"/>
  <c r="J19" i="2"/>
  <c r="I3" i="2"/>
  <c r="J2" i="2"/>
  <c r="J139" i="2"/>
  <c r="I140" i="2"/>
  <c r="I89" i="2"/>
  <c r="I105" i="2"/>
  <c r="J104" i="2"/>
  <c r="J37" i="2"/>
  <c r="I38" i="2"/>
  <c r="C162" i="2"/>
  <c r="C178" i="2" s="1"/>
  <c r="J71" i="2"/>
  <c r="I72" i="2"/>
  <c r="E87" i="2"/>
  <c r="D144" i="2"/>
  <c r="E70" i="2"/>
  <c r="E138" i="2"/>
  <c r="C161" i="2"/>
  <c r="C177" i="2" s="1"/>
  <c r="C190" i="2"/>
  <c r="D8" i="2"/>
  <c r="D42" i="2"/>
  <c r="E53" i="2"/>
  <c r="I55" i="2"/>
  <c r="J87" i="2"/>
  <c r="D110" i="2"/>
  <c r="E121" i="2"/>
  <c r="I123" i="2"/>
  <c r="D59" i="2"/>
  <c r="D127" i="2"/>
  <c r="D93" i="2"/>
  <c r="C141" i="1"/>
  <c r="I138" i="1"/>
  <c r="I139" i="1" s="1"/>
  <c r="I140" i="1" s="1"/>
  <c r="D138" i="1"/>
  <c r="C138" i="1"/>
  <c r="C166" i="1" s="1"/>
  <c r="D182" i="1" s="1"/>
  <c r="E182" i="1" s="1"/>
  <c r="C124" i="1"/>
  <c r="I121" i="1"/>
  <c r="D121" i="1"/>
  <c r="C121" i="1"/>
  <c r="C165" i="1" s="1"/>
  <c r="D181" i="1" s="1"/>
  <c r="E181" i="1" s="1"/>
  <c r="C107" i="1"/>
  <c r="I104" i="1"/>
  <c r="I105" i="1" s="1"/>
  <c r="D104" i="1"/>
  <c r="C104" i="1"/>
  <c r="C164" i="1" s="1"/>
  <c r="D180" i="1" s="1"/>
  <c r="E180" i="1" s="1"/>
  <c r="C90" i="1"/>
  <c r="I87" i="1"/>
  <c r="I88" i="1" s="1"/>
  <c r="D87" i="1"/>
  <c r="C87" i="1"/>
  <c r="C163" i="1" s="1"/>
  <c r="D179" i="1" s="1"/>
  <c r="E179" i="1" s="1"/>
  <c r="C73" i="1"/>
  <c r="I70" i="1"/>
  <c r="I71" i="1" s="1"/>
  <c r="D70" i="1"/>
  <c r="C70" i="1"/>
  <c r="C162" i="1" s="1"/>
  <c r="D178" i="1" s="1"/>
  <c r="E178" i="1" s="1"/>
  <c r="C56" i="1"/>
  <c r="I53" i="1"/>
  <c r="I54" i="1" s="1"/>
  <c r="D53" i="1"/>
  <c r="C53" i="1"/>
  <c r="C161" i="1" s="1"/>
  <c r="D177" i="1" s="1"/>
  <c r="E177" i="1" s="1"/>
  <c r="C39" i="1"/>
  <c r="I36" i="1"/>
  <c r="I37" i="1" s="1"/>
  <c r="D36" i="1"/>
  <c r="C36" i="1"/>
  <c r="C160" i="1" s="1"/>
  <c r="D176" i="1" s="1"/>
  <c r="E176" i="1" s="1"/>
  <c r="C22" i="1"/>
  <c r="I19" i="1"/>
  <c r="I20" i="1" s="1"/>
  <c r="J20" i="1" s="1"/>
  <c r="D19" i="1"/>
  <c r="C19" i="1"/>
  <c r="C159" i="1" s="1"/>
  <c r="D175" i="1" s="1"/>
  <c r="E175" i="1" s="1"/>
  <c r="C5" i="1"/>
  <c r="I2" i="1"/>
  <c r="I3" i="1" s="1"/>
  <c r="J3" i="1" s="1"/>
  <c r="D2" i="1"/>
  <c r="C2" i="1"/>
  <c r="C158" i="1" s="1"/>
  <c r="D174" i="1" s="1"/>
  <c r="E174" i="1" s="1"/>
  <c r="F229" i="1" s="1"/>
  <c r="D177" i="2" l="1"/>
  <c r="D178" i="2"/>
  <c r="D182" i="2"/>
  <c r="D175" i="2"/>
  <c r="D181" i="2"/>
  <c r="D174" i="2"/>
  <c r="F229" i="2" s="1"/>
  <c r="G229" i="2"/>
  <c r="C237" i="1"/>
  <c r="C238" i="1"/>
  <c r="C239" i="1"/>
  <c r="C240" i="1"/>
  <c r="C241" i="1"/>
  <c r="C242" i="1"/>
  <c r="C243" i="1"/>
  <c r="C244" i="1"/>
  <c r="J121" i="1"/>
  <c r="I122" i="1"/>
  <c r="E2" i="1"/>
  <c r="J53" i="1"/>
  <c r="D127" i="1"/>
  <c r="J19" i="1"/>
  <c r="J87" i="1"/>
  <c r="E104" i="1"/>
  <c r="E36" i="1"/>
  <c r="E70" i="1"/>
  <c r="E138" i="1"/>
  <c r="I141" i="1"/>
  <c r="J141" i="1" s="1"/>
  <c r="J140" i="1"/>
  <c r="J2" i="1"/>
  <c r="J70" i="1"/>
  <c r="J104" i="1"/>
  <c r="J138" i="1"/>
  <c r="J36" i="1"/>
  <c r="D59" i="1"/>
  <c r="I21" i="2"/>
  <c r="J20" i="2"/>
  <c r="I73" i="2"/>
  <c r="J72" i="2"/>
  <c r="I39" i="2"/>
  <c r="J38" i="2"/>
  <c r="I141" i="2"/>
  <c r="J140" i="2"/>
  <c r="J105" i="2"/>
  <c r="I106" i="2"/>
  <c r="I124" i="2"/>
  <c r="J123" i="2"/>
  <c r="I56" i="2"/>
  <c r="J55" i="2"/>
  <c r="C191" i="2"/>
  <c r="I90" i="2"/>
  <c r="J89" i="2"/>
  <c r="I4" i="2"/>
  <c r="J3" i="2"/>
  <c r="E19" i="1"/>
  <c r="I4" i="1"/>
  <c r="I21" i="1"/>
  <c r="I38" i="1"/>
  <c r="J37" i="1"/>
  <c r="E53" i="1"/>
  <c r="I106" i="1"/>
  <c r="J105" i="1"/>
  <c r="E121" i="1"/>
  <c r="C195" i="1"/>
  <c r="D8" i="1"/>
  <c r="D25" i="1"/>
  <c r="D42" i="1"/>
  <c r="I89" i="1"/>
  <c r="J88" i="1"/>
  <c r="D110" i="1"/>
  <c r="D144" i="1"/>
  <c r="I72" i="1"/>
  <c r="J71" i="1"/>
  <c r="E87" i="1"/>
  <c r="D93" i="1"/>
  <c r="I55" i="1"/>
  <c r="J54" i="1"/>
  <c r="D76" i="1"/>
  <c r="I123" i="1"/>
  <c r="J122" i="1"/>
  <c r="C192" i="1"/>
  <c r="J139" i="1"/>
  <c r="C198" i="1"/>
  <c r="C230" i="2" l="1"/>
  <c r="L231" i="2"/>
  <c r="L234" i="2"/>
  <c r="L235" i="2"/>
  <c r="L232" i="2"/>
  <c r="L233" i="2"/>
  <c r="L237" i="2"/>
  <c r="L230" i="2"/>
  <c r="L236" i="2"/>
  <c r="L229" i="2"/>
  <c r="E232" i="2" s="1"/>
  <c r="F232" i="2" s="1"/>
  <c r="C231" i="2"/>
  <c r="B230" i="2"/>
  <c r="B231" i="2"/>
  <c r="C238" i="2"/>
  <c r="B238" i="2"/>
  <c r="C239" i="2"/>
  <c r="B239" i="2"/>
  <c r="C240" i="2"/>
  <c r="B240" i="2"/>
  <c r="C241" i="2"/>
  <c r="B241" i="2"/>
  <c r="C242" i="2"/>
  <c r="B242" i="2"/>
  <c r="C243" i="2"/>
  <c r="B243" i="2"/>
  <c r="C244" i="2"/>
  <c r="B244" i="2"/>
  <c r="C237" i="2"/>
  <c r="B237" i="2"/>
  <c r="B236" i="2"/>
  <c r="C236" i="2"/>
  <c r="I142" i="1"/>
  <c r="J4" i="2"/>
  <c r="I5" i="2"/>
  <c r="I125" i="2"/>
  <c r="J124" i="2"/>
  <c r="I74" i="2"/>
  <c r="J73" i="2"/>
  <c r="J90" i="2"/>
  <c r="I91" i="2"/>
  <c r="J56" i="2"/>
  <c r="I57" i="2"/>
  <c r="I40" i="2"/>
  <c r="J39" i="2"/>
  <c r="J21" i="2"/>
  <c r="I22" i="2"/>
  <c r="C192" i="2"/>
  <c r="I142" i="2"/>
  <c r="J141" i="2"/>
  <c r="I107" i="2"/>
  <c r="J106" i="2"/>
  <c r="I107" i="1"/>
  <c r="J106" i="1"/>
  <c r="I143" i="1"/>
  <c r="J142" i="1"/>
  <c r="I124" i="1"/>
  <c r="J123" i="1"/>
  <c r="I22" i="1"/>
  <c r="J21" i="1"/>
  <c r="C190" i="1"/>
  <c r="I56" i="1"/>
  <c r="J55" i="1"/>
  <c r="I73" i="1"/>
  <c r="J72" i="1"/>
  <c r="I90" i="1"/>
  <c r="J89" i="1"/>
  <c r="I5" i="1"/>
  <c r="J4" i="1"/>
  <c r="I39" i="1"/>
  <c r="J38" i="1"/>
  <c r="I143" i="2" l="1"/>
  <c r="J142" i="2"/>
  <c r="I41" i="2"/>
  <c r="J40" i="2"/>
  <c r="I126" i="2"/>
  <c r="J125" i="2"/>
  <c r="I23" i="2"/>
  <c r="J22" i="2"/>
  <c r="I58" i="2"/>
  <c r="J57" i="2"/>
  <c r="I6" i="2"/>
  <c r="J5" i="2"/>
  <c r="I92" i="2"/>
  <c r="J91" i="2"/>
  <c r="I108" i="2"/>
  <c r="J107" i="2"/>
  <c r="C193" i="2"/>
  <c r="I75" i="2"/>
  <c r="J74" i="2"/>
  <c r="J90" i="1"/>
  <c r="I91" i="1"/>
  <c r="I6" i="1"/>
  <c r="J5" i="1"/>
  <c r="J73" i="1"/>
  <c r="I74" i="1"/>
  <c r="C191" i="1"/>
  <c r="J124" i="1"/>
  <c r="I125" i="1"/>
  <c r="J143" i="1"/>
  <c r="I144" i="1"/>
  <c r="J39" i="1"/>
  <c r="I40" i="1"/>
  <c r="J56" i="1"/>
  <c r="I57" i="1"/>
  <c r="I23" i="1"/>
  <c r="J22" i="1"/>
  <c r="J107" i="1"/>
  <c r="I108" i="1"/>
  <c r="J6" i="2" l="1"/>
  <c r="I7" i="2"/>
  <c r="I42" i="2"/>
  <c r="J41" i="2"/>
  <c r="J75" i="2"/>
  <c r="I76" i="2"/>
  <c r="I109" i="2"/>
  <c r="J108" i="2"/>
  <c r="J23" i="2"/>
  <c r="I24" i="2"/>
  <c r="C194" i="2"/>
  <c r="J92" i="2"/>
  <c r="I93" i="2"/>
  <c r="I59" i="2"/>
  <c r="J58" i="2"/>
  <c r="I127" i="2"/>
  <c r="J126" i="2"/>
  <c r="J143" i="2"/>
  <c r="I144" i="2"/>
  <c r="I126" i="1"/>
  <c r="J125" i="1"/>
  <c r="I75" i="1"/>
  <c r="J74" i="1"/>
  <c r="I41" i="1"/>
  <c r="J40" i="1"/>
  <c r="I24" i="1"/>
  <c r="J23" i="1"/>
  <c r="I92" i="1"/>
  <c r="J91" i="1"/>
  <c r="J144" i="1"/>
  <c r="I145" i="1"/>
  <c r="I109" i="1"/>
  <c r="J108" i="1"/>
  <c r="I58" i="1"/>
  <c r="J57" i="1"/>
  <c r="C193" i="1"/>
  <c r="I7" i="1"/>
  <c r="J6" i="1"/>
  <c r="I8" i="2" l="1"/>
  <c r="J7" i="2"/>
  <c r="J144" i="2"/>
  <c r="I145" i="2"/>
  <c r="J59" i="2"/>
  <c r="I60" i="2"/>
  <c r="C195" i="2"/>
  <c r="I110" i="2"/>
  <c r="J109" i="2"/>
  <c r="J42" i="2"/>
  <c r="I43" i="2"/>
  <c r="J93" i="2"/>
  <c r="I94" i="2"/>
  <c r="I25" i="2"/>
  <c r="J24" i="2"/>
  <c r="J76" i="2"/>
  <c r="I77" i="2"/>
  <c r="J127" i="2"/>
  <c r="I128" i="2"/>
  <c r="I8" i="1"/>
  <c r="J7" i="1"/>
  <c r="J109" i="1"/>
  <c r="I110" i="1"/>
  <c r="I25" i="1"/>
  <c r="J24" i="1"/>
  <c r="C194" i="1"/>
  <c r="J92" i="1"/>
  <c r="I93" i="1"/>
  <c r="J126" i="1"/>
  <c r="I127" i="1"/>
  <c r="J58" i="1"/>
  <c r="I59" i="1"/>
  <c r="I146" i="1"/>
  <c r="J145" i="1"/>
  <c r="J41" i="1"/>
  <c r="I42" i="1"/>
  <c r="J75" i="1"/>
  <c r="I76" i="1"/>
  <c r="I26" i="2" l="1"/>
  <c r="J25" i="2"/>
  <c r="C196" i="2"/>
  <c r="I129" i="2"/>
  <c r="J128" i="2"/>
  <c r="I146" i="2"/>
  <c r="J145" i="2"/>
  <c r="I78" i="2"/>
  <c r="J77" i="2"/>
  <c r="I95" i="2"/>
  <c r="J94" i="2"/>
  <c r="I61" i="2"/>
  <c r="J60" i="2"/>
  <c r="I44" i="2"/>
  <c r="J43" i="2"/>
  <c r="J110" i="2"/>
  <c r="I111" i="2"/>
  <c r="I9" i="2"/>
  <c r="J8" i="2"/>
  <c r="J25" i="1"/>
  <c r="I26" i="1"/>
  <c r="J8" i="1"/>
  <c r="I9" i="1"/>
  <c r="J76" i="1"/>
  <c r="I77" i="1"/>
  <c r="J127" i="1"/>
  <c r="I128" i="1"/>
  <c r="J110" i="1"/>
  <c r="I111" i="1"/>
  <c r="J146" i="1"/>
  <c r="I147" i="1"/>
  <c r="C196" i="1"/>
  <c r="J42" i="1"/>
  <c r="I43" i="1"/>
  <c r="J59" i="1"/>
  <c r="I60" i="1"/>
  <c r="J93" i="1"/>
  <c r="I94" i="1"/>
  <c r="J9" i="2" l="1"/>
  <c r="I10" i="2"/>
  <c r="J44" i="2"/>
  <c r="I45" i="2"/>
  <c r="I96" i="2"/>
  <c r="J95" i="2"/>
  <c r="J146" i="2"/>
  <c r="I147" i="2"/>
  <c r="C197" i="2"/>
  <c r="I112" i="2"/>
  <c r="J111" i="2"/>
  <c r="I62" i="2"/>
  <c r="J61" i="2"/>
  <c r="J78" i="2"/>
  <c r="I79" i="2"/>
  <c r="I130" i="2"/>
  <c r="J129" i="2"/>
  <c r="I27" i="2"/>
  <c r="J26" i="2"/>
  <c r="I95" i="1"/>
  <c r="J94" i="1"/>
  <c r="I44" i="1"/>
  <c r="J43" i="1"/>
  <c r="I148" i="1"/>
  <c r="J147" i="1"/>
  <c r="I129" i="1"/>
  <c r="J128" i="1"/>
  <c r="I10" i="1"/>
  <c r="J9" i="1"/>
  <c r="I61" i="1"/>
  <c r="J60" i="1"/>
  <c r="I112" i="1"/>
  <c r="J111" i="1"/>
  <c r="I78" i="1"/>
  <c r="J77" i="1"/>
  <c r="I27" i="1"/>
  <c r="J26" i="1"/>
  <c r="C197" i="1"/>
  <c r="I46" i="2" l="1"/>
  <c r="J45" i="2"/>
  <c r="J112" i="2"/>
  <c r="I113" i="2"/>
  <c r="I11" i="2"/>
  <c r="J10" i="2"/>
  <c r="I80" i="2"/>
  <c r="J79" i="2"/>
  <c r="I148" i="2"/>
  <c r="J147" i="2"/>
  <c r="J27" i="2"/>
  <c r="I28" i="2"/>
  <c r="I131" i="2"/>
  <c r="J130" i="2"/>
  <c r="I63" i="2"/>
  <c r="J62" i="2"/>
  <c r="C198" i="2"/>
  <c r="I97" i="2"/>
  <c r="J96" i="2"/>
  <c r="J112" i="1"/>
  <c r="I113" i="1"/>
  <c r="I11" i="1"/>
  <c r="J10" i="1"/>
  <c r="J148" i="1"/>
  <c r="I149" i="1"/>
  <c r="J44" i="1"/>
  <c r="I45" i="1"/>
  <c r="J78" i="1"/>
  <c r="I79" i="1"/>
  <c r="J61" i="1"/>
  <c r="I62" i="1"/>
  <c r="J129" i="1"/>
  <c r="I130" i="1"/>
  <c r="J27" i="1"/>
  <c r="I28" i="1"/>
  <c r="J95" i="1"/>
  <c r="I96" i="1"/>
  <c r="I29" i="2" l="1"/>
  <c r="J28" i="2"/>
  <c r="I114" i="2"/>
  <c r="J113" i="2"/>
  <c r="J63" i="2"/>
  <c r="I64" i="2"/>
  <c r="I81" i="2"/>
  <c r="J80" i="2"/>
  <c r="J97" i="2"/>
  <c r="I98" i="2"/>
  <c r="J131" i="2"/>
  <c r="I132" i="2"/>
  <c r="I149" i="2"/>
  <c r="J148" i="2"/>
  <c r="J11" i="2"/>
  <c r="I12" i="2"/>
  <c r="I47" i="2"/>
  <c r="J46" i="2"/>
  <c r="I29" i="1"/>
  <c r="J28" i="1"/>
  <c r="I63" i="1"/>
  <c r="J62" i="1"/>
  <c r="I46" i="1"/>
  <c r="J45" i="1"/>
  <c r="I12" i="1"/>
  <c r="J11" i="1"/>
  <c r="I97" i="1"/>
  <c r="J96" i="1"/>
  <c r="I131" i="1"/>
  <c r="J130" i="1"/>
  <c r="I80" i="1"/>
  <c r="J79" i="1"/>
  <c r="I150" i="1"/>
  <c r="J149" i="1"/>
  <c r="I114" i="1"/>
  <c r="J113" i="1"/>
  <c r="I13" i="2" l="1"/>
  <c r="J12" i="2"/>
  <c r="I133" i="2"/>
  <c r="J132" i="2"/>
  <c r="I99" i="2"/>
  <c r="J98" i="2"/>
  <c r="I65" i="2"/>
  <c r="J64" i="2"/>
  <c r="I82" i="2"/>
  <c r="J81" i="2"/>
  <c r="I115" i="2"/>
  <c r="J114" i="2"/>
  <c r="I48" i="2"/>
  <c r="J47" i="2"/>
  <c r="I150" i="2"/>
  <c r="J149" i="2"/>
  <c r="J29" i="2"/>
  <c r="I30" i="2"/>
  <c r="J114" i="1"/>
  <c r="I115" i="1"/>
  <c r="J97" i="1"/>
  <c r="I98" i="1"/>
  <c r="J46" i="1"/>
  <c r="I47" i="1"/>
  <c r="J131" i="1"/>
  <c r="I132" i="1"/>
  <c r="J63" i="1"/>
  <c r="I64" i="1"/>
  <c r="J150" i="1"/>
  <c r="I151" i="1"/>
  <c r="I13" i="1"/>
  <c r="J12" i="1"/>
  <c r="J80" i="1"/>
  <c r="I81" i="1"/>
  <c r="I30" i="1"/>
  <c r="J29" i="1"/>
  <c r="J150" i="2" l="1"/>
  <c r="I151" i="2"/>
  <c r="I66" i="2"/>
  <c r="J65" i="2"/>
  <c r="I116" i="2"/>
  <c r="J115" i="2"/>
  <c r="I134" i="2"/>
  <c r="J133" i="2"/>
  <c r="I31" i="2"/>
  <c r="J30" i="2"/>
  <c r="J48" i="2"/>
  <c r="I49" i="2"/>
  <c r="J82" i="2"/>
  <c r="I83" i="2"/>
  <c r="I100" i="2"/>
  <c r="J99" i="2"/>
  <c r="J13" i="2"/>
  <c r="I14" i="2"/>
  <c r="I31" i="1"/>
  <c r="J30" i="1"/>
  <c r="I14" i="1"/>
  <c r="J13" i="1"/>
  <c r="I82" i="1"/>
  <c r="J81" i="1"/>
  <c r="I152" i="1"/>
  <c r="J152" i="1" s="1"/>
  <c r="J151" i="1"/>
  <c r="I133" i="1"/>
  <c r="J132" i="1"/>
  <c r="I99" i="1"/>
  <c r="J98" i="1"/>
  <c r="I65" i="1"/>
  <c r="J64" i="1"/>
  <c r="I48" i="1"/>
  <c r="J47" i="1"/>
  <c r="I116" i="1"/>
  <c r="J115" i="1"/>
  <c r="I67" i="2" l="1"/>
  <c r="J67" i="2" s="1"/>
  <c r="J66" i="2"/>
  <c r="I84" i="2"/>
  <c r="J84" i="2" s="1"/>
  <c r="J83" i="2"/>
  <c r="I152" i="2"/>
  <c r="J152" i="2" s="1"/>
  <c r="J151" i="2"/>
  <c r="I50" i="2"/>
  <c r="J50" i="2" s="1"/>
  <c r="J49" i="2"/>
  <c r="I101" i="2"/>
  <c r="J101" i="2" s="1"/>
  <c r="J100" i="2"/>
  <c r="I135" i="2"/>
  <c r="J135" i="2" s="1"/>
  <c r="J134" i="2"/>
  <c r="I15" i="2"/>
  <c r="J14" i="2"/>
  <c r="I32" i="2"/>
  <c r="J31" i="2"/>
  <c r="I117" i="2"/>
  <c r="J116" i="2"/>
  <c r="J116" i="1"/>
  <c r="I117" i="1"/>
  <c r="J65" i="1"/>
  <c r="I66" i="1"/>
  <c r="J133" i="1"/>
  <c r="I134" i="1"/>
  <c r="I32" i="1"/>
  <c r="J31" i="1"/>
  <c r="J48" i="1"/>
  <c r="I49" i="1"/>
  <c r="J99" i="1"/>
  <c r="I100" i="1"/>
  <c r="I15" i="1"/>
  <c r="J14" i="1"/>
  <c r="J82" i="1"/>
  <c r="I83" i="1"/>
  <c r="I33" i="2" l="1"/>
  <c r="J33" i="2" s="1"/>
  <c r="J32" i="2"/>
  <c r="I118" i="2"/>
  <c r="J118" i="2" s="1"/>
  <c r="J117" i="2"/>
  <c r="J15" i="2"/>
  <c r="I16" i="2"/>
  <c r="J16" i="2" s="1"/>
  <c r="I16" i="1"/>
  <c r="J16" i="1" s="1"/>
  <c r="J15" i="1"/>
  <c r="I84" i="1"/>
  <c r="J84" i="1" s="1"/>
  <c r="J83" i="1"/>
  <c r="I101" i="1"/>
  <c r="J101" i="1" s="1"/>
  <c r="J100" i="1"/>
  <c r="I67" i="1"/>
  <c r="J67" i="1" s="1"/>
  <c r="J66" i="1"/>
  <c r="I33" i="1"/>
  <c r="J33" i="1" s="1"/>
  <c r="J32" i="1"/>
  <c r="I50" i="1"/>
  <c r="J50" i="1" s="1"/>
  <c r="J49" i="1"/>
  <c r="I135" i="1"/>
  <c r="J135" i="1" s="1"/>
  <c r="J134" i="1"/>
  <c r="I118" i="1"/>
  <c r="J118" i="1" s="1"/>
  <c r="J117" i="1"/>
</calcChain>
</file>

<file path=xl/sharedStrings.xml><?xml version="1.0" encoding="utf-8"?>
<sst xmlns="http://schemas.openxmlformats.org/spreadsheetml/2006/main" count="854" uniqueCount="107">
  <si>
    <t>Observations , λ = 9, μ = 7, δ = 5</t>
  </si>
  <si>
    <t>Sample Mean</t>
  </si>
  <si>
    <t>Sample Variance</t>
  </si>
  <si>
    <t>CoV</t>
  </si>
  <si>
    <t>Ordered Observations</t>
  </si>
  <si>
    <t>Quartiles</t>
  </si>
  <si>
    <t>normal values</t>
  </si>
  <si>
    <t>Sample Median</t>
  </si>
  <si>
    <t>Students Quantile</t>
  </si>
  <si>
    <t>Confidence Interval, 95% confidence</t>
  </si>
  <si>
    <t>Upper Limit</t>
  </si>
  <si>
    <t>Lower Limit</t>
  </si>
  <si>
    <t>Observations , λ = 9.5, μ = 7, δ = 5</t>
  </si>
  <si>
    <t>Observations , λ = 10, μ = 7, δ = 5</t>
  </si>
  <si>
    <t>Observations , λ = 10.5, μ = 7, δ = 5</t>
  </si>
  <si>
    <t>Observations , λ = 11, μ = 7, δ = 5</t>
  </si>
  <si>
    <t>Observations , λ = 11.5, μ = 7, δ = 5</t>
  </si>
  <si>
    <t>Observations , λ = 12, μ = 7, δ = 5</t>
  </si>
  <si>
    <t>Observations , λ = 12.5, μ = 7, δ = 5</t>
  </si>
  <si>
    <t>Observations , λ = 13, μ = 7, δ = 5</t>
  </si>
  <si>
    <t>Exponential fitting of Q10</t>
  </si>
  <si>
    <t>Factors</t>
  </si>
  <si>
    <t>λ (s)</t>
  </si>
  <si>
    <t>Observations</t>
  </si>
  <si>
    <t>λ = 9, μ = 7, δ = 5</t>
  </si>
  <si>
    <t>λ = 9.5, μ = 7, δ = 5</t>
  </si>
  <si>
    <t>λ = 10, μ = 7, δ = 5</t>
  </si>
  <si>
    <t>λ = 10.5, μ = 7, δ = 5</t>
  </si>
  <si>
    <t>λ = 11, μ = 7, δ = 5</t>
  </si>
  <si>
    <t>λ = 11.5, μ = 7, δ = 5</t>
  </si>
  <si>
    <t>λ = 12, μ = 7, δ = 5</t>
  </si>
  <si>
    <t>λ = 12.5, μ = 7, δ = 5</t>
  </si>
  <si>
    <t xml:space="preserve"> λ = 13, μ = 7, δ = 5</t>
  </si>
  <si>
    <r>
      <rPr>
        <b/>
        <sz val="11"/>
        <color theme="1"/>
        <rFont val="Calibri"/>
        <family val="2"/>
        <scheme val="minor"/>
      </rPr>
      <t>Model</t>
    </r>
    <r>
      <rPr>
        <sz val="11"/>
        <color theme="1"/>
        <rFont val="Calibri"/>
        <family val="2"/>
        <scheme val="minor"/>
      </rPr>
      <t xml:space="preserve">: y=a*x^b    </t>
    </r>
    <r>
      <rPr>
        <b/>
        <sz val="11"/>
        <color theme="1"/>
        <rFont val="Calibri"/>
        <family val="2"/>
        <scheme val="minor"/>
      </rPr>
      <t xml:space="preserve"> Transformation</t>
    </r>
    <r>
      <rPr>
        <sz val="11"/>
        <color theme="1"/>
        <rFont val="Calibri"/>
        <family val="2"/>
        <scheme val="minor"/>
      </rPr>
      <t>: y'=ln(y), x'=ln(x), y' = loga + b * x'</t>
    </r>
  </si>
  <si>
    <t>Linear Fitting of the transformation of Q10</t>
  </si>
  <si>
    <t>λ</t>
  </si>
  <si>
    <t>log(x)</t>
  </si>
  <si>
    <t>log(y)</t>
  </si>
  <si>
    <t>Residuals</t>
  </si>
  <si>
    <t>Linear regression</t>
  </si>
  <si>
    <t>Slope</t>
  </si>
  <si>
    <t>Offset</t>
  </si>
  <si>
    <t>Testing Normal Residuals</t>
  </si>
  <si>
    <t>Normal Quantiles</t>
  </si>
  <si>
    <t>Testing Constant Std</t>
  </si>
  <si>
    <t>Predicted Response</t>
  </si>
  <si>
    <t>Testing independence</t>
  </si>
  <si>
    <t>Observation ID</t>
  </si>
  <si>
    <t>CI for parameters of Linear regression</t>
  </si>
  <si>
    <t>Students Quantiles</t>
  </si>
  <si>
    <t>SSE</t>
  </si>
  <si>
    <t>Mean</t>
  </si>
  <si>
    <t>Sum Den b1 Confidence</t>
  </si>
  <si>
    <t>Squared Total</t>
  </si>
  <si>
    <t>Upper limit</t>
  </si>
  <si>
    <t>Lower limit</t>
  </si>
  <si>
    <t>SST</t>
  </si>
  <si>
    <t>Coefficient of determination</t>
  </si>
  <si>
    <t>CI for Predicted response</t>
  </si>
  <si>
    <t>Observations , λ = 9, μ = 3, δ = 5</t>
  </si>
  <si>
    <t>Observations , λ = 9, μ = 3.5, δ = 5</t>
  </si>
  <si>
    <t>Observations , λ = 9, μ = 4, δ = 5</t>
  </si>
  <si>
    <t>Observations , λ = 9, μ = 4.5, δ = 5</t>
  </si>
  <si>
    <t>Observations , λ = 9, μ = 5, δ = 5</t>
  </si>
  <si>
    <t>Observations , λ = 9, μ = 5.5, δ = 5</t>
  </si>
  <si>
    <t>Observations , λ = 9, μ = 6, δ = 5</t>
  </si>
  <si>
    <t>Observations , λ = 9, μ = 6.5, δ = 5</t>
  </si>
  <si>
    <t>Exponential fitting of Q1</t>
  </si>
  <si>
    <t xml:space="preserve"> μ(s)</t>
  </si>
  <si>
    <t>Linear Fitting of the transformation of Q1</t>
  </si>
  <si>
    <t xml:space="preserve"> μ</t>
  </si>
  <si>
    <t>log(observations)</t>
  </si>
  <si>
    <t>Observations δ = 5, μ = 3, λ = 9</t>
  </si>
  <si>
    <t>Observations δ = 5, μ = 4, λ = 9</t>
  </si>
  <si>
    <t>Observations δ = 5, μ = 6, λ = 9</t>
  </si>
  <si>
    <t>Observations δ = 5, μ = 7, λ = 9</t>
  </si>
  <si>
    <t>Observations δ = 5, μ = 3, λ = 10</t>
  </si>
  <si>
    <t>Observations δ = 5, μ = 4, λ = 10</t>
  </si>
  <si>
    <t>Observations δ = 5, μ = 6, λ = 10</t>
  </si>
  <si>
    <t>Observations δ = 5, μ = 7, λ = 10</t>
  </si>
  <si>
    <t>Observations δ = 5, μ = 3, λ = 12</t>
  </si>
  <si>
    <t>Observations δ = 5, μ = 4, λ = 12</t>
  </si>
  <si>
    <t>Observations δ = 5, μ = 6, λ = 12</t>
  </si>
  <si>
    <t>Observations δ = 5, μ = 7, λ = 12</t>
  </si>
  <si>
    <t>Observations δ = 5, μ = 3, λ = 13</t>
  </si>
  <si>
    <t>Observations δ = 5, μ = 4, λ = 13</t>
  </si>
  <si>
    <t>Observations δ = 5, μ = 6, λ = 13</t>
  </si>
  <si>
    <t>Observations δ = 5, μ = 7, λ = 13</t>
  </si>
  <si>
    <t>λ-μ</t>
  </si>
  <si>
    <t>δ = 5, μ = 3, λ = 9</t>
  </si>
  <si>
    <t>δ = 5, μ = 4, λ = 9</t>
  </si>
  <si>
    <t>δ = 5, μ = 6, λ = 9</t>
  </si>
  <si>
    <t>δ = 5, μ = 7, λ = 9</t>
  </si>
  <si>
    <t>δ = 5, μ = 3, λ = 10</t>
  </si>
  <si>
    <t>δ = 5, μ = 4, λ = 10</t>
  </si>
  <si>
    <t>δ = 5, μ = 6, λ = 10</t>
  </si>
  <si>
    <t>δ = 5, μ = 7, λ = 10</t>
  </si>
  <si>
    <t>δ = 5, μ = 3, λ = 12</t>
  </si>
  <si>
    <t>δ = 5, μ = 4, λ = 12</t>
  </si>
  <si>
    <t>δ = 5, μ = 6, λ = 12</t>
  </si>
  <si>
    <t>δ = 5, μ = 7, λ = 12</t>
  </si>
  <si>
    <t>δ = 5, μ = 3, λ = 13</t>
  </si>
  <si>
    <t>δ = 5, μ = 4, λ = 13</t>
  </si>
  <si>
    <t>δ = 5, μ = 6, λ = 13</t>
  </si>
  <si>
    <t>δ = 5, μ = 7, λ = 13</t>
  </si>
  <si>
    <t>Coefficent of Determination</t>
  </si>
  <si>
    <t>(1/λ)/(1/μ)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</si>
</sst>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8" fillId="0" borderId="0" xfId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3">
    <cellStyle name="Normale" xfId="0" builtinId="0"/>
    <cellStyle name="Normale 2" xfId="1" xr:uid="{7D32F0B5-3D12-4B8A-B406-36AF6DD509AC}"/>
    <cellStyle name="Normale 3" xfId="2" xr:uid="{1315E049-26EB-46CC-9940-8D2721CA6ABC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λ'!$J$2:$J$16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λ'!$H$2:$H$16</c:f>
              <c:numCache>
                <c:formatCode>General</c:formatCode>
                <c:ptCount val="15"/>
                <c:pt idx="0">
                  <c:v>4.6367373720597002E-2</c:v>
                </c:pt>
                <c:pt idx="1">
                  <c:v>4.6969923720914998E-2</c:v>
                </c:pt>
                <c:pt idx="2">
                  <c:v>4.7570472295978002E-2</c:v>
                </c:pt>
                <c:pt idx="3">
                  <c:v>4.7953518445475997E-2</c:v>
                </c:pt>
                <c:pt idx="4">
                  <c:v>4.8391054084948003E-2</c:v>
                </c:pt>
                <c:pt idx="5">
                  <c:v>4.8396561820179998E-2</c:v>
                </c:pt>
                <c:pt idx="6">
                  <c:v>4.8435904095052003E-2</c:v>
                </c:pt>
                <c:pt idx="7">
                  <c:v>4.8905881375489998E-2</c:v>
                </c:pt>
                <c:pt idx="8">
                  <c:v>4.9902057698127E-2</c:v>
                </c:pt>
                <c:pt idx="9">
                  <c:v>5.0001310925120002E-2</c:v>
                </c:pt>
                <c:pt idx="10">
                  <c:v>5.0111427253846999E-2</c:v>
                </c:pt>
                <c:pt idx="11">
                  <c:v>5.0270273948836E-2</c:v>
                </c:pt>
                <c:pt idx="12">
                  <c:v>5.0698412247793999E-2</c:v>
                </c:pt>
                <c:pt idx="13">
                  <c:v>5.0758645099396003E-2</c:v>
                </c:pt>
                <c:pt idx="14">
                  <c:v>5.1241979461282998E-2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68-4B7C-BECB-54DDE211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λ'!$J$104:$J$118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λ'!$H$104:$H$118</c:f>
              <c:numCache>
                <c:formatCode>General</c:formatCode>
                <c:ptCount val="15"/>
                <c:pt idx="0">
                  <c:v>2.3151070084579999E-2</c:v>
                </c:pt>
                <c:pt idx="1">
                  <c:v>2.3374032512526E-2</c:v>
                </c:pt>
                <c:pt idx="2">
                  <c:v>2.3491136521017999E-2</c:v>
                </c:pt>
                <c:pt idx="3">
                  <c:v>2.3520761483514001E-2</c:v>
                </c:pt>
                <c:pt idx="4">
                  <c:v>2.3526361972621999E-2</c:v>
                </c:pt>
                <c:pt idx="5">
                  <c:v>2.3548826207685999E-2</c:v>
                </c:pt>
                <c:pt idx="6">
                  <c:v>2.3642412634951999E-2</c:v>
                </c:pt>
                <c:pt idx="7">
                  <c:v>2.3727971190017998E-2</c:v>
                </c:pt>
                <c:pt idx="8">
                  <c:v>2.3789629920025999E-2</c:v>
                </c:pt>
                <c:pt idx="9">
                  <c:v>2.3835982443938E-2</c:v>
                </c:pt>
                <c:pt idx="10">
                  <c:v>2.3849482712354E-2</c:v>
                </c:pt>
                <c:pt idx="11">
                  <c:v>2.3889982849327002E-2</c:v>
                </c:pt>
                <c:pt idx="12">
                  <c:v>2.3936131667524001E-2</c:v>
                </c:pt>
                <c:pt idx="13">
                  <c:v>2.3979585449048001E-2</c:v>
                </c:pt>
                <c:pt idx="14">
                  <c:v>2.3989865027974001E-2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9-48B8-8F0C-0958D9477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λ'!$J$121:$J$135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λ'!$H$121:$H$135</c:f>
              <c:numCache>
                <c:formatCode>General</c:formatCode>
                <c:ptCount val="15"/>
                <c:pt idx="0">
                  <c:v>2.1956340139823002E-2</c:v>
                </c:pt>
                <c:pt idx="1">
                  <c:v>2.2213295831485E-2</c:v>
                </c:pt>
                <c:pt idx="2">
                  <c:v>2.2242299338349002E-2</c:v>
                </c:pt>
                <c:pt idx="3">
                  <c:v>2.2414019308668001E-2</c:v>
                </c:pt>
                <c:pt idx="4">
                  <c:v>2.2414275581177999E-2</c:v>
                </c:pt>
                <c:pt idx="5">
                  <c:v>2.2430519108592999E-2</c:v>
                </c:pt>
                <c:pt idx="6">
                  <c:v>2.2517940829508001E-2</c:v>
                </c:pt>
                <c:pt idx="7">
                  <c:v>2.2557788287219001E-2</c:v>
                </c:pt>
                <c:pt idx="8">
                  <c:v>2.2593590617502001E-2</c:v>
                </c:pt>
                <c:pt idx="9">
                  <c:v>2.2597095242983999E-2</c:v>
                </c:pt>
                <c:pt idx="10">
                  <c:v>2.2599458733537001E-2</c:v>
                </c:pt>
                <c:pt idx="11">
                  <c:v>2.2600504107537001E-2</c:v>
                </c:pt>
                <c:pt idx="12">
                  <c:v>2.2628279618441001E-2</c:v>
                </c:pt>
                <c:pt idx="13">
                  <c:v>2.2694619925857001E-2</c:v>
                </c:pt>
                <c:pt idx="14">
                  <c:v>2.2740343238536999E-2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8D-46C2-A864-A17FA5F1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λ'!$J$138:$J$152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λ'!$H$138:$H$152</c:f>
              <c:numCache>
                <c:formatCode>General</c:formatCode>
                <c:ptCount val="15"/>
                <c:pt idx="0">
                  <c:v>2.1033075287623E-2</c:v>
                </c:pt>
                <c:pt idx="1">
                  <c:v>2.1243002560439001E-2</c:v>
                </c:pt>
                <c:pt idx="2">
                  <c:v>2.1311045280217999E-2</c:v>
                </c:pt>
                <c:pt idx="3">
                  <c:v>2.134686810072E-2</c:v>
                </c:pt>
                <c:pt idx="4">
                  <c:v>2.1355071471684001E-2</c:v>
                </c:pt>
                <c:pt idx="5">
                  <c:v>2.141514673821E-2</c:v>
                </c:pt>
                <c:pt idx="6">
                  <c:v>2.141799155897E-2</c:v>
                </c:pt>
                <c:pt idx="7">
                  <c:v>2.1479777592701001E-2</c:v>
                </c:pt>
                <c:pt idx="8">
                  <c:v>2.1491107388706E-2</c:v>
                </c:pt>
                <c:pt idx="9">
                  <c:v>2.1493649627054998E-2</c:v>
                </c:pt>
                <c:pt idx="10">
                  <c:v>2.1518332893508001E-2</c:v>
                </c:pt>
                <c:pt idx="11">
                  <c:v>2.1519081118733002E-2</c:v>
                </c:pt>
                <c:pt idx="12">
                  <c:v>2.1522691704604E-2</c:v>
                </c:pt>
                <c:pt idx="13">
                  <c:v>2.1549137315787E-2</c:v>
                </c:pt>
                <c:pt idx="14">
                  <c:v>2.1564184544703002E-2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B4-4020-B4C4-4B07D14A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λ'!$C$190:$C$198</c:f>
              <c:numCache>
                <c:formatCode>General</c:formatCode>
                <c:ptCount val="9"/>
                <c:pt idx="0">
                  <c:v>-1.5948702548629692</c:v>
                </c:pt>
                <c:pt idx="1">
                  <c:v>-0.96558119772402384</c:v>
                </c:pt>
                <c:pt idx="2">
                  <c:v>-0.58740139704861805</c:v>
                </c:pt>
                <c:pt idx="3">
                  <c:v>-0.28101035460789436</c:v>
                </c:pt>
                <c:pt idx="4">
                  <c:v>0</c:v>
                </c:pt>
                <c:pt idx="5">
                  <c:v>0.28101035460789436</c:v>
                </c:pt>
                <c:pt idx="6">
                  <c:v>0.5874013970486186</c:v>
                </c:pt>
                <c:pt idx="7">
                  <c:v>0.96558119772402384</c:v>
                </c:pt>
                <c:pt idx="8">
                  <c:v>1.5948702548629707</c:v>
                </c:pt>
              </c:numCache>
            </c:numRef>
          </c:xVal>
          <c:yVal>
            <c:numRef>
              <c:f>'Linear regression λ'!$A$190:$A$198</c:f>
              <c:numCache>
                <c:formatCode>General</c:formatCode>
                <c:ptCount val="9"/>
                <c:pt idx="0">
                  <c:v>-5.9551817097869275E-2</c:v>
                </c:pt>
                <c:pt idx="1">
                  <c:v>-5.541818894949202E-2</c:v>
                </c:pt>
                <c:pt idx="2">
                  <c:v>-4.6978139366023797E-2</c:v>
                </c:pt>
                <c:pt idx="3">
                  <c:v>-3.451624237643891E-2</c:v>
                </c:pt>
                <c:pt idx="4">
                  <c:v>-5.0956048069235038E-3</c:v>
                </c:pt>
                <c:pt idx="5">
                  <c:v>2.9880921851930253E-3</c:v>
                </c:pt>
                <c:pt idx="6">
                  <c:v>3.1154962995421087E-2</c:v>
                </c:pt>
                <c:pt idx="7">
                  <c:v>6.7665288349024522E-2</c:v>
                </c:pt>
                <c:pt idx="8">
                  <c:v>0.10026510627084501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2-43F0-827D-BF35EFB6A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52328"/>
        <c:axId val="796255608"/>
      </c:scatterChart>
      <c:valAx>
        <c:axId val="79625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255608"/>
        <c:crosses val="autoZero"/>
        <c:crossBetween val="midCat"/>
      </c:valAx>
      <c:valAx>
        <c:axId val="79625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2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constant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λ'!$B$203:$B$212</c:f>
              <c:numCache>
                <c:formatCode>General</c:formatCode>
                <c:ptCount val="10"/>
                <c:pt idx="0">
                  <c:v>-3.1148747125156007</c:v>
                </c:pt>
                <c:pt idx="1">
                  <c:v>-3.2319626868985107</c:v>
                </c:pt>
                <c:pt idx="2">
                  <c:v>-3.3430434452241915</c:v>
                </c:pt>
                <c:pt idx="3">
                  <c:v>-3.4487034247495121</c:v>
                </c:pt>
                <c:pt idx="4">
                  <c:v>-3.5494471706084365</c:v>
                </c:pt>
                <c:pt idx="5">
                  <c:v>-3.6457119076318349</c:v>
                </c:pt>
                <c:pt idx="6">
                  <c:v>-3.7378790086171776</c:v>
                </c:pt>
                <c:pt idx="7">
                  <c:v>-3.8262831199502436</c:v>
                </c:pt>
                <c:pt idx="8">
                  <c:v>-3.9112194963549882</c:v>
                </c:pt>
              </c:numCache>
            </c:numRef>
          </c:xVal>
          <c:yVal>
            <c:numRef>
              <c:f>'Linear regression λ'!$A$203:$A$212</c:f>
              <c:numCache>
                <c:formatCode>General</c:formatCode>
                <c:ptCount val="10"/>
                <c:pt idx="0">
                  <c:v>0.10026510627084484</c:v>
                </c:pt>
                <c:pt idx="1">
                  <c:v>2.9880921851930253E-3</c:v>
                </c:pt>
                <c:pt idx="2">
                  <c:v>-4.6978139366023797E-2</c:v>
                </c:pt>
                <c:pt idx="3">
                  <c:v>-5.9551817097869275E-2</c:v>
                </c:pt>
                <c:pt idx="4">
                  <c:v>-5.541818894949202E-2</c:v>
                </c:pt>
                <c:pt idx="5">
                  <c:v>-3.451624237643891E-2</c:v>
                </c:pt>
                <c:pt idx="6">
                  <c:v>-5.0956048069235038E-3</c:v>
                </c:pt>
                <c:pt idx="7">
                  <c:v>3.1154962995421087E-2</c:v>
                </c:pt>
                <c:pt idx="8">
                  <c:v>6.7665288349024522E-2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E-4A91-BAC1-D26FBC3EB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01632"/>
        <c:axId val="437902288"/>
      </c:scatterChart>
      <c:valAx>
        <c:axId val="4379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902288"/>
        <c:crosses val="autoZero"/>
        <c:crossBetween val="midCat"/>
      </c:valAx>
      <c:valAx>
        <c:axId val="437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9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'[1]Linear Regression for δ'!$J$2:$J$16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'[1]Linear Regression for δ'!$H$2:$H$16</c:f>
              <c:numCache>
                <c:formatCode>General</c:formatCode>
                <c:ptCount val="15"/>
                <c:pt idx="0">
                  <c:v>1.6320649617893E-2</c:v>
                </c:pt>
                <c:pt idx="1">
                  <c:v>1.6366951162037999E-2</c:v>
                </c:pt>
                <c:pt idx="2">
                  <c:v>1.6399044507836E-2</c:v>
                </c:pt>
                <c:pt idx="3">
                  <c:v>1.6569913313339998E-2</c:v>
                </c:pt>
                <c:pt idx="4">
                  <c:v>1.6578428317708001E-2</c:v>
                </c:pt>
                <c:pt idx="5">
                  <c:v>1.6605436831945999E-2</c:v>
                </c:pt>
                <c:pt idx="6">
                  <c:v>1.6621592700548998E-2</c:v>
                </c:pt>
                <c:pt idx="7">
                  <c:v>1.6624437236143999E-2</c:v>
                </c:pt>
                <c:pt idx="8">
                  <c:v>1.6634915464653999E-2</c:v>
                </c:pt>
                <c:pt idx="9">
                  <c:v>1.664795091949E-2</c:v>
                </c:pt>
                <c:pt idx="10">
                  <c:v>1.6650887939671E-2</c:v>
                </c:pt>
                <c:pt idx="11">
                  <c:v>1.6706821000998E-2</c:v>
                </c:pt>
                <c:pt idx="12">
                  <c:v>1.6712381942976001E-2</c:v>
                </c:pt>
                <c:pt idx="13">
                  <c:v>1.6731786707302E-2</c:v>
                </c:pt>
                <c:pt idx="14">
                  <c:v>1.6737214160376001E-2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3-4967-ADEA-6097D3F72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Exponential</a:t>
            </a:r>
            <a:r>
              <a:rPr lang="it-IT" sz="1800" baseline="0"/>
              <a:t> f</a:t>
            </a:r>
            <a:r>
              <a:rPr lang="it-IT" sz="1800"/>
              <a:t>itting of Q10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6193072428668"/>
                  <c:y val="0.417751050627342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0,0028e</a:t>
                    </a:r>
                    <a:r>
                      <a:rPr lang="en-US" sz="1600" baseline="30000"/>
                      <a:t>390,98x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μ'!$B$158:$B$166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3.5000000000000001E-3</c:v>
                </c:pt>
                <c:pt idx="2">
                  <c:v>4.0000000000000001E-3</c:v>
                </c:pt>
                <c:pt idx="3">
                  <c:v>4.5000000000000005E-3</c:v>
                </c:pt>
                <c:pt idx="4">
                  <c:v>5.0000000000000001E-3</c:v>
                </c:pt>
                <c:pt idx="5">
                  <c:v>5.4999999999999997E-3</c:v>
                </c:pt>
                <c:pt idx="6">
                  <c:v>6.0000000000000001E-3</c:v>
                </c:pt>
                <c:pt idx="7">
                  <c:v>6.5000000000000006E-3</c:v>
                </c:pt>
                <c:pt idx="8">
                  <c:v>7.0000000000000001E-3</c:v>
                </c:pt>
              </c:numCache>
            </c:numRef>
          </c:xVal>
          <c:yVal>
            <c:numRef>
              <c:f>'Linear regression μ'!$C$158:$C$166</c:f>
              <c:numCache>
                <c:formatCode>General</c:formatCode>
                <c:ptCount val="9"/>
                <c:pt idx="0">
                  <c:v>9.8113817342714797E-3</c:v>
                </c:pt>
                <c:pt idx="1">
                  <c:v>1.1214488604233267E-2</c:v>
                </c:pt>
                <c:pt idx="2">
                  <c:v>1.2948571300472731E-2</c:v>
                </c:pt>
                <c:pt idx="3">
                  <c:v>1.5123924365465603E-2</c:v>
                </c:pt>
                <c:pt idx="4">
                  <c:v>1.7943952069189133E-2</c:v>
                </c:pt>
                <c:pt idx="5">
                  <c:v>2.176537957885567E-2</c:v>
                </c:pt>
                <c:pt idx="6">
                  <c:v>2.7120278641667668E-2</c:v>
                </c:pt>
                <c:pt idx="7">
                  <c:v>3.5399469001797468E-2</c:v>
                </c:pt>
                <c:pt idx="8">
                  <c:v>4.9064986412869258E-2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ED-4513-8ABA-ABB79DDB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Linear Fitting of the transformation of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796136760247107"/>
                  <c:y val="-0.17126827702169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5361386278328112E-2"/>
                  <c:y val="-0.10202274038762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'[1]Linear Regression for δ'!$B$174:$B$183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4.5000000000000005E-3</c:v>
                </c:pt>
                <c:pt idx="9">
                  <c:v>5.0000000000000001E-3</c:v>
                </c:pt>
              </c:numCache>
            </c:numRef>
          </c:xVal>
          <c:yVal>
            <c:numRef>
              <c:f>'[1]Linear Regression for δ'!$C$174:$C$183</c:f>
              <c:numCache>
                <c:formatCode>General</c:formatCode>
                <c:ptCount val="10"/>
                <c:pt idx="0">
                  <c:v>-4.4228486291941369</c:v>
                </c:pt>
                <c:pt idx="1">
                  <c:v>-4.0987204752878146</c:v>
                </c:pt>
                <c:pt idx="2">
                  <c:v>-3.9592877134425066</c:v>
                </c:pt>
                <c:pt idx="3">
                  <c:v>-3.8215644272625253</c:v>
                </c:pt>
                <c:pt idx="4">
                  <c:v>-3.6830067335881851</c:v>
                </c:pt>
                <c:pt idx="5">
                  <c:v>-3.5406604431982811</c:v>
                </c:pt>
                <c:pt idx="6">
                  <c:v>-3.3988719397930502</c:v>
                </c:pt>
                <c:pt idx="7">
                  <c:v>-3.2469374913760949</c:v>
                </c:pt>
                <c:pt idx="8">
                  <c:v>-3.0890797212598842</c:v>
                </c:pt>
                <c:pt idx="9">
                  <c:v>-2.924551273136843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D0-4A06-BC5E-4E6ECF0DA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'[1]Linear Regression for δ'!$C$191:$C$200</c:f>
              <c:numCache>
                <c:formatCode>General</c:formatCode>
                <c:ptCount val="10"/>
                <c:pt idx="0">
                  <c:v>-1.646839288608541</c:v>
                </c:pt>
                <c:pt idx="1">
                  <c:v>-1.0348120568824539</c:v>
                </c:pt>
                <c:pt idx="2">
                  <c:v>-0.67234481227438181</c:v>
                </c:pt>
                <c:pt idx="3">
                  <c:v>-0.38375344638642911</c:v>
                </c:pt>
                <c:pt idx="4">
                  <c:v>-0.12510020748818707</c:v>
                </c:pt>
                <c:pt idx="5">
                  <c:v>0.12510020748818651</c:v>
                </c:pt>
                <c:pt idx="6">
                  <c:v>0.383753446386428</c:v>
                </c:pt>
                <c:pt idx="7">
                  <c:v>0.67234481227438181</c:v>
                </c:pt>
                <c:pt idx="8">
                  <c:v>1.0348120568824539</c:v>
                </c:pt>
                <c:pt idx="9">
                  <c:v>1.6468392886085399</c:v>
                </c:pt>
              </c:numCache>
            </c:numRef>
          </c:xVal>
          <c:yVal>
            <c:numRef>
              <c:f>'[1]Linear Regression for δ'!$A$191:$A$200</c:f>
              <c:numCache>
                <c:formatCode>General</c:formatCode>
                <c:ptCount val="10"/>
                <c:pt idx="0">
                  <c:v>-1.5071939793049438E-2</c:v>
                </c:pt>
                <c:pt idx="1">
                  <c:v>-1.1448629194136473E-2</c:v>
                </c:pt>
                <c:pt idx="2">
                  <c:v>-1.0060443198280922E-2</c:v>
                </c:pt>
                <c:pt idx="3">
                  <c:v>-9.9374913760943429E-3</c:v>
                </c:pt>
                <c:pt idx="4">
                  <c:v>-5.6067335881850866E-3</c:v>
                </c:pt>
                <c:pt idx="5">
                  <c:v>1.1202787401156655E-3</c:v>
                </c:pt>
                <c:pt idx="6">
                  <c:v>2.6355727374749449E-3</c:v>
                </c:pt>
                <c:pt idx="7">
                  <c:v>1.1712286557493456E-2</c:v>
                </c:pt>
                <c:pt idx="8">
                  <c:v>1.8848726863157417E-2</c:v>
                </c:pt>
                <c:pt idx="9">
                  <c:v>1.9079524712186213E-2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3B-4FE8-BBD8-E2AEECC2A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52328"/>
        <c:axId val="796255608"/>
      </c:scatterChart>
      <c:valAx>
        <c:axId val="79625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255608"/>
        <c:crosses val="autoZero"/>
        <c:crossBetween val="midCat"/>
      </c:valAx>
      <c:valAx>
        <c:axId val="79625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2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constant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'[1]Linear Regression for δ'!$B$204:$B$213</c:f>
              <c:numCache>
                <c:formatCode>General</c:formatCode>
                <c:ptCount val="10"/>
                <c:pt idx="0">
                  <c:v>-4.4114000000000004</c:v>
                </c:pt>
                <c:pt idx="1">
                  <c:v>-4.1177500000000009</c:v>
                </c:pt>
                <c:pt idx="2">
                  <c:v>-3.9709250000000003</c:v>
                </c:pt>
                <c:pt idx="3">
                  <c:v>-3.8241000000000005</c:v>
                </c:pt>
                <c:pt idx="4">
                  <c:v>-3.6772750000000007</c:v>
                </c:pt>
                <c:pt idx="5">
                  <c:v>-3.5304500000000005</c:v>
                </c:pt>
                <c:pt idx="6">
                  <c:v>-3.3836250000000003</c:v>
                </c:pt>
                <c:pt idx="7">
                  <c:v>-3.2368000000000006</c:v>
                </c:pt>
                <c:pt idx="8">
                  <c:v>-3.0899750000000004</c:v>
                </c:pt>
                <c:pt idx="9">
                  <c:v>-2.9431500000000006</c:v>
                </c:pt>
              </c:numCache>
            </c:numRef>
          </c:xVal>
          <c:yVal>
            <c:numRef>
              <c:f>'[1]Linear Regression for δ'!$A$204:$A$213</c:f>
              <c:numCache>
                <c:formatCode>General</c:formatCode>
                <c:ptCount val="10"/>
                <c:pt idx="0">
                  <c:v>-1.1448629194136473E-2</c:v>
                </c:pt>
                <c:pt idx="1">
                  <c:v>1.9079524712186213E-2</c:v>
                </c:pt>
                <c:pt idx="2">
                  <c:v>1.1712286557493456E-2</c:v>
                </c:pt>
                <c:pt idx="3">
                  <c:v>2.6355727374749449E-3</c:v>
                </c:pt>
                <c:pt idx="4">
                  <c:v>-5.6067335881850866E-3</c:v>
                </c:pt>
                <c:pt idx="5">
                  <c:v>-1.0060443198280922E-2</c:v>
                </c:pt>
                <c:pt idx="6">
                  <c:v>-1.5071939793049438E-2</c:v>
                </c:pt>
                <c:pt idx="7">
                  <c:v>-9.9374913760943429E-3</c:v>
                </c:pt>
                <c:pt idx="8">
                  <c:v>1.1202787401156655E-3</c:v>
                </c:pt>
                <c:pt idx="9">
                  <c:v>1.8848726863157417E-2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9-40A7-9653-3699C706A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01632"/>
        <c:axId val="437902288"/>
      </c:scatterChart>
      <c:valAx>
        <c:axId val="4379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902288"/>
        <c:crosses val="autoZero"/>
        <c:crossBetween val="midCat"/>
      </c:valAx>
      <c:valAx>
        <c:axId val="437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9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Exponential</a:t>
            </a:r>
            <a:r>
              <a:rPr lang="it-IT" sz="1800" baseline="0"/>
              <a:t> f</a:t>
            </a:r>
            <a:r>
              <a:rPr lang="it-IT" sz="1800"/>
              <a:t>itting of Q10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6965718533617541E-2"/>
                  <c:y val="0.156365137456409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2E-06x</a:t>
                    </a:r>
                    <a:r>
                      <a:rPr lang="en-US" sz="1600" baseline="30000"/>
                      <a:t>-2,166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λ'!$B$158:$B$166</c:f>
              <c:numCache>
                <c:formatCode>General</c:formatCode>
                <c:ptCount val="9"/>
                <c:pt idx="0">
                  <c:v>9.0000000000000011E-3</c:v>
                </c:pt>
                <c:pt idx="1">
                  <c:v>9.4999999999999998E-3</c:v>
                </c:pt>
                <c:pt idx="2">
                  <c:v>0.01</c:v>
                </c:pt>
                <c:pt idx="3">
                  <c:v>1.0500000000000001E-2</c:v>
                </c:pt>
                <c:pt idx="4">
                  <c:v>1.0999999999999999E-2</c:v>
                </c:pt>
                <c:pt idx="5">
                  <c:v>1.15E-2</c:v>
                </c:pt>
                <c:pt idx="6">
                  <c:v>1.2E-2</c:v>
                </c:pt>
                <c:pt idx="7">
                  <c:v>1.2500000000000001E-2</c:v>
                </c:pt>
                <c:pt idx="8">
                  <c:v>1.3000000000000001E-2</c:v>
                </c:pt>
              </c:numCache>
            </c:numRef>
          </c:xVal>
          <c:yVal>
            <c:numRef>
              <c:f>'Linear regression λ'!$C$158:$C$166</c:f>
              <c:numCache>
                <c:formatCode>General</c:formatCode>
                <c:ptCount val="9"/>
                <c:pt idx="0">
                  <c:v>4.9064986412869258E-2</c:v>
                </c:pt>
                <c:pt idx="1">
                  <c:v>3.9598082060379139E-2</c:v>
                </c:pt>
                <c:pt idx="2">
                  <c:v>3.3707949319447136E-2</c:v>
                </c:pt>
                <c:pt idx="3">
                  <c:v>2.9949122854414995E-2</c:v>
                </c:pt>
                <c:pt idx="4">
                  <c:v>2.7191105589080462E-2</c:v>
                </c:pt>
                <c:pt idx="5">
                  <c:v>2.5217220869718462E-2</c:v>
                </c:pt>
                <c:pt idx="6">
                  <c:v>2.3683548845140467E-2</c:v>
                </c:pt>
                <c:pt idx="7">
                  <c:v>2.2480024660614533E-2</c:v>
                </c:pt>
                <c:pt idx="8">
                  <c:v>2.1417344212244067E-2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0-492C-892B-6BBA472D4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Independence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'[1]Linear Regression for δ'!$B$217:$B$226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'[1]Linear Regression for δ'!$A$217:$A$226</c:f>
              <c:numCache>
                <c:formatCode>General</c:formatCode>
                <c:ptCount val="10"/>
                <c:pt idx="0">
                  <c:v>-1.1448629194136473E-2</c:v>
                </c:pt>
                <c:pt idx="1">
                  <c:v>1.9079524712186213E-2</c:v>
                </c:pt>
                <c:pt idx="2">
                  <c:v>1.1712286557493456E-2</c:v>
                </c:pt>
                <c:pt idx="3">
                  <c:v>2.6355727374749449E-3</c:v>
                </c:pt>
                <c:pt idx="4">
                  <c:v>-5.6067335881850866E-3</c:v>
                </c:pt>
                <c:pt idx="5">
                  <c:v>-1.0060443198280922E-2</c:v>
                </c:pt>
                <c:pt idx="6">
                  <c:v>-1.5071939793049438E-2</c:v>
                </c:pt>
                <c:pt idx="7">
                  <c:v>-9.9374913760943429E-3</c:v>
                </c:pt>
                <c:pt idx="8">
                  <c:v>1.1202787401156655E-3</c:v>
                </c:pt>
                <c:pt idx="9">
                  <c:v>1.8848726863157417E-2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5-47E6-A0EE-319C421B1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42304"/>
        <c:axId val="756741320"/>
      </c:scatterChart>
      <c:valAx>
        <c:axId val="7567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741320"/>
        <c:crosses val="autoZero"/>
        <c:crossBetween val="midCat"/>
      </c:valAx>
      <c:valAx>
        <c:axId val="7567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7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μ'!$J$19:$J$33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μ'!$H$19:$H$33</c:f>
              <c:numCache>
                <c:formatCode>General</c:formatCode>
                <c:ptCount val="15"/>
                <c:pt idx="0">
                  <c:v>1.1106471523832999E-2</c:v>
                </c:pt>
                <c:pt idx="1">
                  <c:v>1.1131344891676E-2</c:v>
                </c:pt>
                <c:pt idx="2">
                  <c:v>1.1138160640148E-2</c:v>
                </c:pt>
                <c:pt idx="3">
                  <c:v>1.1158926267964E-2</c:v>
                </c:pt>
                <c:pt idx="4">
                  <c:v>1.1172402690792E-2</c:v>
                </c:pt>
                <c:pt idx="5">
                  <c:v>1.1174331599446001E-2</c:v>
                </c:pt>
                <c:pt idx="6">
                  <c:v>1.1194105930996999E-2</c:v>
                </c:pt>
                <c:pt idx="7">
                  <c:v>1.1202155669665001E-2</c:v>
                </c:pt>
                <c:pt idx="8">
                  <c:v>1.1232807244462999E-2</c:v>
                </c:pt>
                <c:pt idx="9">
                  <c:v>1.1236204154616E-2</c:v>
                </c:pt>
                <c:pt idx="10">
                  <c:v>1.1259865191052E-2</c:v>
                </c:pt>
                <c:pt idx="11">
                  <c:v>1.1269772864453E-2</c:v>
                </c:pt>
                <c:pt idx="12">
                  <c:v>1.1297017654502001E-2</c:v>
                </c:pt>
                <c:pt idx="13">
                  <c:v>1.1317862208335E-2</c:v>
                </c:pt>
                <c:pt idx="14">
                  <c:v>1.1325900531557E-2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61-48A3-83F1-ECA0555D6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Linear Fitting of the transformation of Q10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74321203627839"/>
                  <c:y val="0.221714592117104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390,98x - 5,8954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μ'!$B$174:$B$182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3.5000000000000001E-3</c:v>
                </c:pt>
                <c:pt idx="2">
                  <c:v>4.0000000000000001E-3</c:v>
                </c:pt>
                <c:pt idx="3">
                  <c:v>4.5000000000000005E-3</c:v>
                </c:pt>
                <c:pt idx="4">
                  <c:v>5.0000000000000001E-3</c:v>
                </c:pt>
                <c:pt idx="5">
                  <c:v>5.4999999999999997E-3</c:v>
                </c:pt>
                <c:pt idx="6">
                  <c:v>6.0000000000000001E-3</c:v>
                </c:pt>
                <c:pt idx="7">
                  <c:v>6.5000000000000006E-3</c:v>
                </c:pt>
                <c:pt idx="8">
                  <c:v>7.0000000000000001E-3</c:v>
                </c:pt>
              </c:numCache>
            </c:numRef>
          </c:xVal>
          <c:yVal>
            <c:numRef>
              <c:f>'Linear regression μ'!$C$174:$C$182</c:f>
              <c:numCache>
                <c:formatCode>General</c:formatCode>
                <c:ptCount val="9"/>
                <c:pt idx="0">
                  <c:v>-4.6242121657542761</c:v>
                </c:pt>
                <c:pt idx="1">
                  <c:v>-4.4905487113155136</c:v>
                </c:pt>
                <c:pt idx="2">
                  <c:v>-4.3467698212105823</c:v>
                </c:pt>
                <c:pt idx="3">
                  <c:v>-4.1914773939269709</c:v>
                </c:pt>
                <c:pt idx="4">
                  <c:v>-4.0205021529008151</c:v>
                </c:pt>
                <c:pt idx="5">
                  <c:v>-3.827434664256038</c:v>
                </c:pt>
                <c:pt idx="6">
                  <c:v>-3.6074735415649481</c:v>
                </c:pt>
                <c:pt idx="7">
                  <c:v>-3.3410584589041328</c:v>
                </c:pt>
                <c:pt idx="8">
                  <c:v>-3.0146096062447567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D-4D64-9687-E6F563AC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μ'!$C$190:$C$198</c:f>
              <c:numCache>
                <c:formatCode>General</c:formatCode>
                <c:ptCount val="9"/>
                <c:pt idx="0">
                  <c:v>-1.5948702548629692</c:v>
                </c:pt>
                <c:pt idx="1">
                  <c:v>-0.96558119772402384</c:v>
                </c:pt>
                <c:pt idx="2">
                  <c:v>-0.58740139704861805</c:v>
                </c:pt>
                <c:pt idx="3">
                  <c:v>-0.28101035460789436</c:v>
                </c:pt>
                <c:pt idx="4">
                  <c:v>0</c:v>
                </c:pt>
                <c:pt idx="5">
                  <c:v>0.28101035460789436</c:v>
                </c:pt>
                <c:pt idx="6">
                  <c:v>0.5874013970486186</c:v>
                </c:pt>
                <c:pt idx="7">
                  <c:v>0.96558119772402384</c:v>
                </c:pt>
                <c:pt idx="8">
                  <c:v>1.5948702548629707</c:v>
                </c:pt>
              </c:numCache>
            </c:numRef>
          </c:xVal>
          <c:yVal>
            <c:numRef>
              <c:f>'Linear regression μ'!$A$190:$A$198</c:f>
              <c:numCache>
                <c:formatCode>General</c:formatCode>
                <c:ptCount val="9"/>
                <c:pt idx="0">
                  <c:v>-8.2424664256037339E-2</c:v>
                </c:pt>
                <c:pt idx="1">
                  <c:v>-8.0002152900815027E-2</c:v>
                </c:pt>
                <c:pt idx="2">
                  <c:v>-5.7953541564947919E-2</c:v>
                </c:pt>
                <c:pt idx="3">
                  <c:v>-5.5487393926970441E-2</c:v>
                </c:pt>
                <c:pt idx="4">
                  <c:v>-1.5289821210582311E-2</c:v>
                </c:pt>
                <c:pt idx="5">
                  <c:v>1.2971541095867067E-2</c:v>
                </c:pt>
                <c:pt idx="6">
                  <c:v>3.6421288684486797E-2</c:v>
                </c:pt>
                <c:pt idx="7">
                  <c:v>9.8247834245723809E-2</c:v>
                </c:pt>
                <c:pt idx="8">
                  <c:v>0.14393039375524364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7-4356-BD0B-8D7018315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52328"/>
        <c:axId val="796255608"/>
      </c:scatterChart>
      <c:valAx>
        <c:axId val="79625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255608"/>
        <c:crosses val="autoZero"/>
        <c:crossBetween val="midCat"/>
      </c:valAx>
      <c:valAx>
        <c:axId val="79625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2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constant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μ'!$B$203:$B$211</c:f>
              <c:numCache>
                <c:formatCode>General</c:formatCode>
                <c:ptCount val="9"/>
                <c:pt idx="0">
                  <c:v>-4.7224599999999999</c:v>
                </c:pt>
                <c:pt idx="1">
                  <c:v>-4.5269700000000004</c:v>
                </c:pt>
                <c:pt idx="2">
                  <c:v>-4.33148</c:v>
                </c:pt>
                <c:pt idx="3">
                  <c:v>-4.1359899999999996</c:v>
                </c:pt>
                <c:pt idx="4">
                  <c:v>-3.9405000000000001</c:v>
                </c:pt>
                <c:pt idx="5">
                  <c:v>-3.7450100000000006</c:v>
                </c:pt>
                <c:pt idx="6">
                  <c:v>-3.5495200000000002</c:v>
                </c:pt>
                <c:pt idx="7">
                  <c:v>-3.3540300000000003</c:v>
                </c:pt>
                <c:pt idx="8">
                  <c:v>-3.1585400000000003</c:v>
                </c:pt>
              </c:numCache>
            </c:numRef>
          </c:xVal>
          <c:yVal>
            <c:numRef>
              <c:f>'Linear regression μ'!$A$203:$A$211</c:f>
              <c:numCache>
                <c:formatCode>General</c:formatCode>
                <c:ptCount val="9"/>
                <c:pt idx="0">
                  <c:v>9.8247834245723809E-2</c:v>
                </c:pt>
                <c:pt idx="1">
                  <c:v>3.6421288684486797E-2</c:v>
                </c:pt>
                <c:pt idx="2">
                  <c:v>-1.5289821210582311E-2</c:v>
                </c:pt>
                <c:pt idx="3">
                  <c:v>-5.5487393926970441E-2</c:v>
                </c:pt>
                <c:pt idx="4">
                  <c:v>-8.0002152900815027E-2</c:v>
                </c:pt>
                <c:pt idx="5">
                  <c:v>-8.2424664256037339E-2</c:v>
                </c:pt>
                <c:pt idx="6">
                  <c:v>-5.7953541564947919E-2</c:v>
                </c:pt>
                <c:pt idx="7">
                  <c:v>1.2971541095867067E-2</c:v>
                </c:pt>
                <c:pt idx="8">
                  <c:v>0.14393039375524364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5-4F27-B3EF-1E0A2272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01632"/>
        <c:axId val="437902288"/>
      </c:scatterChart>
      <c:valAx>
        <c:axId val="4379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902288"/>
        <c:crosses val="autoZero"/>
        <c:crossBetween val="midCat"/>
      </c:valAx>
      <c:valAx>
        <c:axId val="437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9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Independence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μ'!$B$216:$B$224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'Linear regression μ'!$A$216:$A$224</c:f>
              <c:numCache>
                <c:formatCode>General</c:formatCode>
                <c:ptCount val="9"/>
                <c:pt idx="0">
                  <c:v>9.8247834245723809E-2</c:v>
                </c:pt>
                <c:pt idx="1">
                  <c:v>3.6421288684486797E-2</c:v>
                </c:pt>
                <c:pt idx="2">
                  <c:v>-1.5289821210582311E-2</c:v>
                </c:pt>
                <c:pt idx="3">
                  <c:v>-5.5487393926970441E-2</c:v>
                </c:pt>
                <c:pt idx="4">
                  <c:v>-8.0002152900815027E-2</c:v>
                </c:pt>
                <c:pt idx="5">
                  <c:v>-8.2424664256037339E-2</c:v>
                </c:pt>
                <c:pt idx="6">
                  <c:v>-5.7953541564947919E-2</c:v>
                </c:pt>
                <c:pt idx="7">
                  <c:v>1.2971541095867067E-2</c:v>
                </c:pt>
                <c:pt idx="8">
                  <c:v>0.14393039375524364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4-4763-8E4D-D972687CB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42304"/>
        <c:axId val="756741320"/>
      </c:scatterChart>
      <c:valAx>
        <c:axId val="7567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741320"/>
        <c:crosses val="autoZero"/>
        <c:crossBetween val="midCat"/>
      </c:valAx>
      <c:valAx>
        <c:axId val="7567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7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μ'!$J$36:$J$50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μ'!$H$36:$H$50</c:f>
              <c:numCache>
                <c:formatCode>General</c:formatCode>
                <c:ptCount val="15"/>
                <c:pt idx="0">
                  <c:v>1.2828443102954E-2</c:v>
                </c:pt>
                <c:pt idx="1">
                  <c:v>1.2854701060384E-2</c:v>
                </c:pt>
                <c:pt idx="2">
                  <c:v>1.2854842403286999E-2</c:v>
                </c:pt>
                <c:pt idx="3">
                  <c:v>1.2871783377291999E-2</c:v>
                </c:pt>
                <c:pt idx="4">
                  <c:v>1.2874919079826999E-2</c:v>
                </c:pt>
                <c:pt idx="5">
                  <c:v>1.2908311061363999E-2</c:v>
                </c:pt>
                <c:pt idx="6">
                  <c:v>1.2922676502639001E-2</c:v>
                </c:pt>
                <c:pt idx="7">
                  <c:v>1.2932048108786001E-2</c:v>
                </c:pt>
                <c:pt idx="8">
                  <c:v>1.2995542127655E-2</c:v>
                </c:pt>
                <c:pt idx="9">
                  <c:v>1.3019364238455001E-2</c:v>
                </c:pt>
                <c:pt idx="10">
                  <c:v>1.3021301762985001E-2</c:v>
                </c:pt>
                <c:pt idx="11">
                  <c:v>1.3026254308484E-2</c:v>
                </c:pt>
                <c:pt idx="12">
                  <c:v>1.3028803209622001E-2</c:v>
                </c:pt>
                <c:pt idx="13">
                  <c:v>1.3040588097385E-2</c:v>
                </c:pt>
                <c:pt idx="14">
                  <c:v>1.3048991065972E-2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8-4411-8482-48D6DE0A0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 μ'!$J$53:$J$67</c:f>
              <c:strCache>
                <c:ptCount val="15"/>
                <c:pt idx="0">
                  <c:v>-1,836858898</c:v>
                </c:pt>
                <c:pt idx="1">
                  <c:v>-1,281126151</c:v>
                </c:pt>
                <c:pt idx="2">
                  <c:v>-0,965581198</c:v>
                </c:pt>
                <c:pt idx="3">
                  <c:v>-0,725750408</c:v>
                </c:pt>
                <c:pt idx="4">
                  <c:v>-0,522463053</c:v>
                </c:pt>
                <c:pt idx="5">
                  <c:v>-0,339276383</c:v>
                </c:pt>
                <c:pt idx="6">
                  <c:v>-0,167150588</c:v>
                </c:pt>
                <c:pt idx="7">
                  <c:v>0</c:v>
                </c:pt>
                <c:pt idx="8">
                  <c:v>0,167150588</c:v>
                </c:pt>
                <c:pt idx="9">
                  <c:v>0,339276383</c:v>
                </c:pt>
                <c:pt idx="10">
                  <c:v>0,522463053</c:v>
                </c:pt>
                <c:pt idx="11">
                  <c:v>0,725750408</c:v>
                </c:pt>
                <c:pt idx="12">
                  <c:v>0,965581198</c:v>
                </c:pt>
                <c:pt idx="13">
                  <c:v>1,281126151</c:v>
                </c:pt>
                <c:pt idx="14">
                  <c:v>1,836858898</c:v>
                </c:pt>
              </c:strCache>
            </c:strRef>
          </c:tx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μ'!$J$53:$J$67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μ'!$H$53:$H$67</c:f>
              <c:numCache>
                <c:formatCode>General</c:formatCode>
                <c:ptCount val="15"/>
                <c:pt idx="0">
                  <c:v>1.4901209321055001E-2</c:v>
                </c:pt>
                <c:pt idx="1">
                  <c:v>1.4985016879917001E-2</c:v>
                </c:pt>
                <c:pt idx="2">
                  <c:v>1.5060430660473001E-2</c:v>
                </c:pt>
                <c:pt idx="3">
                  <c:v>1.5063212162217E-2</c:v>
                </c:pt>
                <c:pt idx="4">
                  <c:v>1.5077388658489999E-2</c:v>
                </c:pt>
                <c:pt idx="5">
                  <c:v>1.5115982708461999E-2</c:v>
                </c:pt>
                <c:pt idx="6">
                  <c:v>1.5118384572918E-2</c:v>
                </c:pt>
                <c:pt idx="7">
                  <c:v>1.5120649032933999E-2</c:v>
                </c:pt>
                <c:pt idx="8">
                  <c:v>1.5150945900026001E-2</c:v>
                </c:pt>
                <c:pt idx="9">
                  <c:v>1.5157950100373E-2</c:v>
                </c:pt>
                <c:pt idx="10">
                  <c:v>1.5164623853318E-2</c:v>
                </c:pt>
                <c:pt idx="11">
                  <c:v>1.5198050707429999E-2</c:v>
                </c:pt>
                <c:pt idx="12">
                  <c:v>1.5211950411461001E-2</c:v>
                </c:pt>
                <c:pt idx="13">
                  <c:v>1.5222338001374999E-2</c:v>
                </c:pt>
                <c:pt idx="14">
                  <c:v>1.5310732511535001E-2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E-4021-BF62-435BBB077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μ'!$J$70:$J$84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μ'!$H$70:$H$84</c:f>
              <c:numCache>
                <c:formatCode>General</c:formatCode>
                <c:ptCount val="15"/>
                <c:pt idx="0">
                  <c:v>1.7625084095299001E-2</c:v>
                </c:pt>
                <c:pt idx="1">
                  <c:v>1.7690053119862999E-2</c:v>
                </c:pt>
                <c:pt idx="2">
                  <c:v>1.7697887540654999E-2</c:v>
                </c:pt>
                <c:pt idx="3">
                  <c:v>1.7803716569733001E-2</c:v>
                </c:pt>
                <c:pt idx="4">
                  <c:v>1.7833923165826999E-2</c:v>
                </c:pt>
                <c:pt idx="5">
                  <c:v>1.7899238881330999E-2</c:v>
                </c:pt>
                <c:pt idx="6">
                  <c:v>1.7946515049430001E-2</c:v>
                </c:pt>
                <c:pt idx="7">
                  <c:v>1.7975913437066001E-2</c:v>
                </c:pt>
                <c:pt idx="8">
                  <c:v>1.7997210715159001E-2</c:v>
                </c:pt>
                <c:pt idx="9">
                  <c:v>1.8079963307455999E-2</c:v>
                </c:pt>
                <c:pt idx="10">
                  <c:v>1.8087433786473001E-2</c:v>
                </c:pt>
                <c:pt idx="11">
                  <c:v>1.8113889807855998E-2</c:v>
                </c:pt>
                <c:pt idx="12">
                  <c:v>1.8128837803102999E-2</c:v>
                </c:pt>
                <c:pt idx="13">
                  <c:v>1.8133909084723E-2</c:v>
                </c:pt>
                <c:pt idx="14">
                  <c:v>1.8145704673862999E-2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98-4376-8D17-A340AD7A5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μ'!$J$87:$J$101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μ'!$H$87:$H$101</c:f>
              <c:numCache>
                <c:formatCode>General</c:formatCode>
                <c:ptCount val="15"/>
                <c:pt idx="0">
                  <c:v>2.1251998746468999E-2</c:v>
                </c:pt>
                <c:pt idx="1">
                  <c:v>2.1409546463821E-2</c:v>
                </c:pt>
                <c:pt idx="2">
                  <c:v>2.1507944528924999E-2</c:v>
                </c:pt>
                <c:pt idx="3">
                  <c:v>2.1631193049339002E-2</c:v>
                </c:pt>
                <c:pt idx="4">
                  <c:v>2.1648798825419001E-2</c:v>
                </c:pt>
                <c:pt idx="5">
                  <c:v>2.1712692137426E-2</c:v>
                </c:pt>
                <c:pt idx="6">
                  <c:v>2.1763801425768999E-2</c:v>
                </c:pt>
                <c:pt idx="7">
                  <c:v>2.1827813050941999E-2</c:v>
                </c:pt>
                <c:pt idx="8">
                  <c:v>2.1866520172719998E-2</c:v>
                </c:pt>
                <c:pt idx="9">
                  <c:v>2.1892157452231002E-2</c:v>
                </c:pt>
                <c:pt idx="10">
                  <c:v>2.191595274515E-2</c:v>
                </c:pt>
                <c:pt idx="11">
                  <c:v>2.1964767734463E-2</c:v>
                </c:pt>
                <c:pt idx="12">
                  <c:v>2.2011788534393999E-2</c:v>
                </c:pt>
                <c:pt idx="13">
                  <c:v>2.202404370378E-2</c:v>
                </c:pt>
                <c:pt idx="14">
                  <c:v>2.2051675111986999E-2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F9-4E61-99EF-2FDB4DC17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Independence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λ'!$B$216:$B$224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'Linear regression λ'!$A$216:$A$224</c:f>
              <c:numCache>
                <c:formatCode>General</c:formatCode>
                <c:ptCount val="9"/>
                <c:pt idx="0">
                  <c:v>0.10026510627084484</c:v>
                </c:pt>
                <c:pt idx="1">
                  <c:v>2.9880921851930253E-3</c:v>
                </c:pt>
                <c:pt idx="2">
                  <c:v>-4.6978139366023797E-2</c:v>
                </c:pt>
                <c:pt idx="3">
                  <c:v>-5.9551817097869275E-2</c:v>
                </c:pt>
                <c:pt idx="4">
                  <c:v>-5.541818894949202E-2</c:v>
                </c:pt>
                <c:pt idx="5">
                  <c:v>-3.451624237643891E-2</c:v>
                </c:pt>
                <c:pt idx="6">
                  <c:v>-5.0956048069235038E-3</c:v>
                </c:pt>
                <c:pt idx="7">
                  <c:v>3.1154962995421087E-2</c:v>
                </c:pt>
                <c:pt idx="8">
                  <c:v>6.7665288349024522E-2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2-4222-9A69-5A92E7F48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42304"/>
        <c:axId val="756741320"/>
      </c:scatterChart>
      <c:valAx>
        <c:axId val="7567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741320"/>
        <c:crosses val="autoZero"/>
        <c:crossBetween val="midCat"/>
      </c:valAx>
      <c:valAx>
        <c:axId val="7567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7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μ'!$J$104:$J$118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μ'!$H$104:$H$118</c:f>
              <c:numCache>
                <c:formatCode>General</c:formatCode>
                <c:ptCount val="15"/>
                <c:pt idx="0">
                  <c:v>2.6109488619915001E-2</c:v>
                </c:pt>
                <c:pt idx="1">
                  <c:v>2.6538231897573001E-2</c:v>
                </c:pt>
                <c:pt idx="2">
                  <c:v>2.6931122765371001E-2</c:v>
                </c:pt>
                <c:pt idx="3">
                  <c:v>2.6949400295111999E-2</c:v>
                </c:pt>
                <c:pt idx="4">
                  <c:v>2.6955938940508E-2</c:v>
                </c:pt>
                <c:pt idx="5">
                  <c:v>2.696214821779E-2</c:v>
                </c:pt>
                <c:pt idx="6">
                  <c:v>2.7063130655315001E-2</c:v>
                </c:pt>
                <c:pt idx="7">
                  <c:v>2.7207548285167998E-2</c:v>
                </c:pt>
                <c:pt idx="8">
                  <c:v>2.7235079154607999E-2</c:v>
                </c:pt>
                <c:pt idx="9">
                  <c:v>2.7327077478116999E-2</c:v>
                </c:pt>
                <c:pt idx="10">
                  <c:v>2.7351342143787E-2</c:v>
                </c:pt>
                <c:pt idx="11">
                  <c:v>2.7358768686236001E-2</c:v>
                </c:pt>
                <c:pt idx="12">
                  <c:v>2.7405593190374E-2</c:v>
                </c:pt>
                <c:pt idx="13">
                  <c:v>2.7704495604266001E-2</c:v>
                </c:pt>
                <c:pt idx="14">
                  <c:v>2.7704813690875001E-2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C-4465-9BBE-0297B98C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μ'!$J$121:$J$135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μ'!$H$121:$H$135</c:f>
              <c:numCache>
                <c:formatCode>General</c:formatCode>
                <c:ptCount val="15"/>
                <c:pt idx="0">
                  <c:v>3.3859393341319002E-2</c:v>
                </c:pt>
                <c:pt idx="1">
                  <c:v>3.4149136811902001E-2</c:v>
                </c:pt>
                <c:pt idx="2">
                  <c:v>3.4915524127656E-2</c:v>
                </c:pt>
                <c:pt idx="3">
                  <c:v>3.497719061764E-2</c:v>
                </c:pt>
                <c:pt idx="4">
                  <c:v>3.5120605793951001E-2</c:v>
                </c:pt>
                <c:pt idx="5">
                  <c:v>3.5254926646422997E-2</c:v>
                </c:pt>
                <c:pt idx="6">
                  <c:v>3.5419087297221E-2</c:v>
                </c:pt>
                <c:pt idx="7">
                  <c:v>3.5544195603271003E-2</c:v>
                </c:pt>
                <c:pt idx="8">
                  <c:v>3.5556424265639E-2</c:v>
                </c:pt>
                <c:pt idx="9">
                  <c:v>3.5641804678815003E-2</c:v>
                </c:pt>
                <c:pt idx="10">
                  <c:v>3.5702068746996003E-2</c:v>
                </c:pt>
                <c:pt idx="11">
                  <c:v>3.5918680170513001E-2</c:v>
                </c:pt>
                <c:pt idx="12">
                  <c:v>3.6101006375824002E-2</c:v>
                </c:pt>
                <c:pt idx="13">
                  <c:v>3.6116815042785001E-2</c:v>
                </c:pt>
                <c:pt idx="14">
                  <c:v>3.6715175507007002E-2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B-45F1-B4F5-AA9D07D05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μ'!$J$138:$J$152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μ'!$H$138:$H$152</c:f>
              <c:numCache>
                <c:formatCode>General</c:formatCode>
                <c:ptCount val="15"/>
                <c:pt idx="0">
                  <c:v>4.6367373720597002E-2</c:v>
                </c:pt>
                <c:pt idx="1">
                  <c:v>4.6969923720914998E-2</c:v>
                </c:pt>
                <c:pt idx="2">
                  <c:v>4.7570472295978002E-2</c:v>
                </c:pt>
                <c:pt idx="3">
                  <c:v>4.7953518445475997E-2</c:v>
                </c:pt>
                <c:pt idx="4">
                  <c:v>4.8391054084948003E-2</c:v>
                </c:pt>
                <c:pt idx="5">
                  <c:v>4.8396561820179998E-2</c:v>
                </c:pt>
                <c:pt idx="6">
                  <c:v>4.8435904095052003E-2</c:v>
                </c:pt>
                <c:pt idx="7">
                  <c:v>4.8905881375489998E-2</c:v>
                </c:pt>
                <c:pt idx="8">
                  <c:v>4.9902057698127E-2</c:v>
                </c:pt>
                <c:pt idx="9">
                  <c:v>5.0001310925120002E-2</c:v>
                </c:pt>
                <c:pt idx="10">
                  <c:v>5.0111427253846999E-2</c:v>
                </c:pt>
                <c:pt idx="11">
                  <c:v>5.0270273948836E-2</c:v>
                </c:pt>
                <c:pt idx="12">
                  <c:v>5.0698412247793999E-2</c:v>
                </c:pt>
                <c:pt idx="13">
                  <c:v>5.0758645099396003E-2</c:v>
                </c:pt>
                <c:pt idx="14">
                  <c:v>5.1241979461282998E-2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AC-402B-BBD6-FA8B4C612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 rapp'!$J$2:$J$16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 rapp'!$H$2:$H$16</c:f>
              <c:numCache>
                <c:formatCode>General</c:formatCode>
                <c:ptCount val="15"/>
                <c:pt idx="0">
                  <c:v>9.6953091888462E-3</c:v>
                </c:pt>
                <c:pt idx="1">
                  <c:v>9.7660398783830996E-3</c:v>
                </c:pt>
                <c:pt idx="2">
                  <c:v>9.7739862057435994E-3</c:v>
                </c:pt>
                <c:pt idx="3">
                  <c:v>9.7857580250463004E-3</c:v>
                </c:pt>
                <c:pt idx="4">
                  <c:v>9.7870077611414003E-3</c:v>
                </c:pt>
                <c:pt idx="5">
                  <c:v>9.7969382111840995E-3</c:v>
                </c:pt>
                <c:pt idx="6">
                  <c:v>9.8032706727616999E-3</c:v>
                </c:pt>
                <c:pt idx="7">
                  <c:v>9.8106652524677998E-3</c:v>
                </c:pt>
                <c:pt idx="8">
                  <c:v>9.8187001124904003E-3</c:v>
                </c:pt>
                <c:pt idx="9">
                  <c:v>9.8242978141037992E-3</c:v>
                </c:pt>
                <c:pt idx="10">
                  <c:v>9.8326104295244996E-3</c:v>
                </c:pt>
                <c:pt idx="11">
                  <c:v>9.8368871064311997E-3</c:v>
                </c:pt>
                <c:pt idx="12">
                  <c:v>9.8451328506039999E-3</c:v>
                </c:pt>
                <c:pt idx="13">
                  <c:v>9.8801281724421007E-3</c:v>
                </c:pt>
                <c:pt idx="14">
                  <c:v>9.913994332902E-3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A-4FD2-B7B7-9EE86B38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Exponential</a:t>
            </a:r>
            <a:r>
              <a:rPr lang="it-IT" sz="1800" baseline="0"/>
              <a:t> f</a:t>
            </a:r>
            <a:r>
              <a:rPr lang="it-IT" sz="1800"/>
              <a:t>itting of Q10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38155452243346"/>
                  <c:y val="0.49892964122979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0,004e</a:t>
                    </a:r>
                    <a:r>
                      <a:rPr lang="en-US" sz="1600" baseline="30000"/>
                      <a:t>3017,3x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 rapp'!$B$277:$B$292</c:f>
              <c:numCache>
                <c:formatCode>General</c:formatCode>
                <c:ptCount val="16"/>
                <c:pt idx="0">
                  <c:v>3.3333333333333332E-4</c:v>
                </c:pt>
                <c:pt idx="1">
                  <c:v>4.4444444444444441E-4</c:v>
                </c:pt>
                <c:pt idx="2">
                  <c:v>6.6666666666666664E-4</c:v>
                </c:pt>
                <c:pt idx="3">
                  <c:v>7.7777777777777784E-4</c:v>
                </c:pt>
                <c:pt idx="4">
                  <c:v>2.9999999999999997E-4</c:v>
                </c:pt>
                <c:pt idx="5">
                  <c:v>4.0000000000000002E-4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2.5000000000000001E-4</c:v>
                </c:pt>
                <c:pt idx="9">
                  <c:v>3.3333333333333332E-4</c:v>
                </c:pt>
                <c:pt idx="10">
                  <c:v>5.0000000000000001E-4</c:v>
                </c:pt>
                <c:pt idx="11">
                  <c:v>5.8333333333333338E-4</c:v>
                </c:pt>
                <c:pt idx="12">
                  <c:v>2.3076923076923079E-4</c:v>
                </c:pt>
                <c:pt idx="13">
                  <c:v>3.076923076923077E-4</c:v>
                </c:pt>
                <c:pt idx="14">
                  <c:v>4.6153846153846158E-4</c:v>
                </c:pt>
                <c:pt idx="15">
                  <c:v>5.3846153846153844E-4</c:v>
                </c:pt>
              </c:numCache>
            </c:numRef>
          </c:xVal>
          <c:yVal>
            <c:numRef>
              <c:f>'Linear regression for μλ rapp'!$C$277:$C$292</c:f>
              <c:numCache>
                <c:formatCode>General</c:formatCode>
                <c:ptCount val="16"/>
                <c:pt idx="0">
                  <c:v>9.8113817342714797E-3</c:v>
                </c:pt>
                <c:pt idx="1">
                  <c:v>1.2948571300472732E-2</c:v>
                </c:pt>
                <c:pt idx="2">
                  <c:v>2.7120278641667668E-2</c:v>
                </c:pt>
                <c:pt idx="3">
                  <c:v>4.9064986412869271E-2</c:v>
                </c:pt>
                <c:pt idx="4">
                  <c:v>9.4952011103446587E-3</c:v>
                </c:pt>
                <c:pt idx="5">
                  <c:v>1.2184874943363668E-2</c:v>
                </c:pt>
                <c:pt idx="6">
                  <c:v>2.2310859269481401E-2</c:v>
                </c:pt>
                <c:pt idx="7">
                  <c:v>3.3707949319447129E-2</c:v>
                </c:pt>
                <c:pt idx="8">
                  <c:v>9.1218614569602927E-3</c:v>
                </c:pt>
                <c:pt idx="9">
                  <c:v>1.1281687232157602E-2</c:v>
                </c:pt>
                <c:pt idx="10">
                  <c:v>1.7994016058381263E-2</c:v>
                </c:pt>
                <c:pt idx="11">
                  <c:v>2.3683548845140463E-2</c:v>
                </c:pt>
                <c:pt idx="12">
                  <c:v>9.0060757541527876E-3</c:v>
                </c:pt>
                <c:pt idx="13">
                  <c:v>1.0966429132334733E-2</c:v>
                </c:pt>
                <c:pt idx="14">
                  <c:v>1.682415533934687E-2</c:v>
                </c:pt>
                <c:pt idx="15">
                  <c:v>2.1417344212244064E-2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B-430F-89A6-F748547E0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Linear Fitting of the transformation of Q10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990980157287972"/>
                  <c:y val="0.353000668940827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3017,3x - 5,5222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 rapp'!$B$300:$B$315</c:f>
              <c:numCache>
                <c:formatCode>General</c:formatCode>
                <c:ptCount val="16"/>
                <c:pt idx="0">
                  <c:v>3.3333333333333332E-4</c:v>
                </c:pt>
                <c:pt idx="1">
                  <c:v>4.4444444444444441E-4</c:v>
                </c:pt>
                <c:pt idx="2">
                  <c:v>6.6666666666666664E-4</c:v>
                </c:pt>
                <c:pt idx="3">
                  <c:v>7.7777777777777784E-4</c:v>
                </c:pt>
                <c:pt idx="4">
                  <c:v>2.9999999999999997E-4</c:v>
                </c:pt>
                <c:pt idx="5">
                  <c:v>4.0000000000000002E-4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2.5000000000000001E-4</c:v>
                </c:pt>
                <c:pt idx="9">
                  <c:v>3.3333333333333332E-4</c:v>
                </c:pt>
                <c:pt idx="10">
                  <c:v>5.0000000000000001E-4</c:v>
                </c:pt>
                <c:pt idx="11">
                  <c:v>5.8333333333333338E-4</c:v>
                </c:pt>
                <c:pt idx="12">
                  <c:v>2.3076923076923079E-4</c:v>
                </c:pt>
                <c:pt idx="13">
                  <c:v>3.076923076923077E-4</c:v>
                </c:pt>
                <c:pt idx="14">
                  <c:v>4.6153846153846158E-4</c:v>
                </c:pt>
                <c:pt idx="15">
                  <c:v>5.3846153846153844E-4</c:v>
                </c:pt>
              </c:numCache>
            </c:numRef>
          </c:xVal>
          <c:yVal>
            <c:numRef>
              <c:f>'Linear regression for μλ rapp'!$C$300:$C$315</c:f>
              <c:numCache>
                <c:formatCode>General</c:formatCode>
                <c:ptCount val="16"/>
                <c:pt idx="0">
                  <c:v>-4.6242121657542761</c:v>
                </c:pt>
                <c:pt idx="1">
                  <c:v>-4.3467698212105823</c:v>
                </c:pt>
                <c:pt idx="2">
                  <c:v>-3.6074735415649481</c:v>
                </c:pt>
                <c:pt idx="3">
                  <c:v>-3.0146096062447563</c:v>
                </c:pt>
                <c:pt idx="4">
                  <c:v>-4.6569687542845157</c:v>
                </c:pt>
                <c:pt idx="5">
                  <c:v>-4.4075598551202386</c:v>
                </c:pt>
                <c:pt idx="6">
                  <c:v>-3.8026817562869364</c:v>
                </c:pt>
                <c:pt idx="7">
                  <c:v>-3.3900215845902149</c:v>
                </c:pt>
                <c:pt idx="8">
                  <c:v>-4.6970813886000826</c:v>
                </c:pt>
                <c:pt idx="9">
                  <c:v>-4.4845744667788594</c:v>
                </c:pt>
                <c:pt idx="10">
                  <c:v>-4.0177160175578388</c:v>
                </c:pt>
                <c:pt idx="11">
                  <c:v>-3.7429746134241002</c:v>
                </c:pt>
                <c:pt idx="12">
                  <c:v>-4.7098558456177262</c:v>
                </c:pt>
                <c:pt idx="13">
                  <c:v>-4.5129165697790201</c:v>
                </c:pt>
                <c:pt idx="14">
                  <c:v>-4.0849396074249542</c:v>
                </c:pt>
                <c:pt idx="15">
                  <c:v>-3.8435542080059641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3-48D5-A846-B7AF10A6F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'[2]Linear Regression for δμ'!$C$323:$C$338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'[2]Linear Regression for δμ'!$A$323:$A$338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A-48C2-98B0-EB1036C56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52328"/>
        <c:axId val="796255608"/>
      </c:scatterChart>
      <c:valAx>
        <c:axId val="79625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255608"/>
        <c:crosses val="autoZero"/>
        <c:crossBetween val="midCat"/>
      </c:valAx>
      <c:valAx>
        <c:axId val="79625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2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constant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for μλ rapp'!$B$342:$B$357</c:f>
              <c:numCache>
                <c:formatCode>General</c:formatCode>
                <c:ptCount val="16"/>
                <c:pt idx="0">
                  <c:v>-5.5221999999999998</c:v>
                </c:pt>
                <c:pt idx="1">
                  <c:v>-4.5164333333333335</c:v>
                </c:pt>
                <c:pt idx="2">
                  <c:v>-4.1811777777777781</c:v>
                </c:pt>
                <c:pt idx="3">
                  <c:v>-3.5106666666666664</c:v>
                </c:pt>
                <c:pt idx="4">
                  <c:v>-3.1754111111111105</c:v>
                </c:pt>
                <c:pt idx="5">
                  <c:v>-4.6170099999999996</c:v>
                </c:pt>
                <c:pt idx="6">
                  <c:v>-4.3152799999999996</c:v>
                </c:pt>
                <c:pt idx="7">
                  <c:v>-3.7118199999999999</c:v>
                </c:pt>
                <c:pt idx="8">
                  <c:v>-3.4100899999999998</c:v>
                </c:pt>
                <c:pt idx="9">
                  <c:v>-4.7678750000000001</c:v>
                </c:pt>
                <c:pt idx="10">
                  <c:v>-4.5164333333333335</c:v>
                </c:pt>
                <c:pt idx="11">
                  <c:v>-4.0135499999999995</c:v>
                </c:pt>
                <c:pt idx="12">
                  <c:v>-3.7621083333333329</c:v>
                </c:pt>
                <c:pt idx="13">
                  <c:v>-4.8258999999999999</c:v>
                </c:pt>
                <c:pt idx="14">
                  <c:v>-4.5937999999999999</c:v>
                </c:pt>
                <c:pt idx="15">
                  <c:v>-4.1295999999999999</c:v>
                </c:pt>
              </c:numCache>
            </c:numRef>
          </c:xVal>
          <c:yVal>
            <c:numRef>
              <c:f>'Linear regression for μλ rapp'!$A$342:$A$357</c:f>
              <c:numCache>
                <c:formatCode>General</c:formatCode>
                <c:ptCount val="16"/>
                <c:pt idx="0">
                  <c:v>-0.10777883242094255</c:v>
                </c:pt>
                <c:pt idx="1">
                  <c:v>-0.1655920434328042</c:v>
                </c:pt>
                <c:pt idx="2">
                  <c:v>-9.680687489828177E-2</c:v>
                </c:pt>
                <c:pt idx="3">
                  <c:v>0.16080150486635425</c:v>
                </c:pt>
                <c:pt idx="4">
                  <c:v>-3.9958754284516118E-2</c:v>
                </c:pt>
                <c:pt idx="5">
                  <c:v>-9.2279855120239063E-2</c:v>
                </c:pt>
                <c:pt idx="6">
                  <c:v>-9.086175628693649E-2</c:v>
                </c:pt>
                <c:pt idx="7">
                  <c:v>2.006841540978499E-2</c:v>
                </c:pt>
                <c:pt idx="8">
                  <c:v>7.0793611399917467E-2</c:v>
                </c:pt>
                <c:pt idx="9">
                  <c:v>3.1858866554474119E-2</c:v>
                </c:pt>
                <c:pt idx="10">
                  <c:v>-4.1660175578392966E-3</c:v>
                </c:pt>
                <c:pt idx="11">
                  <c:v>1.9133719909232738E-2</c:v>
                </c:pt>
                <c:pt idx="12">
                  <c:v>0.11604415438227367</c:v>
                </c:pt>
                <c:pt idx="13">
                  <c:v>8.0883430220979768E-2</c:v>
                </c:pt>
                <c:pt idx="14">
                  <c:v>4.4660392575044838E-2</c:v>
                </c:pt>
                <c:pt idx="15">
                  <c:v>5.3945791994035375E-2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E-42DE-A07C-5C6D1C8D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01632"/>
        <c:axId val="437902288"/>
      </c:scatterChart>
      <c:valAx>
        <c:axId val="4379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902288"/>
        <c:crosses val="autoZero"/>
        <c:crossBetween val="midCat"/>
      </c:valAx>
      <c:valAx>
        <c:axId val="437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9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Independence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for μλ rapp'!$B$361:$B$376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'Linear regression for μλ rapp'!$A$361:$A$376</c:f>
              <c:numCache>
                <c:formatCode>General</c:formatCode>
                <c:ptCount val="16"/>
                <c:pt idx="0">
                  <c:v>-0.10777883242094255</c:v>
                </c:pt>
                <c:pt idx="1">
                  <c:v>-0.1655920434328042</c:v>
                </c:pt>
                <c:pt idx="2">
                  <c:v>-9.680687489828177E-2</c:v>
                </c:pt>
                <c:pt idx="3">
                  <c:v>0.16080150486635425</c:v>
                </c:pt>
                <c:pt idx="4">
                  <c:v>-3.9958754284516118E-2</c:v>
                </c:pt>
                <c:pt idx="5">
                  <c:v>-9.2279855120239063E-2</c:v>
                </c:pt>
                <c:pt idx="6">
                  <c:v>-9.086175628693649E-2</c:v>
                </c:pt>
                <c:pt idx="7">
                  <c:v>2.006841540978499E-2</c:v>
                </c:pt>
                <c:pt idx="8">
                  <c:v>7.0793611399917467E-2</c:v>
                </c:pt>
                <c:pt idx="9">
                  <c:v>3.1858866554474119E-2</c:v>
                </c:pt>
                <c:pt idx="10">
                  <c:v>-4.1660175578392966E-3</c:v>
                </c:pt>
                <c:pt idx="11">
                  <c:v>1.9133719909232738E-2</c:v>
                </c:pt>
                <c:pt idx="12">
                  <c:v>0.11604415438227367</c:v>
                </c:pt>
                <c:pt idx="13">
                  <c:v>8.0883430220979768E-2</c:v>
                </c:pt>
                <c:pt idx="14">
                  <c:v>4.4660392575044838E-2</c:v>
                </c:pt>
                <c:pt idx="15">
                  <c:v>5.3945791994035375E-2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3-4AD7-A99C-24BB1C621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42304"/>
        <c:axId val="756741320"/>
      </c:scatterChart>
      <c:valAx>
        <c:axId val="7567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741320"/>
        <c:crosses val="autoZero"/>
        <c:crossBetween val="midCat"/>
      </c:valAx>
      <c:valAx>
        <c:axId val="7567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7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 rapp'!$J$19:$J$33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 rapp'!$H$19:$H$33</c:f>
              <c:numCache>
                <c:formatCode>General</c:formatCode>
                <c:ptCount val="15"/>
                <c:pt idx="0">
                  <c:v>1.2828443102954E-2</c:v>
                </c:pt>
                <c:pt idx="1">
                  <c:v>1.2854701060384E-2</c:v>
                </c:pt>
                <c:pt idx="2">
                  <c:v>1.2854842403286999E-2</c:v>
                </c:pt>
                <c:pt idx="3">
                  <c:v>1.2871783377291999E-2</c:v>
                </c:pt>
                <c:pt idx="4">
                  <c:v>1.2874919079826999E-2</c:v>
                </c:pt>
                <c:pt idx="5">
                  <c:v>1.2908311061363999E-2</c:v>
                </c:pt>
                <c:pt idx="6">
                  <c:v>1.2922676502639001E-2</c:v>
                </c:pt>
                <c:pt idx="7">
                  <c:v>1.2932048108786001E-2</c:v>
                </c:pt>
                <c:pt idx="8">
                  <c:v>1.2995542127655E-2</c:v>
                </c:pt>
                <c:pt idx="9">
                  <c:v>1.3019364238455001E-2</c:v>
                </c:pt>
                <c:pt idx="10">
                  <c:v>1.3021301762985001E-2</c:v>
                </c:pt>
                <c:pt idx="11">
                  <c:v>1.3026254308484E-2</c:v>
                </c:pt>
                <c:pt idx="12">
                  <c:v>1.3028803209622001E-2</c:v>
                </c:pt>
                <c:pt idx="13">
                  <c:v>1.3040588097385E-2</c:v>
                </c:pt>
                <c:pt idx="14">
                  <c:v>1.3048991065972E-2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7-48C7-8C2E-373367C3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λ'!$J$19:$J$33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λ'!$H$19:$H$33</c:f>
              <c:numCache>
                <c:formatCode>General</c:formatCode>
                <c:ptCount val="15"/>
                <c:pt idx="0">
                  <c:v>3.8010709862334E-2</c:v>
                </c:pt>
                <c:pt idx="1">
                  <c:v>3.8252925503816003E-2</c:v>
                </c:pt>
                <c:pt idx="2">
                  <c:v>3.8725822092779E-2</c:v>
                </c:pt>
                <c:pt idx="3">
                  <c:v>3.9036975524421001E-2</c:v>
                </c:pt>
                <c:pt idx="4">
                  <c:v>3.9124801506486999E-2</c:v>
                </c:pt>
                <c:pt idx="5">
                  <c:v>3.9147633692448003E-2</c:v>
                </c:pt>
                <c:pt idx="6">
                  <c:v>3.9311431437033001E-2</c:v>
                </c:pt>
                <c:pt idx="7">
                  <c:v>3.9597754163375999E-2</c:v>
                </c:pt>
                <c:pt idx="8">
                  <c:v>3.9916626688898997E-2</c:v>
                </c:pt>
                <c:pt idx="9">
                  <c:v>3.9956176676331001E-2</c:v>
                </c:pt>
                <c:pt idx="10">
                  <c:v>3.9960944950799999E-2</c:v>
                </c:pt>
                <c:pt idx="11">
                  <c:v>4.0028751646391997E-2</c:v>
                </c:pt>
                <c:pt idx="12">
                  <c:v>4.0506308523353997E-2</c:v>
                </c:pt>
                <c:pt idx="13">
                  <c:v>4.0958719990736997E-2</c:v>
                </c:pt>
                <c:pt idx="14">
                  <c:v>4.143564864648E-2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5-49C5-815D-E9C36D7C7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 rapp'!$J$36:$J$50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 rapp'!$H$36:$H$50</c:f>
              <c:numCache>
                <c:formatCode>General</c:formatCode>
                <c:ptCount val="15"/>
                <c:pt idx="0">
                  <c:v>2.6109488619915001E-2</c:v>
                </c:pt>
                <c:pt idx="1">
                  <c:v>2.6538231897573001E-2</c:v>
                </c:pt>
                <c:pt idx="2">
                  <c:v>2.6931122765371001E-2</c:v>
                </c:pt>
                <c:pt idx="3">
                  <c:v>2.6949400295111999E-2</c:v>
                </c:pt>
                <c:pt idx="4">
                  <c:v>2.6955938940508E-2</c:v>
                </c:pt>
                <c:pt idx="5">
                  <c:v>2.696214821779E-2</c:v>
                </c:pt>
                <c:pt idx="6">
                  <c:v>2.7063130655315001E-2</c:v>
                </c:pt>
                <c:pt idx="7">
                  <c:v>2.7207548285167998E-2</c:v>
                </c:pt>
                <c:pt idx="8">
                  <c:v>2.7235079154607999E-2</c:v>
                </c:pt>
                <c:pt idx="9">
                  <c:v>2.7327077478116999E-2</c:v>
                </c:pt>
                <c:pt idx="10">
                  <c:v>2.7351342143787E-2</c:v>
                </c:pt>
                <c:pt idx="11">
                  <c:v>2.7358768686236001E-2</c:v>
                </c:pt>
                <c:pt idx="12">
                  <c:v>2.7405593190374E-2</c:v>
                </c:pt>
                <c:pt idx="13">
                  <c:v>2.7704495604266001E-2</c:v>
                </c:pt>
                <c:pt idx="14">
                  <c:v>2.7704813690875001E-2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3-4552-8F04-6FA549416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 rapp'!$J$53:$J$67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 rapp'!$H$53:$H$67</c:f>
              <c:numCache>
                <c:formatCode>General</c:formatCode>
                <c:ptCount val="15"/>
                <c:pt idx="0">
                  <c:v>4.6367373720597002E-2</c:v>
                </c:pt>
                <c:pt idx="1">
                  <c:v>4.6969923720914998E-2</c:v>
                </c:pt>
                <c:pt idx="2">
                  <c:v>4.7570472295978002E-2</c:v>
                </c:pt>
                <c:pt idx="3">
                  <c:v>4.7953518445475997E-2</c:v>
                </c:pt>
                <c:pt idx="4">
                  <c:v>4.8391054084948003E-2</c:v>
                </c:pt>
                <c:pt idx="5">
                  <c:v>4.8396561820179998E-2</c:v>
                </c:pt>
                <c:pt idx="6">
                  <c:v>4.8435904095052003E-2</c:v>
                </c:pt>
                <c:pt idx="7">
                  <c:v>4.8905881375489998E-2</c:v>
                </c:pt>
                <c:pt idx="8">
                  <c:v>4.9902057698127E-2</c:v>
                </c:pt>
                <c:pt idx="9">
                  <c:v>5.0001310925120002E-2</c:v>
                </c:pt>
                <c:pt idx="10">
                  <c:v>5.0111427253846999E-2</c:v>
                </c:pt>
                <c:pt idx="11">
                  <c:v>5.0270273948836E-2</c:v>
                </c:pt>
                <c:pt idx="12">
                  <c:v>5.0698412247793999E-2</c:v>
                </c:pt>
                <c:pt idx="13">
                  <c:v>5.0758645099396003E-2</c:v>
                </c:pt>
                <c:pt idx="14">
                  <c:v>5.1241979461282998E-2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A-4A5D-AE11-95154249E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 rapp'!$J$70:$J$84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 rapp'!$H$70:$H$84</c:f>
              <c:numCache>
                <c:formatCode>General</c:formatCode>
                <c:ptCount val="15"/>
                <c:pt idx="0">
                  <c:v>9.4383955133199998E-3</c:v>
                </c:pt>
                <c:pt idx="1">
                  <c:v>9.4466588360978005E-3</c:v>
                </c:pt>
                <c:pt idx="2">
                  <c:v>9.4580888957436996E-3</c:v>
                </c:pt>
                <c:pt idx="3">
                  <c:v>9.4649293931175008E-3</c:v>
                </c:pt>
                <c:pt idx="4">
                  <c:v>9.4789234045403008E-3</c:v>
                </c:pt>
                <c:pt idx="5">
                  <c:v>9.4801296491688995E-3</c:v>
                </c:pt>
                <c:pt idx="6">
                  <c:v>9.4813937343978996E-3</c:v>
                </c:pt>
                <c:pt idx="7">
                  <c:v>9.4861270680099002E-3</c:v>
                </c:pt>
                <c:pt idx="8">
                  <c:v>9.4880215403521009E-3</c:v>
                </c:pt>
                <c:pt idx="9">
                  <c:v>9.4895210679932993E-3</c:v>
                </c:pt>
                <c:pt idx="10">
                  <c:v>9.4918178227063991E-3</c:v>
                </c:pt>
                <c:pt idx="11">
                  <c:v>9.5375517898871002E-3</c:v>
                </c:pt>
                <c:pt idx="12">
                  <c:v>9.5526360197091004E-3</c:v>
                </c:pt>
                <c:pt idx="13">
                  <c:v>9.5606811423316999E-3</c:v>
                </c:pt>
                <c:pt idx="14">
                  <c:v>9.5731407777941997E-3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9A-4D5E-92F7-133BD57C9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 rapp'!$J$87:$J$101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 rapp'!$H$87:$H$101</c:f>
              <c:numCache>
                <c:formatCode>General</c:formatCode>
                <c:ptCount val="15"/>
                <c:pt idx="0">
                  <c:v>1.2029355942457E-2</c:v>
                </c:pt>
                <c:pt idx="1">
                  <c:v>1.2097957420023E-2</c:v>
                </c:pt>
                <c:pt idx="2">
                  <c:v>1.2100847051791E-2</c:v>
                </c:pt>
                <c:pt idx="3">
                  <c:v>1.211190414965E-2</c:v>
                </c:pt>
                <c:pt idx="4">
                  <c:v>1.2124245703517E-2</c:v>
                </c:pt>
                <c:pt idx="5">
                  <c:v>1.2138944333759999E-2</c:v>
                </c:pt>
                <c:pt idx="6">
                  <c:v>1.2147929968125E-2</c:v>
                </c:pt>
                <c:pt idx="7">
                  <c:v>1.2228180534827E-2</c:v>
                </c:pt>
                <c:pt idx="8">
                  <c:v>1.2229409384734E-2</c:v>
                </c:pt>
                <c:pt idx="9">
                  <c:v>1.2239417345746E-2</c:v>
                </c:pt>
                <c:pt idx="10">
                  <c:v>1.2247707031709E-2</c:v>
                </c:pt>
                <c:pt idx="11">
                  <c:v>1.2251901507794E-2</c:v>
                </c:pt>
                <c:pt idx="12">
                  <c:v>1.2258888530616E-2</c:v>
                </c:pt>
                <c:pt idx="13">
                  <c:v>1.2271052062260999E-2</c:v>
                </c:pt>
                <c:pt idx="14">
                  <c:v>1.2295383183445001E-2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0-4D19-8F5F-A7308C0D9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 rapp'!$J$104:$J$118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 rapp'!$H$104:$H$118</c:f>
              <c:numCache>
                <c:formatCode>General</c:formatCode>
                <c:ptCount val="15"/>
                <c:pt idx="0">
                  <c:v>2.1879699228863E-2</c:v>
                </c:pt>
                <c:pt idx="1">
                  <c:v>2.1886875562694998E-2</c:v>
                </c:pt>
                <c:pt idx="2">
                  <c:v>2.2028437458420001E-2</c:v>
                </c:pt>
                <c:pt idx="3">
                  <c:v>2.2074577824553E-2</c:v>
                </c:pt>
                <c:pt idx="4">
                  <c:v>2.2156904613354001E-2</c:v>
                </c:pt>
                <c:pt idx="5">
                  <c:v>2.2259272348683998E-2</c:v>
                </c:pt>
                <c:pt idx="6">
                  <c:v>2.2272762147162999E-2</c:v>
                </c:pt>
                <c:pt idx="7">
                  <c:v>2.2296149360884001E-2</c:v>
                </c:pt>
                <c:pt idx="8">
                  <c:v>2.2341867635022002E-2</c:v>
                </c:pt>
                <c:pt idx="9">
                  <c:v>2.2456499189911001E-2</c:v>
                </c:pt>
                <c:pt idx="10">
                  <c:v>2.2472103753749001E-2</c:v>
                </c:pt>
                <c:pt idx="11">
                  <c:v>2.2606549979381999E-2</c:v>
                </c:pt>
                <c:pt idx="12">
                  <c:v>2.2619730159845999E-2</c:v>
                </c:pt>
                <c:pt idx="13">
                  <c:v>2.2650203206787001E-2</c:v>
                </c:pt>
                <c:pt idx="14">
                  <c:v>2.2661256572908E-2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96-49AA-A6D6-912B0573F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 rapp'!$J$121:$J$135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 rapp'!$H$121:$H$135</c:f>
              <c:numCache>
                <c:formatCode>General</c:formatCode>
                <c:ptCount val="15"/>
                <c:pt idx="0">
                  <c:v>3.2599996440944003E-2</c:v>
                </c:pt>
                <c:pt idx="1">
                  <c:v>3.2720510555415E-2</c:v>
                </c:pt>
                <c:pt idx="2">
                  <c:v>3.2957623109732999E-2</c:v>
                </c:pt>
                <c:pt idx="3">
                  <c:v>3.3411820641434997E-2</c:v>
                </c:pt>
                <c:pt idx="4">
                  <c:v>3.3456766362532003E-2</c:v>
                </c:pt>
                <c:pt idx="5">
                  <c:v>3.3526410387224002E-2</c:v>
                </c:pt>
                <c:pt idx="6">
                  <c:v>3.3610606325715997E-2</c:v>
                </c:pt>
                <c:pt idx="7">
                  <c:v>3.3740679157824999E-2</c:v>
                </c:pt>
                <c:pt idx="8">
                  <c:v>3.3785711609510001E-2</c:v>
                </c:pt>
                <c:pt idx="9">
                  <c:v>3.4022742722326998E-2</c:v>
                </c:pt>
                <c:pt idx="10">
                  <c:v>3.4106726239019003E-2</c:v>
                </c:pt>
                <c:pt idx="11">
                  <c:v>3.4170245638984E-2</c:v>
                </c:pt>
                <c:pt idx="12">
                  <c:v>3.4209885902953999E-2</c:v>
                </c:pt>
                <c:pt idx="13">
                  <c:v>3.4215709253426999E-2</c:v>
                </c:pt>
                <c:pt idx="14">
                  <c:v>3.5083805444661997E-2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7-4F11-B6D3-3E7D0959C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 rapp'!$J$138:$J$152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 rapp'!$H$138:$H$152</c:f>
              <c:numCache>
                <c:formatCode>General</c:formatCode>
                <c:ptCount val="15"/>
                <c:pt idx="0">
                  <c:v>9.0550539326126993E-3</c:v>
                </c:pt>
                <c:pt idx="1">
                  <c:v>9.0977080206105006E-3</c:v>
                </c:pt>
                <c:pt idx="2">
                  <c:v>9.1028968319480999E-3</c:v>
                </c:pt>
                <c:pt idx="3">
                  <c:v>9.1046320482448002E-3</c:v>
                </c:pt>
                <c:pt idx="4">
                  <c:v>9.1107579170644996E-3</c:v>
                </c:pt>
                <c:pt idx="5">
                  <c:v>9.1160563486025002E-3</c:v>
                </c:pt>
                <c:pt idx="6">
                  <c:v>9.1182686464572997E-3</c:v>
                </c:pt>
                <c:pt idx="7">
                  <c:v>9.1225809455513993E-3</c:v>
                </c:pt>
                <c:pt idx="8">
                  <c:v>9.1227370253381002E-3</c:v>
                </c:pt>
                <c:pt idx="9">
                  <c:v>9.1288011662624003E-3</c:v>
                </c:pt>
                <c:pt idx="10">
                  <c:v>9.1376337549042997E-3</c:v>
                </c:pt>
                <c:pt idx="11">
                  <c:v>9.1445252234399008E-3</c:v>
                </c:pt>
                <c:pt idx="12">
                  <c:v>9.1493700618115997E-3</c:v>
                </c:pt>
                <c:pt idx="13">
                  <c:v>9.1524166049588001E-3</c:v>
                </c:pt>
                <c:pt idx="14">
                  <c:v>9.1644833265975001E-3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E-41CA-B98B-A4E0B291B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 rapp'!$J$155:$J$169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 rapp'!$H$155:$H$169</c:f>
              <c:numCache>
                <c:formatCode>General</c:formatCode>
                <c:ptCount val="15"/>
                <c:pt idx="0">
                  <c:v>1.1166876536318E-2</c:v>
                </c:pt>
                <c:pt idx="1">
                  <c:v>1.1234930659498E-2</c:v>
                </c:pt>
                <c:pt idx="2">
                  <c:v>1.1239426829704999E-2</c:v>
                </c:pt>
                <c:pt idx="3">
                  <c:v>1.1254517617297E-2</c:v>
                </c:pt>
                <c:pt idx="4">
                  <c:v>1.1254928387586001E-2</c:v>
                </c:pt>
                <c:pt idx="5">
                  <c:v>1.1264641480100999E-2</c:v>
                </c:pt>
                <c:pt idx="6">
                  <c:v>1.126880099696E-2</c:v>
                </c:pt>
                <c:pt idx="7">
                  <c:v>1.1274002514161999E-2</c:v>
                </c:pt>
                <c:pt idx="8">
                  <c:v>1.1285936838964001E-2</c:v>
                </c:pt>
                <c:pt idx="9">
                  <c:v>1.1307725209352E-2</c:v>
                </c:pt>
                <c:pt idx="10">
                  <c:v>1.1315046703204001E-2</c:v>
                </c:pt>
                <c:pt idx="11">
                  <c:v>1.1316548221092E-2</c:v>
                </c:pt>
                <c:pt idx="12">
                  <c:v>1.1329506251412E-2</c:v>
                </c:pt>
                <c:pt idx="13">
                  <c:v>1.1347434048896999E-2</c:v>
                </c:pt>
                <c:pt idx="14">
                  <c:v>1.1364986187815999E-2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4-4A18-9AD3-B21355DC3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 rapp'!$J$172:$J$186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 rapp'!$H$172:$H$186</c:f>
              <c:numCache>
                <c:formatCode>General</c:formatCode>
                <c:ptCount val="15"/>
                <c:pt idx="0">
                  <c:v>1.7687344656093999E-2</c:v>
                </c:pt>
                <c:pt idx="1">
                  <c:v>1.7899208993029998E-2</c:v>
                </c:pt>
                <c:pt idx="2">
                  <c:v>1.7906733102269E-2</c:v>
                </c:pt>
                <c:pt idx="3">
                  <c:v>1.79091285259E-2</c:v>
                </c:pt>
                <c:pt idx="4">
                  <c:v>1.7921036226353999E-2</c:v>
                </c:pt>
                <c:pt idx="5">
                  <c:v>1.7939920694085999E-2</c:v>
                </c:pt>
                <c:pt idx="6">
                  <c:v>1.7973696832186001E-2</c:v>
                </c:pt>
                <c:pt idx="7">
                  <c:v>1.7998732590702001E-2</c:v>
                </c:pt>
                <c:pt idx="8">
                  <c:v>1.8039434549923999E-2</c:v>
                </c:pt>
                <c:pt idx="9">
                  <c:v>1.8040204088123998E-2</c:v>
                </c:pt>
                <c:pt idx="10">
                  <c:v>1.8059909793896E-2</c:v>
                </c:pt>
                <c:pt idx="11">
                  <c:v>1.8109120880867E-2</c:v>
                </c:pt>
                <c:pt idx="12">
                  <c:v>1.8111160579685998E-2</c:v>
                </c:pt>
                <c:pt idx="13">
                  <c:v>1.8131373609058001E-2</c:v>
                </c:pt>
                <c:pt idx="14">
                  <c:v>1.8183235753543001E-2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9-4FB9-B595-0483465DD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 rapp'!$J$189:$J$203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 rapp'!$H$189:$H$203</c:f>
              <c:numCache>
                <c:formatCode>General</c:formatCode>
                <c:ptCount val="15"/>
                <c:pt idx="0">
                  <c:v>2.3151070084579999E-2</c:v>
                </c:pt>
                <c:pt idx="1">
                  <c:v>2.3374032512526E-2</c:v>
                </c:pt>
                <c:pt idx="2">
                  <c:v>2.3491136521017999E-2</c:v>
                </c:pt>
                <c:pt idx="3">
                  <c:v>2.3520761483514001E-2</c:v>
                </c:pt>
                <c:pt idx="4">
                  <c:v>2.3526361972621999E-2</c:v>
                </c:pt>
                <c:pt idx="5">
                  <c:v>2.3548826207685999E-2</c:v>
                </c:pt>
                <c:pt idx="6">
                  <c:v>2.3642412634951999E-2</c:v>
                </c:pt>
                <c:pt idx="7">
                  <c:v>2.3727971190017998E-2</c:v>
                </c:pt>
                <c:pt idx="8">
                  <c:v>2.3789629920025999E-2</c:v>
                </c:pt>
                <c:pt idx="9">
                  <c:v>2.3835982443938E-2</c:v>
                </c:pt>
                <c:pt idx="10">
                  <c:v>2.3849482712354E-2</c:v>
                </c:pt>
                <c:pt idx="11">
                  <c:v>2.3889982849327002E-2</c:v>
                </c:pt>
                <c:pt idx="12">
                  <c:v>2.3936131667524001E-2</c:v>
                </c:pt>
                <c:pt idx="13">
                  <c:v>2.3979585449048001E-2</c:v>
                </c:pt>
                <c:pt idx="14">
                  <c:v>2.3989865027974001E-2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8-4B80-941B-7A249F2A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λ'!$J$36:$J$50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λ'!$H$36:$H$50</c:f>
              <c:numCache>
                <c:formatCode>General</c:formatCode>
                <c:ptCount val="15"/>
                <c:pt idx="0">
                  <c:v>3.2599996440944003E-2</c:v>
                </c:pt>
                <c:pt idx="1">
                  <c:v>3.2720510555415E-2</c:v>
                </c:pt>
                <c:pt idx="2">
                  <c:v>3.2957623109732999E-2</c:v>
                </c:pt>
                <c:pt idx="3">
                  <c:v>3.3411820641434997E-2</c:v>
                </c:pt>
                <c:pt idx="4">
                  <c:v>3.3456766362532003E-2</c:v>
                </c:pt>
                <c:pt idx="5">
                  <c:v>3.3526410387224002E-2</c:v>
                </c:pt>
                <c:pt idx="6">
                  <c:v>3.3610606325715997E-2</c:v>
                </c:pt>
                <c:pt idx="7">
                  <c:v>3.3740679157824999E-2</c:v>
                </c:pt>
                <c:pt idx="8">
                  <c:v>3.3785711609510001E-2</c:v>
                </c:pt>
                <c:pt idx="9">
                  <c:v>3.4022742722326998E-2</c:v>
                </c:pt>
                <c:pt idx="10">
                  <c:v>3.4106726239019003E-2</c:v>
                </c:pt>
                <c:pt idx="11">
                  <c:v>3.4170245638984E-2</c:v>
                </c:pt>
                <c:pt idx="12">
                  <c:v>3.4209885902953999E-2</c:v>
                </c:pt>
                <c:pt idx="13">
                  <c:v>3.4215709253426999E-2</c:v>
                </c:pt>
                <c:pt idx="14">
                  <c:v>3.5083805444661997E-2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A-47EC-B89F-419805D13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 rapp'!$J$206:$J$220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 rapp'!$H$206:$H$220</c:f>
              <c:numCache>
                <c:formatCode>General</c:formatCode>
                <c:ptCount val="15"/>
                <c:pt idx="0">
                  <c:v>8.9610402817489002E-3</c:v>
                </c:pt>
                <c:pt idx="1">
                  <c:v>8.9612695581197006E-3</c:v>
                </c:pt>
                <c:pt idx="2">
                  <c:v>8.9637330611283001E-3</c:v>
                </c:pt>
                <c:pt idx="3">
                  <c:v>8.9836093442722999E-3</c:v>
                </c:pt>
                <c:pt idx="4">
                  <c:v>8.9846431406736E-3</c:v>
                </c:pt>
                <c:pt idx="5">
                  <c:v>8.9925504433545998E-3</c:v>
                </c:pt>
                <c:pt idx="6">
                  <c:v>9.0059603823504E-3</c:v>
                </c:pt>
                <c:pt idx="7">
                  <c:v>9.0060714577983002E-3</c:v>
                </c:pt>
                <c:pt idx="8">
                  <c:v>9.0065308478508993E-3</c:v>
                </c:pt>
                <c:pt idx="9">
                  <c:v>9.0071485980609996E-3</c:v>
                </c:pt>
                <c:pt idx="10">
                  <c:v>9.0297334843217007E-3</c:v>
                </c:pt>
                <c:pt idx="11">
                  <c:v>9.0323511563586995E-3</c:v>
                </c:pt>
                <c:pt idx="12">
                  <c:v>9.0463378647427008E-3</c:v>
                </c:pt>
                <c:pt idx="13">
                  <c:v>9.0518925102435008E-3</c:v>
                </c:pt>
                <c:pt idx="14">
                  <c:v>9.0582641812672008E-3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0E-4D4E-A439-107797587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 rapp'!$J$223:$J$237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 rapp'!$H$223:$H$237</c:f>
              <c:numCache>
                <c:formatCode>General</c:formatCode>
                <c:ptCount val="15"/>
                <c:pt idx="0">
                  <c:v>1.0853521760298E-2</c:v>
                </c:pt>
                <c:pt idx="1">
                  <c:v>1.0907429681999E-2</c:v>
                </c:pt>
                <c:pt idx="2">
                  <c:v>1.0937554563782001E-2</c:v>
                </c:pt>
                <c:pt idx="3">
                  <c:v>1.0937867290985E-2</c:v>
                </c:pt>
                <c:pt idx="4">
                  <c:v>1.0944964351674E-2</c:v>
                </c:pt>
                <c:pt idx="5">
                  <c:v>1.0950879859368001E-2</c:v>
                </c:pt>
                <c:pt idx="6">
                  <c:v>1.0951052408027E-2</c:v>
                </c:pt>
                <c:pt idx="7">
                  <c:v>1.0954282063683001E-2</c:v>
                </c:pt>
                <c:pt idx="8">
                  <c:v>1.0967684812664E-2</c:v>
                </c:pt>
                <c:pt idx="9">
                  <c:v>1.0973492195188001E-2</c:v>
                </c:pt>
                <c:pt idx="10">
                  <c:v>1.0986030410749E-2</c:v>
                </c:pt>
                <c:pt idx="11">
                  <c:v>1.0994750725793E-2</c:v>
                </c:pt>
                <c:pt idx="12">
                  <c:v>1.1028376039254001E-2</c:v>
                </c:pt>
                <c:pt idx="13">
                  <c:v>1.1044260064278E-2</c:v>
                </c:pt>
                <c:pt idx="14">
                  <c:v>1.1064290757279001E-2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8-4C24-B62D-C0C34ED7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 rapp'!$J$240:$J$254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 rapp'!$H$240:$H$254</c:f>
              <c:numCache>
                <c:formatCode>General</c:formatCode>
                <c:ptCount val="15"/>
                <c:pt idx="0">
                  <c:v>1.6631474679056998E-2</c:v>
                </c:pt>
                <c:pt idx="1">
                  <c:v>1.6689801953589E-2</c:v>
                </c:pt>
                <c:pt idx="2">
                  <c:v>1.669241590642E-2</c:v>
                </c:pt>
                <c:pt idx="3">
                  <c:v>1.6778576696014E-2</c:v>
                </c:pt>
                <c:pt idx="4">
                  <c:v>1.6781404939445001E-2</c:v>
                </c:pt>
                <c:pt idx="5">
                  <c:v>1.6812646179312E-2</c:v>
                </c:pt>
                <c:pt idx="6">
                  <c:v>1.6812712776908E-2</c:v>
                </c:pt>
                <c:pt idx="7">
                  <c:v>1.6836008062290998E-2</c:v>
                </c:pt>
                <c:pt idx="8">
                  <c:v>1.6856342423899998E-2</c:v>
                </c:pt>
                <c:pt idx="9">
                  <c:v>1.6861625154391002E-2</c:v>
                </c:pt>
                <c:pt idx="10">
                  <c:v>1.6865760284684998E-2</c:v>
                </c:pt>
                <c:pt idx="11">
                  <c:v>1.6883779746317999E-2</c:v>
                </c:pt>
                <c:pt idx="12">
                  <c:v>1.6898626330528001E-2</c:v>
                </c:pt>
                <c:pt idx="13">
                  <c:v>1.6931233322677E-2</c:v>
                </c:pt>
                <c:pt idx="14">
                  <c:v>1.7029921634667999E-2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BC-4852-8CF4-E7E0AD14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 rapp'!$J$257:$J$271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 rapp'!$H$257:$H$271</c:f>
              <c:numCache>
                <c:formatCode>General</c:formatCode>
                <c:ptCount val="15"/>
                <c:pt idx="0">
                  <c:v>2.1033075287623E-2</c:v>
                </c:pt>
                <c:pt idx="1">
                  <c:v>2.1243002560439001E-2</c:v>
                </c:pt>
                <c:pt idx="2">
                  <c:v>2.1311045280217999E-2</c:v>
                </c:pt>
                <c:pt idx="3">
                  <c:v>2.134686810072E-2</c:v>
                </c:pt>
                <c:pt idx="4">
                  <c:v>2.1355071471684001E-2</c:v>
                </c:pt>
                <c:pt idx="5">
                  <c:v>2.141514673821E-2</c:v>
                </c:pt>
                <c:pt idx="6">
                  <c:v>2.141799155897E-2</c:v>
                </c:pt>
                <c:pt idx="7">
                  <c:v>2.1479777592701001E-2</c:v>
                </c:pt>
                <c:pt idx="8">
                  <c:v>2.1491107388706E-2</c:v>
                </c:pt>
                <c:pt idx="9">
                  <c:v>2.1493649627054998E-2</c:v>
                </c:pt>
                <c:pt idx="10">
                  <c:v>2.1518332893508001E-2</c:v>
                </c:pt>
                <c:pt idx="11">
                  <c:v>2.1519081118733002E-2</c:v>
                </c:pt>
                <c:pt idx="12">
                  <c:v>2.1522691704604E-2</c:v>
                </c:pt>
                <c:pt idx="13">
                  <c:v>2.1549137315787E-2</c:v>
                </c:pt>
                <c:pt idx="14">
                  <c:v>2.1564184544703002E-2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20-4256-BD00-0415FD732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μλ'!$J$2:$J$16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μλ'!$H$2:$H$16</c:f>
              <c:numCache>
                <c:formatCode>General</c:formatCode>
                <c:ptCount val="15"/>
                <c:pt idx="0">
                  <c:v>9.6953091888462E-3</c:v>
                </c:pt>
                <c:pt idx="1">
                  <c:v>9.7660398783830996E-3</c:v>
                </c:pt>
                <c:pt idx="2">
                  <c:v>9.7739862057435994E-3</c:v>
                </c:pt>
                <c:pt idx="3">
                  <c:v>9.7857580250463004E-3</c:v>
                </c:pt>
                <c:pt idx="4">
                  <c:v>9.7870077611414003E-3</c:v>
                </c:pt>
                <c:pt idx="5">
                  <c:v>9.7969382111840995E-3</c:v>
                </c:pt>
                <c:pt idx="6">
                  <c:v>9.8032706727616999E-3</c:v>
                </c:pt>
                <c:pt idx="7">
                  <c:v>9.8106652524677998E-3</c:v>
                </c:pt>
                <c:pt idx="8">
                  <c:v>9.8187001124904003E-3</c:v>
                </c:pt>
                <c:pt idx="9">
                  <c:v>9.8242978141037992E-3</c:v>
                </c:pt>
                <c:pt idx="10">
                  <c:v>9.8326104295244996E-3</c:v>
                </c:pt>
                <c:pt idx="11">
                  <c:v>9.8368871064311997E-3</c:v>
                </c:pt>
                <c:pt idx="12">
                  <c:v>9.8451328506039999E-3</c:v>
                </c:pt>
                <c:pt idx="13">
                  <c:v>9.8801281724421007E-3</c:v>
                </c:pt>
                <c:pt idx="14">
                  <c:v>9.913994332902E-3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DF-46E3-BC37-7A35406F4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Exponential</a:t>
            </a:r>
            <a:r>
              <a:rPr lang="it-IT" sz="1800" baseline="0"/>
              <a:t> f</a:t>
            </a:r>
            <a:r>
              <a:rPr lang="it-IT" sz="1800"/>
              <a:t>itting of Q10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5582479529960233"/>
                  <c:y val="6.46059577125350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0,0516e</a:t>
                    </a:r>
                    <a:r>
                      <a:rPr lang="en-US" sz="1600" baseline="30000"/>
                      <a:t>-192,9x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μλ'!$B$277:$B$292</c:f>
              <c:numCache>
                <c:formatCode>General</c:formatCode>
                <c:ptCount val="16"/>
                <c:pt idx="0">
                  <c:v>6.0000000000000001E-3</c:v>
                </c:pt>
                <c:pt idx="1">
                  <c:v>5.0000000000000001E-3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7.0000000000000001E-3</c:v>
                </c:pt>
                <c:pt idx="5">
                  <c:v>6.0000000000000001E-3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9.0000000000000011E-3</c:v>
                </c:pt>
                <c:pt idx="9">
                  <c:v>8.0000000000000002E-3</c:v>
                </c:pt>
                <c:pt idx="10">
                  <c:v>6.0000000000000001E-3</c:v>
                </c:pt>
                <c:pt idx="11">
                  <c:v>5.0000000000000001E-3</c:v>
                </c:pt>
                <c:pt idx="12">
                  <c:v>0.01</c:v>
                </c:pt>
                <c:pt idx="13">
                  <c:v>9.0000000000000011E-3</c:v>
                </c:pt>
                <c:pt idx="14">
                  <c:v>7.0000000000000001E-3</c:v>
                </c:pt>
                <c:pt idx="15">
                  <c:v>6.0000000000000001E-3</c:v>
                </c:pt>
              </c:numCache>
            </c:numRef>
          </c:xVal>
          <c:yVal>
            <c:numRef>
              <c:f>'Linear regression for μλ'!$C$277:$C$292</c:f>
              <c:numCache>
                <c:formatCode>General</c:formatCode>
                <c:ptCount val="16"/>
                <c:pt idx="0">
                  <c:v>9.8113817342714797E-3</c:v>
                </c:pt>
                <c:pt idx="1">
                  <c:v>1.2948571300472732E-2</c:v>
                </c:pt>
                <c:pt idx="2">
                  <c:v>2.7120278641667668E-2</c:v>
                </c:pt>
                <c:pt idx="3">
                  <c:v>4.9064986412869271E-2</c:v>
                </c:pt>
                <c:pt idx="4">
                  <c:v>9.4952011103446587E-3</c:v>
                </c:pt>
                <c:pt idx="5">
                  <c:v>1.2184874943363668E-2</c:v>
                </c:pt>
                <c:pt idx="6">
                  <c:v>2.2310859269481401E-2</c:v>
                </c:pt>
                <c:pt idx="7">
                  <c:v>3.3707949319447129E-2</c:v>
                </c:pt>
                <c:pt idx="8">
                  <c:v>9.1218614569602927E-3</c:v>
                </c:pt>
                <c:pt idx="9">
                  <c:v>1.1281687232157602E-2</c:v>
                </c:pt>
                <c:pt idx="10">
                  <c:v>1.7994016058381263E-2</c:v>
                </c:pt>
                <c:pt idx="11">
                  <c:v>2.3683548845140463E-2</c:v>
                </c:pt>
                <c:pt idx="12">
                  <c:v>9.0060757541527876E-3</c:v>
                </c:pt>
                <c:pt idx="13">
                  <c:v>1.0966429132334733E-2</c:v>
                </c:pt>
                <c:pt idx="14">
                  <c:v>1.682415533934687E-2</c:v>
                </c:pt>
                <c:pt idx="15">
                  <c:v>2.1417344212244064E-2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6-4860-86D8-DAB053C62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Linear Fitting of the transformation of Q10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978312659099239"/>
                  <c:y val="0.10944656137086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-192,93x - 2,9639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μλ'!$B$300:$B$315</c:f>
              <c:numCache>
                <c:formatCode>General</c:formatCode>
                <c:ptCount val="16"/>
                <c:pt idx="0">
                  <c:v>6.0000000000000001E-3</c:v>
                </c:pt>
                <c:pt idx="1">
                  <c:v>5.0000000000000001E-3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7.0000000000000001E-3</c:v>
                </c:pt>
                <c:pt idx="5">
                  <c:v>6.0000000000000001E-3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9.0000000000000011E-3</c:v>
                </c:pt>
                <c:pt idx="9">
                  <c:v>8.0000000000000002E-3</c:v>
                </c:pt>
                <c:pt idx="10">
                  <c:v>6.0000000000000001E-3</c:v>
                </c:pt>
                <c:pt idx="11">
                  <c:v>5.0000000000000001E-3</c:v>
                </c:pt>
                <c:pt idx="12">
                  <c:v>0.01</c:v>
                </c:pt>
                <c:pt idx="13">
                  <c:v>9.0000000000000011E-3</c:v>
                </c:pt>
                <c:pt idx="14">
                  <c:v>7.0000000000000001E-3</c:v>
                </c:pt>
                <c:pt idx="15">
                  <c:v>6.0000000000000001E-3</c:v>
                </c:pt>
              </c:numCache>
            </c:numRef>
          </c:xVal>
          <c:yVal>
            <c:numRef>
              <c:f>'Linear regression for μλ'!$C$300:$C$315</c:f>
              <c:numCache>
                <c:formatCode>General</c:formatCode>
                <c:ptCount val="16"/>
                <c:pt idx="0">
                  <c:v>-4.6242121657542761</c:v>
                </c:pt>
                <c:pt idx="1">
                  <c:v>-4.3467698212105823</c:v>
                </c:pt>
                <c:pt idx="2">
                  <c:v>-3.6074735415649481</c:v>
                </c:pt>
                <c:pt idx="3">
                  <c:v>-3.0146096062447563</c:v>
                </c:pt>
                <c:pt idx="4">
                  <c:v>-4.6569687542845157</c:v>
                </c:pt>
                <c:pt idx="5">
                  <c:v>-4.4075598551202386</c:v>
                </c:pt>
                <c:pt idx="6">
                  <c:v>-3.8026817562869364</c:v>
                </c:pt>
                <c:pt idx="7">
                  <c:v>-3.3900215845902149</c:v>
                </c:pt>
                <c:pt idx="8">
                  <c:v>-4.6970813886000826</c:v>
                </c:pt>
                <c:pt idx="9">
                  <c:v>-4.4845744667788594</c:v>
                </c:pt>
                <c:pt idx="10">
                  <c:v>-4.0177160175578388</c:v>
                </c:pt>
                <c:pt idx="11">
                  <c:v>-3.7429746134241002</c:v>
                </c:pt>
                <c:pt idx="12">
                  <c:v>-4.7098558456177262</c:v>
                </c:pt>
                <c:pt idx="13">
                  <c:v>-4.5129165697790201</c:v>
                </c:pt>
                <c:pt idx="14">
                  <c:v>-4.0849396074249542</c:v>
                </c:pt>
                <c:pt idx="15">
                  <c:v>-3.8435542080059641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AD-4735-8752-68796A4A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94904"/>
        <c:axId val="326189000"/>
      </c:scatterChart>
      <c:valAx>
        <c:axId val="3261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89000"/>
        <c:crosses val="autoZero"/>
        <c:crossBetween val="midCat"/>
      </c:valAx>
      <c:valAx>
        <c:axId val="3261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1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'[1]Linear Regression for δμ'!$C$323:$C$338</c:f>
              <c:numCache>
                <c:formatCode>General</c:formatCode>
                <c:ptCount val="16"/>
                <c:pt idx="0">
                  <c:v>-1.8657648402099227</c:v>
                </c:pt>
                <c:pt idx="1">
                  <c:v>-1.3178098407415364</c:v>
                </c:pt>
                <c:pt idx="2">
                  <c:v>-1.0082783038771823</c:v>
                </c:pt>
                <c:pt idx="3">
                  <c:v>-0.77427005635431245</c:v>
                </c:pt>
                <c:pt idx="4">
                  <c:v>-0.57709366971925891</c:v>
                </c:pt>
                <c:pt idx="5">
                  <c:v>-0.4006301257381869</c:v>
                </c:pt>
                <c:pt idx="6">
                  <c:v>-0.23617194000999964</c:v>
                </c:pt>
                <c:pt idx="7">
                  <c:v>-7.8059966366998385E-2</c:v>
                </c:pt>
                <c:pt idx="8">
                  <c:v>7.8059966366998385E-2</c:v>
                </c:pt>
                <c:pt idx="9">
                  <c:v>0.23617194000999964</c:v>
                </c:pt>
                <c:pt idx="10">
                  <c:v>0.4006301257381869</c:v>
                </c:pt>
                <c:pt idx="11">
                  <c:v>0.57709366971925891</c:v>
                </c:pt>
                <c:pt idx="12">
                  <c:v>0.77427005635431245</c:v>
                </c:pt>
                <c:pt idx="13">
                  <c:v>1.0082783038771823</c:v>
                </c:pt>
                <c:pt idx="14">
                  <c:v>1.3178098407415364</c:v>
                </c:pt>
                <c:pt idx="15">
                  <c:v>1.8657648402099227</c:v>
                </c:pt>
              </c:numCache>
            </c:numRef>
          </c:xVal>
          <c:yVal>
            <c:numRef>
              <c:f>'[1]Linear Regression for δμ'!$A$323:$A$338</c:f>
              <c:numCache>
                <c:formatCode>General</c:formatCode>
                <c:ptCount val="16"/>
                <c:pt idx="0">
                  <c:v>-8.9840475287815025E-2</c:v>
                </c:pt>
                <c:pt idx="1">
                  <c:v>-7.8724427262525154E-2</c:v>
                </c:pt>
                <c:pt idx="2">
                  <c:v>-6.565405772998556E-2</c:v>
                </c:pt>
                <c:pt idx="3">
                  <c:v>-5.3328111356491625E-2</c:v>
                </c:pt>
                <c:pt idx="4">
                  <c:v>-4.7907886396748367E-2</c:v>
                </c:pt>
                <c:pt idx="5">
                  <c:v>-3.7077649668187718E-2</c:v>
                </c:pt>
                <c:pt idx="6">
                  <c:v>-3.6177491376094828E-2</c:v>
                </c:pt>
                <c:pt idx="7">
                  <c:v>-2.5008044865908019E-2</c:v>
                </c:pt>
                <c:pt idx="8">
                  <c:v>3.8031103559621471E-3</c:v>
                </c:pt>
                <c:pt idx="9">
                  <c:v>2.0168726863156294E-2</c:v>
                </c:pt>
                <c:pt idx="10">
                  <c:v>2.2452721333573677E-2</c:v>
                </c:pt>
                <c:pt idx="11">
                  <c:v>4.76747984020367E-2</c:v>
                </c:pt>
                <c:pt idx="12">
                  <c:v>5.5826727987180469E-2</c:v>
                </c:pt>
                <c:pt idx="13">
                  <c:v>5.8504738385787292E-2</c:v>
                </c:pt>
                <c:pt idx="14">
                  <c:v>0.11281874079669052</c:v>
                </c:pt>
                <c:pt idx="15">
                  <c:v>0.11305306640934276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C1-4926-A406-BBFD1E9AC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52328"/>
        <c:axId val="796255608"/>
      </c:scatterChart>
      <c:valAx>
        <c:axId val="79625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255608"/>
        <c:crosses val="autoZero"/>
        <c:crossBetween val="midCat"/>
      </c:valAx>
      <c:valAx>
        <c:axId val="79625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62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constant 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for μλ'!$B$342:$B$357</c:f>
              <c:numCache>
                <c:formatCode>General</c:formatCode>
                <c:ptCount val="16"/>
                <c:pt idx="0">
                  <c:v>-2.9639000000000002</c:v>
                </c:pt>
                <c:pt idx="1">
                  <c:v>-4.12148</c:v>
                </c:pt>
                <c:pt idx="2">
                  <c:v>-3.9285500000000004</c:v>
                </c:pt>
                <c:pt idx="3">
                  <c:v>-3.5426900000000003</c:v>
                </c:pt>
                <c:pt idx="4">
                  <c:v>-3.3497600000000003</c:v>
                </c:pt>
                <c:pt idx="5">
                  <c:v>-4.3144100000000005</c:v>
                </c:pt>
                <c:pt idx="6">
                  <c:v>-4.12148</c:v>
                </c:pt>
                <c:pt idx="7">
                  <c:v>-3.7356200000000004</c:v>
                </c:pt>
                <c:pt idx="8">
                  <c:v>-3.5426900000000003</c:v>
                </c:pt>
                <c:pt idx="9">
                  <c:v>-4.7002700000000006</c:v>
                </c:pt>
                <c:pt idx="10">
                  <c:v>-4.5073400000000001</c:v>
                </c:pt>
                <c:pt idx="11">
                  <c:v>-4.12148</c:v>
                </c:pt>
                <c:pt idx="12">
                  <c:v>-3.9285500000000004</c:v>
                </c:pt>
                <c:pt idx="13">
                  <c:v>-4.8932000000000002</c:v>
                </c:pt>
                <c:pt idx="14">
                  <c:v>-4.7002700000000006</c:v>
                </c:pt>
                <c:pt idx="15">
                  <c:v>-4.3144100000000005</c:v>
                </c:pt>
              </c:numCache>
            </c:numRef>
          </c:xVal>
          <c:yVal>
            <c:numRef>
              <c:f>'Linear regression for μλ'!$A$342:$A$357</c:f>
              <c:numCache>
                <c:formatCode>General</c:formatCode>
                <c:ptCount val="16"/>
                <c:pt idx="0">
                  <c:v>-0.5027321657542756</c:v>
                </c:pt>
                <c:pt idx="1">
                  <c:v>-0.41821982121058232</c:v>
                </c:pt>
                <c:pt idx="2">
                  <c:v>-6.4783541564947811E-2</c:v>
                </c:pt>
                <c:pt idx="3">
                  <c:v>0.33515039375524402</c:v>
                </c:pt>
                <c:pt idx="4">
                  <c:v>-0.34255875428451565</c:v>
                </c:pt>
                <c:pt idx="5">
                  <c:v>-0.28607985512023815</c:v>
                </c:pt>
                <c:pt idx="6">
                  <c:v>-6.7061756286936003E-2</c:v>
                </c:pt>
                <c:pt idx="7">
                  <c:v>0.15266841540978549</c:v>
                </c:pt>
                <c:pt idx="8">
                  <c:v>3.1886113999175514E-3</c:v>
                </c:pt>
                <c:pt idx="9">
                  <c:v>2.2765533221141165E-2</c:v>
                </c:pt>
                <c:pt idx="10">
                  <c:v>0.10376398244216167</c:v>
                </c:pt>
                <c:pt idx="11">
                  <c:v>0.18557538657589978</c:v>
                </c:pt>
                <c:pt idx="12">
                  <c:v>0.18334415438227403</c:v>
                </c:pt>
                <c:pt idx="13">
                  <c:v>0.18735343022098006</c:v>
                </c:pt>
                <c:pt idx="14">
                  <c:v>0.22947039257504587</c:v>
                </c:pt>
                <c:pt idx="15">
                  <c:v>0.27792579199403589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57-41CE-824C-90BEFCC9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01632"/>
        <c:axId val="437902288"/>
      </c:scatterChart>
      <c:valAx>
        <c:axId val="4379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902288"/>
        <c:crosses val="autoZero"/>
        <c:crossBetween val="midCat"/>
      </c:valAx>
      <c:valAx>
        <c:axId val="4379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9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Testing Independence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 for μλ'!$B$361:$B$376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'Linear regression for μλ'!$A$361:$A$376</c:f>
              <c:numCache>
                <c:formatCode>General</c:formatCode>
                <c:ptCount val="16"/>
                <c:pt idx="0">
                  <c:v>-0.5027321657542756</c:v>
                </c:pt>
                <c:pt idx="1">
                  <c:v>-0.41821982121058232</c:v>
                </c:pt>
                <c:pt idx="2">
                  <c:v>-6.4783541564947811E-2</c:v>
                </c:pt>
                <c:pt idx="3">
                  <c:v>0.33515039375524402</c:v>
                </c:pt>
                <c:pt idx="4">
                  <c:v>-0.34255875428451565</c:v>
                </c:pt>
                <c:pt idx="5">
                  <c:v>-0.28607985512023815</c:v>
                </c:pt>
                <c:pt idx="6">
                  <c:v>-6.7061756286936003E-2</c:v>
                </c:pt>
                <c:pt idx="7">
                  <c:v>0.15266841540978549</c:v>
                </c:pt>
                <c:pt idx="8">
                  <c:v>3.1886113999175514E-3</c:v>
                </c:pt>
                <c:pt idx="9">
                  <c:v>2.2765533221141165E-2</c:v>
                </c:pt>
                <c:pt idx="10">
                  <c:v>0.10376398244216167</c:v>
                </c:pt>
                <c:pt idx="11">
                  <c:v>0.18557538657589978</c:v>
                </c:pt>
                <c:pt idx="12">
                  <c:v>0.18334415438227403</c:v>
                </c:pt>
                <c:pt idx="13">
                  <c:v>0.18735343022098006</c:v>
                </c:pt>
                <c:pt idx="14">
                  <c:v>0.22947039257504587</c:v>
                </c:pt>
                <c:pt idx="15">
                  <c:v>0.27792579199403589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B-41EC-AC9E-B69C89C3D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742304"/>
        <c:axId val="756741320"/>
      </c:scatterChart>
      <c:valAx>
        <c:axId val="7567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741320"/>
        <c:crosses val="autoZero"/>
        <c:crossBetween val="midCat"/>
      </c:valAx>
      <c:valAx>
        <c:axId val="7567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7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λ'!$J$53:$J$67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λ'!$H$53:$H$67</c:f>
              <c:numCache>
                <c:formatCode>General</c:formatCode>
                <c:ptCount val="15"/>
                <c:pt idx="0">
                  <c:v>2.9148808568737E-2</c:v>
                </c:pt>
                <c:pt idx="1">
                  <c:v>2.923400101385E-2</c:v>
                </c:pt>
                <c:pt idx="2">
                  <c:v>2.9290764279952999E-2</c:v>
                </c:pt>
                <c:pt idx="3">
                  <c:v>2.9617310258401999E-2</c:v>
                </c:pt>
                <c:pt idx="4">
                  <c:v>2.9762543930627001E-2</c:v>
                </c:pt>
                <c:pt idx="5">
                  <c:v>2.9778495528072001E-2</c:v>
                </c:pt>
                <c:pt idx="6">
                  <c:v>2.9931134889351001E-2</c:v>
                </c:pt>
                <c:pt idx="7">
                  <c:v>2.9977799179064998E-2</c:v>
                </c:pt>
                <c:pt idx="8">
                  <c:v>3.0020270908104E-2</c:v>
                </c:pt>
                <c:pt idx="9">
                  <c:v>3.0044998245021999E-2</c:v>
                </c:pt>
                <c:pt idx="10">
                  <c:v>3.0072466285115999E-2</c:v>
                </c:pt>
                <c:pt idx="11">
                  <c:v>3.0264812886184999E-2</c:v>
                </c:pt>
                <c:pt idx="12">
                  <c:v>3.0520039433359E-2</c:v>
                </c:pt>
                <c:pt idx="13">
                  <c:v>3.0541419101361E-2</c:v>
                </c:pt>
                <c:pt idx="14">
                  <c:v>3.1031978309021001E-2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F-42F6-9B03-8FEB2208C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μλ'!$J$19:$J$33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μλ'!$H$19:$H$33</c:f>
              <c:numCache>
                <c:formatCode>General</c:formatCode>
                <c:ptCount val="15"/>
                <c:pt idx="0">
                  <c:v>1.2828443102954E-2</c:v>
                </c:pt>
                <c:pt idx="1">
                  <c:v>1.2854701060384E-2</c:v>
                </c:pt>
                <c:pt idx="2">
                  <c:v>1.2854842403286999E-2</c:v>
                </c:pt>
                <c:pt idx="3">
                  <c:v>1.2871783377291999E-2</c:v>
                </c:pt>
                <c:pt idx="4">
                  <c:v>1.2874919079826999E-2</c:v>
                </c:pt>
                <c:pt idx="5">
                  <c:v>1.2908311061363999E-2</c:v>
                </c:pt>
                <c:pt idx="6">
                  <c:v>1.2922676502639001E-2</c:v>
                </c:pt>
                <c:pt idx="7">
                  <c:v>1.2932048108786001E-2</c:v>
                </c:pt>
                <c:pt idx="8">
                  <c:v>1.2995542127655E-2</c:v>
                </c:pt>
                <c:pt idx="9">
                  <c:v>1.3019364238455001E-2</c:v>
                </c:pt>
                <c:pt idx="10">
                  <c:v>1.3021301762985001E-2</c:v>
                </c:pt>
                <c:pt idx="11">
                  <c:v>1.3026254308484E-2</c:v>
                </c:pt>
                <c:pt idx="12">
                  <c:v>1.3028803209622001E-2</c:v>
                </c:pt>
                <c:pt idx="13">
                  <c:v>1.3040588097385E-2</c:v>
                </c:pt>
                <c:pt idx="14">
                  <c:v>1.3048991065972E-2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8-416A-946C-BC1AB1915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μλ'!$J$36:$J$50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μλ'!$H$36:$H$50</c:f>
              <c:numCache>
                <c:formatCode>General</c:formatCode>
                <c:ptCount val="15"/>
                <c:pt idx="0">
                  <c:v>2.6109488619915001E-2</c:v>
                </c:pt>
                <c:pt idx="1">
                  <c:v>2.6538231897573001E-2</c:v>
                </c:pt>
                <c:pt idx="2">
                  <c:v>2.6931122765371001E-2</c:v>
                </c:pt>
                <c:pt idx="3">
                  <c:v>2.6949400295111999E-2</c:v>
                </c:pt>
                <c:pt idx="4">
                  <c:v>2.6955938940508E-2</c:v>
                </c:pt>
                <c:pt idx="5">
                  <c:v>2.696214821779E-2</c:v>
                </c:pt>
                <c:pt idx="6">
                  <c:v>2.7063130655315001E-2</c:v>
                </c:pt>
                <c:pt idx="7">
                  <c:v>2.7207548285167998E-2</c:v>
                </c:pt>
                <c:pt idx="8">
                  <c:v>2.7235079154607999E-2</c:v>
                </c:pt>
                <c:pt idx="9">
                  <c:v>2.7327077478116999E-2</c:v>
                </c:pt>
                <c:pt idx="10">
                  <c:v>2.7351342143787E-2</c:v>
                </c:pt>
                <c:pt idx="11">
                  <c:v>2.7358768686236001E-2</c:v>
                </c:pt>
                <c:pt idx="12">
                  <c:v>2.7405593190374E-2</c:v>
                </c:pt>
                <c:pt idx="13">
                  <c:v>2.7704495604266001E-2</c:v>
                </c:pt>
                <c:pt idx="14">
                  <c:v>2.7704813690875001E-2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B1-455B-96F4-0D82A266F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μλ'!$J$53:$J$67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μλ'!$H$53:$H$67</c:f>
              <c:numCache>
                <c:formatCode>General</c:formatCode>
                <c:ptCount val="15"/>
                <c:pt idx="0">
                  <c:v>4.6367373720597002E-2</c:v>
                </c:pt>
                <c:pt idx="1">
                  <c:v>4.6969923720914998E-2</c:v>
                </c:pt>
                <c:pt idx="2">
                  <c:v>4.7570472295978002E-2</c:v>
                </c:pt>
                <c:pt idx="3">
                  <c:v>4.7953518445475997E-2</c:v>
                </c:pt>
                <c:pt idx="4">
                  <c:v>4.8391054084948003E-2</c:v>
                </c:pt>
                <c:pt idx="5">
                  <c:v>4.8396561820179998E-2</c:v>
                </c:pt>
                <c:pt idx="6">
                  <c:v>4.8435904095052003E-2</c:v>
                </c:pt>
                <c:pt idx="7">
                  <c:v>4.8905881375489998E-2</c:v>
                </c:pt>
                <c:pt idx="8">
                  <c:v>4.9902057698127E-2</c:v>
                </c:pt>
                <c:pt idx="9">
                  <c:v>5.0001310925120002E-2</c:v>
                </c:pt>
                <c:pt idx="10">
                  <c:v>5.0111427253846999E-2</c:v>
                </c:pt>
                <c:pt idx="11">
                  <c:v>5.0270273948836E-2</c:v>
                </c:pt>
                <c:pt idx="12">
                  <c:v>5.0698412247793999E-2</c:v>
                </c:pt>
                <c:pt idx="13">
                  <c:v>5.0758645099396003E-2</c:v>
                </c:pt>
                <c:pt idx="14">
                  <c:v>5.1241979461282998E-2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1-451E-AD6C-68F4ED41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μλ'!$J$70:$J$84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μλ'!$H$70:$H$84</c:f>
              <c:numCache>
                <c:formatCode>General</c:formatCode>
                <c:ptCount val="15"/>
                <c:pt idx="0">
                  <c:v>9.4383955133199998E-3</c:v>
                </c:pt>
                <c:pt idx="1">
                  <c:v>9.4466588360978005E-3</c:v>
                </c:pt>
                <c:pt idx="2">
                  <c:v>9.4580888957436996E-3</c:v>
                </c:pt>
                <c:pt idx="3">
                  <c:v>9.4649293931175008E-3</c:v>
                </c:pt>
                <c:pt idx="4">
                  <c:v>9.4789234045403008E-3</c:v>
                </c:pt>
                <c:pt idx="5">
                  <c:v>9.4801296491688995E-3</c:v>
                </c:pt>
                <c:pt idx="6">
                  <c:v>9.4813937343978996E-3</c:v>
                </c:pt>
                <c:pt idx="7">
                  <c:v>9.4861270680099002E-3</c:v>
                </c:pt>
                <c:pt idx="8">
                  <c:v>9.4880215403521009E-3</c:v>
                </c:pt>
                <c:pt idx="9">
                  <c:v>9.4895210679932993E-3</c:v>
                </c:pt>
                <c:pt idx="10">
                  <c:v>9.4918178227063991E-3</c:v>
                </c:pt>
                <c:pt idx="11">
                  <c:v>9.5375517898871002E-3</c:v>
                </c:pt>
                <c:pt idx="12">
                  <c:v>9.5526360197091004E-3</c:v>
                </c:pt>
                <c:pt idx="13">
                  <c:v>9.5606811423316999E-3</c:v>
                </c:pt>
                <c:pt idx="14">
                  <c:v>9.5731407777941997E-3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9-49C0-A30F-97FC34BE7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μλ'!$J$87:$J$101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μλ'!$H$87:$H$101</c:f>
              <c:numCache>
                <c:formatCode>General</c:formatCode>
                <c:ptCount val="15"/>
                <c:pt idx="0">
                  <c:v>1.2029355942457E-2</c:v>
                </c:pt>
                <c:pt idx="1">
                  <c:v>1.2097957420023E-2</c:v>
                </c:pt>
                <c:pt idx="2">
                  <c:v>1.2100847051791E-2</c:v>
                </c:pt>
                <c:pt idx="3">
                  <c:v>1.211190414965E-2</c:v>
                </c:pt>
                <c:pt idx="4">
                  <c:v>1.2124245703517E-2</c:v>
                </c:pt>
                <c:pt idx="5">
                  <c:v>1.2138944333759999E-2</c:v>
                </c:pt>
                <c:pt idx="6">
                  <c:v>1.2147929968125E-2</c:v>
                </c:pt>
                <c:pt idx="7">
                  <c:v>1.2228180534827E-2</c:v>
                </c:pt>
                <c:pt idx="8">
                  <c:v>1.2229409384734E-2</c:v>
                </c:pt>
                <c:pt idx="9">
                  <c:v>1.2239417345746E-2</c:v>
                </c:pt>
                <c:pt idx="10">
                  <c:v>1.2247707031709E-2</c:v>
                </c:pt>
                <c:pt idx="11">
                  <c:v>1.2251901507794E-2</c:v>
                </c:pt>
                <c:pt idx="12">
                  <c:v>1.2258888530616E-2</c:v>
                </c:pt>
                <c:pt idx="13">
                  <c:v>1.2271052062260999E-2</c:v>
                </c:pt>
                <c:pt idx="14">
                  <c:v>1.2295383183445001E-2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D-4EA4-A64A-180A51A30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μλ'!$J$104:$J$118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μλ'!$H$104:$H$118</c:f>
              <c:numCache>
                <c:formatCode>General</c:formatCode>
                <c:ptCount val="15"/>
                <c:pt idx="0">
                  <c:v>2.1879699228863E-2</c:v>
                </c:pt>
                <c:pt idx="1">
                  <c:v>2.1886875562694998E-2</c:v>
                </c:pt>
                <c:pt idx="2">
                  <c:v>2.2028437458420001E-2</c:v>
                </c:pt>
                <c:pt idx="3">
                  <c:v>2.2074577824553E-2</c:v>
                </c:pt>
                <c:pt idx="4">
                  <c:v>2.2156904613354001E-2</c:v>
                </c:pt>
                <c:pt idx="5">
                  <c:v>2.2259272348683998E-2</c:v>
                </c:pt>
                <c:pt idx="6">
                  <c:v>2.2272762147162999E-2</c:v>
                </c:pt>
                <c:pt idx="7">
                  <c:v>2.2296149360884001E-2</c:v>
                </c:pt>
                <c:pt idx="8">
                  <c:v>2.2341867635022002E-2</c:v>
                </c:pt>
                <c:pt idx="9">
                  <c:v>2.2456499189911001E-2</c:v>
                </c:pt>
                <c:pt idx="10">
                  <c:v>2.2472103753749001E-2</c:v>
                </c:pt>
                <c:pt idx="11">
                  <c:v>2.2606549979381999E-2</c:v>
                </c:pt>
                <c:pt idx="12">
                  <c:v>2.2619730159845999E-2</c:v>
                </c:pt>
                <c:pt idx="13">
                  <c:v>2.2650203206787001E-2</c:v>
                </c:pt>
                <c:pt idx="14">
                  <c:v>2.2661256572908E-2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8-4731-B497-43773C70A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μλ'!$J$121:$J$135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μλ'!$H$121:$H$135</c:f>
              <c:numCache>
                <c:formatCode>General</c:formatCode>
                <c:ptCount val="15"/>
                <c:pt idx="0">
                  <c:v>3.2599996440944003E-2</c:v>
                </c:pt>
                <c:pt idx="1">
                  <c:v>3.2720510555415E-2</c:v>
                </c:pt>
                <c:pt idx="2">
                  <c:v>3.2957623109732999E-2</c:v>
                </c:pt>
                <c:pt idx="3">
                  <c:v>3.3411820641434997E-2</c:v>
                </c:pt>
                <c:pt idx="4">
                  <c:v>3.3456766362532003E-2</c:v>
                </c:pt>
                <c:pt idx="5">
                  <c:v>3.3526410387224002E-2</c:v>
                </c:pt>
                <c:pt idx="6">
                  <c:v>3.3610606325715997E-2</c:v>
                </c:pt>
                <c:pt idx="7">
                  <c:v>3.3740679157824999E-2</c:v>
                </c:pt>
                <c:pt idx="8">
                  <c:v>3.3785711609510001E-2</c:v>
                </c:pt>
                <c:pt idx="9">
                  <c:v>3.4022742722326998E-2</c:v>
                </c:pt>
                <c:pt idx="10">
                  <c:v>3.4106726239019003E-2</c:v>
                </c:pt>
                <c:pt idx="11">
                  <c:v>3.4170245638984E-2</c:v>
                </c:pt>
                <c:pt idx="12">
                  <c:v>3.4209885902953999E-2</c:v>
                </c:pt>
                <c:pt idx="13">
                  <c:v>3.4215709253426999E-2</c:v>
                </c:pt>
                <c:pt idx="14">
                  <c:v>3.5083805444661997E-2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6-498A-B5A8-BDB9A71EB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μλ'!$J$138:$J$152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μλ'!$H$138:$H$152</c:f>
              <c:numCache>
                <c:formatCode>General</c:formatCode>
                <c:ptCount val="15"/>
                <c:pt idx="0">
                  <c:v>9.0550539326126993E-3</c:v>
                </c:pt>
                <c:pt idx="1">
                  <c:v>9.0977080206105006E-3</c:v>
                </c:pt>
                <c:pt idx="2">
                  <c:v>9.1028968319480999E-3</c:v>
                </c:pt>
                <c:pt idx="3">
                  <c:v>9.1046320482448002E-3</c:v>
                </c:pt>
                <c:pt idx="4">
                  <c:v>9.1107579170644996E-3</c:v>
                </c:pt>
                <c:pt idx="5">
                  <c:v>9.1160563486025002E-3</c:v>
                </c:pt>
                <c:pt idx="6">
                  <c:v>9.1182686464572997E-3</c:v>
                </c:pt>
                <c:pt idx="7">
                  <c:v>9.1225809455513993E-3</c:v>
                </c:pt>
                <c:pt idx="8">
                  <c:v>9.1227370253381002E-3</c:v>
                </c:pt>
                <c:pt idx="9">
                  <c:v>9.1288011662624003E-3</c:v>
                </c:pt>
                <c:pt idx="10">
                  <c:v>9.1376337549042997E-3</c:v>
                </c:pt>
                <c:pt idx="11">
                  <c:v>9.1445252234399008E-3</c:v>
                </c:pt>
                <c:pt idx="12">
                  <c:v>9.1493700618115997E-3</c:v>
                </c:pt>
                <c:pt idx="13">
                  <c:v>9.1524166049588001E-3</c:v>
                </c:pt>
                <c:pt idx="14">
                  <c:v>9.1644833265975001E-3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28-425F-B5D0-F4A6BBCEA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μλ'!$J$155:$J$169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μλ'!$H$155:$H$169</c:f>
              <c:numCache>
                <c:formatCode>General</c:formatCode>
                <c:ptCount val="15"/>
                <c:pt idx="0">
                  <c:v>1.1166876536318E-2</c:v>
                </c:pt>
                <c:pt idx="1">
                  <c:v>1.1234930659498E-2</c:v>
                </c:pt>
                <c:pt idx="2">
                  <c:v>1.1239426829704999E-2</c:v>
                </c:pt>
                <c:pt idx="3">
                  <c:v>1.1254517617297E-2</c:v>
                </c:pt>
                <c:pt idx="4">
                  <c:v>1.1254928387586001E-2</c:v>
                </c:pt>
                <c:pt idx="5">
                  <c:v>1.1264641480100999E-2</c:v>
                </c:pt>
                <c:pt idx="6">
                  <c:v>1.126880099696E-2</c:v>
                </c:pt>
                <c:pt idx="7">
                  <c:v>1.1274002514161999E-2</c:v>
                </c:pt>
                <c:pt idx="8">
                  <c:v>1.1285936838964001E-2</c:v>
                </c:pt>
                <c:pt idx="9">
                  <c:v>1.1307725209352E-2</c:v>
                </c:pt>
                <c:pt idx="10">
                  <c:v>1.1315046703204001E-2</c:v>
                </c:pt>
                <c:pt idx="11">
                  <c:v>1.1316548221092E-2</c:v>
                </c:pt>
                <c:pt idx="12">
                  <c:v>1.1329506251412E-2</c:v>
                </c:pt>
                <c:pt idx="13">
                  <c:v>1.1347434048896999E-2</c:v>
                </c:pt>
                <c:pt idx="14">
                  <c:v>1.1364986187815999E-2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5-4B7F-823C-911C7A62B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μλ'!$J$172:$J$186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μλ'!$H$172:$H$186</c:f>
              <c:numCache>
                <c:formatCode>General</c:formatCode>
                <c:ptCount val="15"/>
                <c:pt idx="0">
                  <c:v>1.7687344656093999E-2</c:v>
                </c:pt>
                <c:pt idx="1">
                  <c:v>1.7899208993029998E-2</c:v>
                </c:pt>
                <c:pt idx="2">
                  <c:v>1.7906733102269E-2</c:v>
                </c:pt>
                <c:pt idx="3">
                  <c:v>1.79091285259E-2</c:v>
                </c:pt>
                <c:pt idx="4">
                  <c:v>1.7921036226353999E-2</c:v>
                </c:pt>
                <c:pt idx="5">
                  <c:v>1.7939920694085999E-2</c:v>
                </c:pt>
                <c:pt idx="6">
                  <c:v>1.7973696832186001E-2</c:v>
                </c:pt>
                <c:pt idx="7">
                  <c:v>1.7998732590702001E-2</c:v>
                </c:pt>
                <c:pt idx="8">
                  <c:v>1.8039434549923999E-2</c:v>
                </c:pt>
                <c:pt idx="9">
                  <c:v>1.8040204088123998E-2</c:v>
                </c:pt>
                <c:pt idx="10">
                  <c:v>1.8059909793896E-2</c:v>
                </c:pt>
                <c:pt idx="11">
                  <c:v>1.8109120880867E-2</c:v>
                </c:pt>
                <c:pt idx="12">
                  <c:v>1.8111160579685998E-2</c:v>
                </c:pt>
                <c:pt idx="13">
                  <c:v>1.8131373609058001E-2</c:v>
                </c:pt>
                <c:pt idx="14">
                  <c:v>1.8183235753543001E-2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31-4A31-8084-5ECF923C0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λ'!$J$70:$J$84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λ'!$H$70:$H$84</c:f>
              <c:numCache>
                <c:formatCode>General</c:formatCode>
                <c:ptCount val="15"/>
                <c:pt idx="0">
                  <c:v>2.6595731050392001E-2</c:v>
                </c:pt>
                <c:pt idx="1">
                  <c:v>2.6600607432752998E-2</c:v>
                </c:pt>
                <c:pt idx="2">
                  <c:v>2.6887866083054001E-2</c:v>
                </c:pt>
                <c:pt idx="3">
                  <c:v>2.6992829390877E-2</c:v>
                </c:pt>
                <c:pt idx="4">
                  <c:v>2.7125006050461E-2</c:v>
                </c:pt>
                <c:pt idx="5">
                  <c:v>2.7182039379082E-2</c:v>
                </c:pt>
                <c:pt idx="6">
                  <c:v>2.7204998245795E-2</c:v>
                </c:pt>
                <c:pt idx="7">
                  <c:v>2.7274657421555E-2</c:v>
                </c:pt>
                <c:pt idx="8">
                  <c:v>2.72998486416E-2</c:v>
                </c:pt>
                <c:pt idx="9">
                  <c:v>2.7333521165185001E-2</c:v>
                </c:pt>
                <c:pt idx="10">
                  <c:v>2.7387265949153999E-2</c:v>
                </c:pt>
                <c:pt idx="11">
                  <c:v>2.7409373595683999E-2</c:v>
                </c:pt>
                <c:pt idx="12">
                  <c:v>2.7449201144090999E-2</c:v>
                </c:pt>
                <c:pt idx="13">
                  <c:v>2.7454744402203999E-2</c:v>
                </c:pt>
                <c:pt idx="14">
                  <c:v>2.7668893884319999E-2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45-4C6D-B4D1-04AE6CCDE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μλ'!$J$189:$J$203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μλ'!$H$189:$H$203</c:f>
              <c:numCache>
                <c:formatCode>General</c:formatCode>
                <c:ptCount val="15"/>
                <c:pt idx="0">
                  <c:v>2.3151070084579999E-2</c:v>
                </c:pt>
                <c:pt idx="1">
                  <c:v>2.3374032512526E-2</c:v>
                </c:pt>
                <c:pt idx="2">
                  <c:v>2.3491136521017999E-2</c:v>
                </c:pt>
                <c:pt idx="3">
                  <c:v>2.3520761483514001E-2</c:v>
                </c:pt>
                <c:pt idx="4">
                  <c:v>2.3526361972621999E-2</c:v>
                </c:pt>
                <c:pt idx="5">
                  <c:v>2.3548826207685999E-2</c:v>
                </c:pt>
                <c:pt idx="6">
                  <c:v>2.3642412634951999E-2</c:v>
                </c:pt>
                <c:pt idx="7">
                  <c:v>2.3727971190017998E-2</c:v>
                </c:pt>
                <c:pt idx="8">
                  <c:v>2.3789629920025999E-2</c:v>
                </c:pt>
                <c:pt idx="9">
                  <c:v>2.3835982443938E-2</c:v>
                </c:pt>
                <c:pt idx="10">
                  <c:v>2.3849482712354E-2</c:v>
                </c:pt>
                <c:pt idx="11">
                  <c:v>2.3889982849327002E-2</c:v>
                </c:pt>
                <c:pt idx="12">
                  <c:v>2.3936131667524001E-2</c:v>
                </c:pt>
                <c:pt idx="13">
                  <c:v>2.3979585449048001E-2</c:v>
                </c:pt>
                <c:pt idx="14">
                  <c:v>2.3989865027974001E-2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E-4C9F-A3ED-1C4AC9D65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μλ'!$J$206:$J$220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μλ'!$H$206:$H$220</c:f>
              <c:numCache>
                <c:formatCode>General</c:formatCode>
                <c:ptCount val="15"/>
                <c:pt idx="0">
                  <c:v>8.9610402817489002E-3</c:v>
                </c:pt>
                <c:pt idx="1">
                  <c:v>8.9612695581197006E-3</c:v>
                </c:pt>
                <c:pt idx="2">
                  <c:v>8.9637330611283001E-3</c:v>
                </c:pt>
                <c:pt idx="3">
                  <c:v>8.9836093442722999E-3</c:v>
                </c:pt>
                <c:pt idx="4">
                  <c:v>8.9846431406736E-3</c:v>
                </c:pt>
                <c:pt idx="5">
                  <c:v>8.9925504433545998E-3</c:v>
                </c:pt>
                <c:pt idx="6">
                  <c:v>9.0059603823504E-3</c:v>
                </c:pt>
                <c:pt idx="7">
                  <c:v>9.0060714577983002E-3</c:v>
                </c:pt>
                <c:pt idx="8">
                  <c:v>9.0065308478508993E-3</c:v>
                </c:pt>
                <c:pt idx="9">
                  <c:v>9.0071485980609996E-3</c:v>
                </c:pt>
                <c:pt idx="10">
                  <c:v>9.0297334843217007E-3</c:v>
                </c:pt>
                <c:pt idx="11">
                  <c:v>9.0323511563586995E-3</c:v>
                </c:pt>
                <c:pt idx="12">
                  <c:v>9.0463378647427008E-3</c:v>
                </c:pt>
                <c:pt idx="13">
                  <c:v>9.0518925102435008E-3</c:v>
                </c:pt>
                <c:pt idx="14">
                  <c:v>9.0582641812672008E-3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B-42AC-86D3-5B00BFE6A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μλ'!$J$223:$J$237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μλ'!$H$223:$H$237</c:f>
              <c:numCache>
                <c:formatCode>General</c:formatCode>
                <c:ptCount val="15"/>
                <c:pt idx="0">
                  <c:v>1.0853521760298E-2</c:v>
                </c:pt>
                <c:pt idx="1">
                  <c:v>1.0907429681999E-2</c:v>
                </c:pt>
                <c:pt idx="2">
                  <c:v>1.0937554563782001E-2</c:v>
                </c:pt>
                <c:pt idx="3">
                  <c:v>1.0937867290985E-2</c:v>
                </c:pt>
                <c:pt idx="4">
                  <c:v>1.0944964351674E-2</c:v>
                </c:pt>
                <c:pt idx="5">
                  <c:v>1.0950879859368001E-2</c:v>
                </c:pt>
                <c:pt idx="6">
                  <c:v>1.0951052408027E-2</c:v>
                </c:pt>
                <c:pt idx="7">
                  <c:v>1.0954282063683001E-2</c:v>
                </c:pt>
                <c:pt idx="8">
                  <c:v>1.0967684812664E-2</c:v>
                </c:pt>
                <c:pt idx="9">
                  <c:v>1.0973492195188001E-2</c:v>
                </c:pt>
                <c:pt idx="10">
                  <c:v>1.0986030410749E-2</c:v>
                </c:pt>
                <c:pt idx="11">
                  <c:v>1.0994750725793E-2</c:v>
                </c:pt>
                <c:pt idx="12">
                  <c:v>1.1028376039254001E-2</c:v>
                </c:pt>
                <c:pt idx="13">
                  <c:v>1.1044260064278E-2</c:v>
                </c:pt>
                <c:pt idx="14">
                  <c:v>1.1064290757279001E-2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6F-4FD7-A8B0-31AC04F76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μλ'!$J$240:$J$254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μλ'!$H$240:$H$254</c:f>
              <c:numCache>
                <c:formatCode>General</c:formatCode>
                <c:ptCount val="15"/>
                <c:pt idx="0">
                  <c:v>1.6631474679056998E-2</c:v>
                </c:pt>
                <c:pt idx="1">
                  <c:v>1.6689801953589E-2</c:v>
                </c:pt>
                <c:pt idx="2">
                  <c:v>1.669241590642E-2</c:v>
                </c:pt>
                <c:pt idx="3">
                  <c:v>1.6778576696014E-2</c:v>
                </c:pt>
                <c:pt idx="4">
                  <c:v>1.6781404939445001E-2</c:v>
                </c:pt>
                <c:pt idx="5">
                  <c:v>1.6812646179312E-2</c:v>
                </c:pt>
                <c:pt idx="6">
                  <c:v>1.6812712776908E-2</c:v>
                </c:pt>
                <c:pt idx="7">
                  <c:v>1.6836008062290998E-2</c:v>
                </c:pt>
                <c:pt idx="8">
                  <c:v>1.6856342423899998E-2</c:v>
                </c:pt>
                <c:pt idx="9">
                  <c:v>1.6861625154391002E-2</c:v>
                </c:pt>
                <c:pt idx="10">
                  <c:v>1.6865760284684998E-2</c:v>
                </c:pt>
                <c:pt idx="11">
                  <c:v>1.6883779746317999E-2</c:v>
                </c:pt>
                <c:pt idx="12">
                  <c:v>1.6898626330528001E-2</c:v>
                </c:pt>
                <c:pt idx="13">
                  <c:v>1.6931233322677E-2</c:v>
                </c:pt>
                <c:pt idx="14">
                  <c:v>1.7029921634667999E-2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A-4744-8413-3A6E49EC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for μλ'!$J$257:$J$271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for μλ'!$H$257:$H$271</c:f>
              <c:numCache>
                <c:formatCode>General</c:formatCode>
                <c:ptCount val="15"/>
                <c:pt idx="0">
                  <c:v>2.1033075287623E-2</c:v>
                </c:pt>
                <c:pt idx="1">
                  <c:v>2.1243002560439001E-2</c:v>
                </c:pt>
                <c:pt idx="2">
                  <c:v>2.1311045280217999E-2</c:v>
                </c:pt>
                <c:pt idx="3">
                  <c:v>2.134686810072E-2</c:v>
                </c:pt>
                <c:pt idx="4">
                  <c:v>2.1355071471684001E-2</c:v>
                </c:pt>
                <c:pt idx="5">
                  <c:v>2.141514673821E-2</c:v>
                </c:pt>
                <c:pt idx="6">
                  <c:v>2.141799155897E-2</c:v>
                </c:pt>
                <c:pt idx="7">
                  <c:v>2.1479777592701001E-2</c:v>
                </c:pt>
                <c:pt idx="8">
                  <c:v>2.1491107388706E-2</c:v>
                </c:pt>
                <c:pt idx="9">
                  <c:v>2.1493649627054998E-2</c:v>
                </c:pt>
                <c:pt idx="10">
                  <c:v>2.1518332893508001E-2</c:v>
                </c:pt>
                <c:pt idx="11">
                  <c:v>2.1519081118733002E-2</c:v>
                </c:pt>
                <c:pt idx="12">
                  <c:v>2.1522691704604E-2</c:v>
                </c:pt>
                <c:pt idx="13">
                  <c:v>2.1549137315787E-2</c:v>
                </c:pt>
                <c:pt idx="14">
                  <c:v>2.1564184544703002E-2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5-4B8E-93FF-81C0A6604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normality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11103503366432E-2"/>
                  <c:y val="-9.9863260099480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λ'!$J$87:$J$101</c:f>
              <c:numCache>
                <c:formatCode>General</c:formatCode>
                <c:ptCount val="15"/>
                <c:pt idx="0">
                  <c:v>-1.836858897688687</c:v>
                </c:pt>
                <c:pt idx="1">
                  <c:v>-1.2811261510381207</c:v>
                </c:pt>
                <c:pt idx="2">
                  <c:v>-0.96558119772402384</c:v>
                </c:pt>
                <c:pt idx="3">
                  <c:v>-0.72575040815577163</c:v>
                </c:pt>
                <c:pt idx="4">
                  <c:v>-0.52246305252576009</c:v>
                </c:pt>
                <c:pt idx="5">
                  <c:v>-0.33927638280750583</c:v>
                </c:pt>
                <c:pt idx="6">
                  <c:v>-0.16715058832373922</c:v>
                </c:pt>
                <c:pt idx="7">
                  <c:v>0</c:v>
                </c:pt>
                <c:pt idx="8">
                  <c:v>0.16715058832373922</c:v>
                </c:pt>
                <c:pt idx="9">
                  <c:v>0.33927638280750583</c:v>
                </c:pt>
                <c:pt idx="10">
                  <c:v>0.52246305252576009</c:v>
                </c:pt>
                <c:pt idx="11">
                  <c:v>0.72575040815577163</c:v>
                </c:pt>
                <c:pt idx="12">
                  <c:v>0.96558119772402329</c:v>
                </c:pt>
                <c:pt idx="13">
                  <c:v>1.2811261510381207</c:v>
                </c:pt>
                <c:pt idx="14">
                  <c:v>1.8368588976886859</c:v>
                </c:pt>
              </c:numCache>
            </c:numRef>
          </c:xVal>
          <c:yVal>
            <c:numRef>
              <c:f>'Linear regression λ'!$H$87:$H$101</c:f>
              <c:numCache>
                <c:formatCode>General</c:formatCode>
                <c:ptCount val="15"/>
                <c:pt idx="0">
                  <c:v>2.4478787454314001E-2</c:v>
                </c:pt>
                <c:pt idx="1">
                  <c:v>2.4866965896475999E-2</c:v>
                </c:pt>
                <c:pt idx="2">
                  <c:v>2.4928602467427001E-2</c:v>
                </c:pt>
                <c:pt idx="3">
                  <c:v>2.5013624269991999E-2</c:v>
                </c:pt>
                <c:pt idx="4">
                  <c:v>2.5144563063775001E-2</c:v>
                </c:pt>
                <c:pt idx="5">
                  <c:v>2.5193589802469999E-2</c:v>
                </c:pt>
                <c:pt idx="6">
                  <c:v>2.5215952511677998E-2</c:v>
                </c:pt>
                <c:pt idx="7">
                  <c:v>2.5248635879374998E-2</c:v>
                </c:pt>
                <c:pt idx="8">
                  <c:v>2.5296498293268001E-2</c:v>
                </c:pt>
                <c:pt idx="9">
                  <c:v>2.5354911530342999E-2</c:v>
                </c:pt>
                <c:pt idx="10">
                  <c:v>2.5444045532406999E-2</c:v>
                </c:pt>
                <c:pt idx="11">
                  <c:v>2.5491319184712001E-2</c:v>
                </c:pt>
                <c:pt idx="12">
                  <c:v>2.5497751713181999E-2</c:v>
                </c:pt>
                <c:pt idx="13">
                  <c:v>2.5529905759806001E-2</c:v>
                </c:pt>
                <c:pt idx="14">
                  <c:v>2.5553159686552002E-2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0-4685-B97A-9D8D46CF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5144"/>
        <c:axId val="623645472"/>
      </c:scatterChart>
      <c:valAx>
        <c:axId val="62364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472"/>
        <c:crosses val="autoZero"/>
        <c:crossBetween val="midCat"/>
      </c:valAx>
      <c:valAx>
        <c:axId val="623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364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Linear transformation</a:t>
            </a:r>
            <a:r>
              <a:rPr lang="it-IT" sz="1800" baseline="0"/>
              <a:t> of Q10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266022126980966E-2"/>
                  <c:y val="6.933664734571556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-2,1656x - 13,316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'Linear regression λ'!$C$174:$C$182</c:f>
              <c:numCache>
                <c:formatCode>General</c:formatCode>
                <c:ptCount val="9"/>
                <c:pt idx="0">
                  <c:v>-4.7105307016459177</c:v>
                </c:pt>
                <c:pt idx="1">
                  <c:v>-4.656463480375642</c:v>
                </c:pt>
                <c:pt idx="2">
                  <c:v>-4.6051701859880909</c:v>
                </c:pt>
                <c:pt idx="3">
                  <c:v>-4.5563800218186596</c:v>
                </c:pt>
                <c:pt idx="4">
                  <c:v>-4.5098600061837661</c:v>
                </c:pt>
                <c:pt idx="5">
                  <c:v>-4.4654082436129325</c:v>
                </c:pt>
                <c:pt idx="6">
                  <c:v>-4.4228486291941369</c:v>
                </c:pt>
                <c:pt idx="7">
                  <c:v>-4.3820266346738812</c:v>
                </c:pt>
                <c:pt idx="8">
                  <c:v>-4.3428059215206005</c:v>
                </c:pt>
              </c:numCache>
            </c:numRef>
          </c:xVal>
          <c:yVal>
            <c:numRef>
              <c:f>'Linear regression λ'!$D$174:$D$182</c:f>
              <c:numCache>
                <c:formatCode>General</c:formatCode>
                <c:ptCount val="9"/>
                <c:pt idx="0">
                  <c:v>-3.0146096062447567</c:v>
                </c:pt>
                <c:pt idx="1">
                  <c:v>-3.2289745947133177</c:v>
                </c:pt>
                <c:pt idx="2">
                  <c:v>-3.3900215845902144</c:v>
                </c:pt>
                <c:pt idx="3">
                  <c:v>-3.5082552418473809</c:v>
                </c:pt>
                <c:pt idx="4">
                  <c:v>-3.6048653595579285</c:v>
                </c:pt>
                <c:pt idx="5">
                  <c:v>-3.6802281500082739</c:v>
                </c:pt>
                <c:pt idx="6">
                  <c:v>-3.7429746134241002</c:v>
                </c:pt>
                <c:pt idx="7">
                  <c:v>-3.7951281569548225</c:v>
                </c:pt>
                <c:pt idx="8">
                  <c:v>-3.8435542080059641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B-40EF-AAFD-CB63157A8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00016"/>
        <c:axId val="817099032"/>
      </c:scatterChart>
      <c:valAx>
        <c:axId val="81710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7099032"/>
        <c:crosses val="autoZero"/>
        <c:crossBetween val="midCat"/>
      </c:valAx>
      <c:valAx>
        <c:axId val="81709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710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13" Type="http://schemas.openxmlformats.org/officeDocument/2006/relationships/chart" Target="../charts/chart66.xml"/><Relationship Id="rId18" Type="http://schemas.openxmlformats.org/officeDocument/2006/relationships/chart" Target="../charts/chart71.xml"/><Relationship Id="rId3" Type="http://schemas.openxmlformats.org/officeDocument/2006/relationships/chart" Target="../charts/chart56.xml"/><Relationship Id="rId21" Type="http://schemas.openxmlformats.org/officeDocument/2006/relationships/chart" Target="../charts/chart74.xml"/><Relationship Id="rId7" Type="http://schemas.openxmlformats.org/officeDocument/2006/relationships/chart" Target="../charts/chart60.xml"/><Relationship Id="rId12" Type="http://schemas.openxmlformats.org/officeDocument/2006/relationships/chart" Target="../charts/chart65.xml"/><Relationship Id="rId17" Type="http://schemas.openxmlformats.org/officeDocument/2006/relationships/chart" Target="../charts/chart70.xml"/><Relationship Id="rId2" Type="http://schemas.openxmlformats.org/officeDocument/2006/relationships/chart" Target="../charts/chart55.xml"/><Relationship Id="rId16" Type="http://schemas.openxmlformats.org/officeDocument/2006/relationships/chart" Target="../charts/chart69.xml"/><Relationship Id="rId20" Type="http://schemas.openxmlformats.org/officeDocument/2006/relationships/chart" Target="../charts/chart73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11" Type="http://schemas.openxmlformats.org/officeDocument/2006/relationships/chart" Target="../charts/chart64.xml"/><Relationship Id="rId5" Type="http://schemas.openxmlformats.org/officeDocument/2006/relationships/chart" Target="../charts/chart58.xml"/><Relationship Id="rId15" Type="http://schemas.openxmlformats.org/officeDocument/2006/relationships/chart" Target="../charts/chart68.xml"/><Relationship Id="rId10" Type="http://schemas.openxmlformats.org/officeDocument/2006/relationships/chart" Target="../charts/chart63.xml"/><Relationship Id="rId19" Type="http://schemas.openxmlformats.org/officeDocument/2006/relationships/chart" Target="../charts/chart72.xml"/><Relationship Id="rId4" Type="http://schemas.openxmlformats.org/officeDocument/2006/relationships/chart" Target="../charts/chart57.xml"/><Relationship Id="rId9" Type="http://schemas.openxmlformats.org/officeDocument/2006/relationships/chart" Target="../charts/chart62.xml"/><Relationship Id="rId14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9525</xdr:rowOff>
    </xdr:from>
    <xdr:to>
      <xdr:col>17</xdr:col>
      <xdr:colOff>495300</xdr:colOff>
      <xdr:row>15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08FE1FA-E1D0-45A9-A5C5-0808064E2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348615</xdr:colOff>
      <xdr:row>153</xdr:row>
      <xdr:rowOff>125730</xdr:rowOff>
    </xdr:from>
    <xdr:to>
      <xdr:col>7</xdr:col>
      <xdr:colOff>337185</xdr:colOff>
      <xdr:row>167</xdr:row>
      <xdr:rowOff>0</xdr:rowOff>
    </xdr:to>
    <xdr:graphicFrame macro="">
      <xdr:nvGraphicFramePr>
        <xdr:cNvPr id="5" name="Grafico 6">
          <a:extLst>
            <a:ext uri="{FF2B5EF4-FFF2-40B4-BE49-F238E27FC236}">
              <a16:creationId xmlns:a16="http://schemas.microsoft.com/office/drawing/2014/main" id="{3A559A0D-D618-4263-A9D8-F3B201E30AB4}"/>
            </a:ext>
            <a:ext uri="{147F2762-F138-4A5C-976F-8EAC2B608ADB}">
              <a16:predDERef xmlns:a16="http://schemas.microsoft.com/office/drawing/2014/main" pred="{20297567-446A-4BCE-B072-09469BB9C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1120140</xdr:colOff>
      <xdr:row>212</xdr:row>
      <xdr:rowOff>188595</xdr:rowOff>
    </xdr:from>
    <xdr:to>
      <xdr:col>6</xdr:col>
      <xdr:colOff>281940</xdr:colOff>
      <xdr:row>224</xdr:row>
      <xdr:rowOff>186690</xdr:rowOff>
    </xdr:to>
    <xdr:graphicFrame macro="">
      <xdr:nvGraphicFramePr>
        <xdr:cNvPr id="15" name="Grafico 132">
          <a:extLst>
            <a:ext uri="{FF2B5EF4-FFF2-40B4-BE49-F238E27FC236}">
              <a16:creationId xmlns:a16="http://schemas.microsoft.com/office/drawing/2014/main" id="{B743EAE0-68F3-4F76-88F0-4483121CB8E9}"/>
            </a:ext>
            <a:ext uri="{147F2762-F138-4A5C-976F-8EAC2B608ADB}">
              <a16:predDERef xmlns:a16="http://schemas.microsoft.com/office/drawing/2014/main" pred="{D061D072-BD69-4DC1-857F-E1A0DAED2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175260</xdr:colOff>
      <xdr:row>17</xdr:row>
      <xdr:rowOff>76200</xdr:rowOff>
    </xdr:from>
    <xdr:to>
      <xdr:col>17</xdr:col>
      <xdr:colOff>480060</xdr:colOff>
      <xdr:row>32</xdr:row>
      <xdr:rowOff>74295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AAB00499-7FB3-49B7-A52B-E88108E31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34</xdr:row>
      <xdr:rowOff>30480</xdr:rowOff>
    </xdr:from>
    <xdr:to>
      <xdr:col>17</xdr:col>
      <xdr:colOff>495300</xdr:colOff>
      <xdr:row>49</xdr:row>
      <xdr:rowOff>135255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565355CF-6208-4E4D-A6B2-85842503B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205740</xdr:colOff>
      <xdr:row>51</xdr:row>
      <xdr:rowOff>7620</xdr:rowOff>
    </xdr:from>
    <xdr:to>
      <xdr:col>17</xdr:col>
      <xdr:colOff>510540</xdr:colOff>
      <xdr:row>66</xdr:row>
      <xdr:rowOff>112395</xdr:rowOff>
    </xdr:to>
    <xdr:graphicFrame macro="">
      <xdr:nvGraphicFramePr>
        <xdr:cNvPr id="35" name="Grafico 34">
          <a:extLst>
            <a:ext uri="{FF2B5EF4-FFF2-40B4-BE49-F238E27FC236}">
              <a16:creationId xmlns:a16="http://schemas.microsoft.com/office/drawing/2014/main" id="{3B4A1EFD-B298-41B2-A2C4-50A0AE2C0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205740</xdr:colOff>
      <xdr:row>68</xdr:row>
      <xdr:rowOff>45720</xdr:rowOff>
    </xdr:from>
    <xdr:to>
      <xdr:col>17</xdr:col>
      <xdr:colOff>510540</xdr:colOff>
      <xdr:row>83</xdr:row>
      <xdr:rowOff>150495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FC68B5C1-AEB8-44BA-9ECC-33623B308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198120</xdr:colOff>
      <xdr:row>85</xdr:row>
      <xdr:rowOff>60960</xdr:rowOff>
    </xdr:from>
    <xdr:to>
      <xdr:col>17</xdr:col>
      <xdr:colOff>502920</xdr:colOff>
      <xdr:row>100</xdr:row>
      <xdr:rowOff>165735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3D776222-0E8D-4A23-B823-23FF41862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297180</xdr:colOff>
      <xdr:row>168</xdr:row>
      <xdr:rowOff>110490</xdr:rowOff>
    </xdr:from>
    <xdr:to>
      <xdr:col>12</xdr:col>
      <xdr:colOff>640080</xdr:colOff>
      <xdr:row>185</xdr:row>
      <xdr:rowOff>91440</xdr:rowOff>
    </xdr:to>
    <xdr:graphicFrame macro="">
      <xdr:nvGraphicFramePr>
        <xdr:cNvPr id="67" name="Grafico 2">
          <a:extLst>
            <a:ext uri="{FF2B5EF4-FFF2-40B4-BE49-F238E27FC236}">
              <a16:creationId xmlns:a16="http://schemas.microsoft.com/office/drawing/2014/main" id="{4E55A4DE-EF92-46BB-9606-A6164701F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205740</xdr:colOff>
      <xdr:row>102</xdr:row>
      <xdr:rowOff>45720</xdr:rowOff>
    </xdr:from>
    <xdr:to>
      <xdr:col>17</xdr:col>
      <xdr:colOff>510540</xdr:colOff>
      <xdr:row>117</xdr:row>
      <xdr:rowOff>150495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6DC96A8F-B738-40B4-B305-BE10EF381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205740</xdr:colOff>
      <xdr:row>119</xdr:row>
      <xdr:rowOff>22860</xdr:rowOff>
    </xdr:from>
    <xdr:to>
      <xdr:col>17</xdr:col>
      <xdr:colOff>510540</xdr:colOff>
      <xdr:row>134</xdr:row>
      <xdr:rowOff>127635</xdr:rowOff>
    </xdr:to>
    <xdr:graphicFrame macro="">
      <xdr:nvGraphicFramePr>
        <xdr:cNvPr id="39" name="Grafico 38">
          <a:extLst>
            <a:ext uri="{FF2B5EF4-FFF2-40B4-BE49-F238E27FC236}">
              <a16:creationId xmlns:a16="http://schemas.microsoft.com/office/drawing/2014/main" id="{36230E83-7376-46D0-B59D-D6574B499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198120</xdr:colOff>
      <xdr:row>136</xdr:row>
      <xdr:rowOff>30480</xdr:rowOff>
    </xdr:from>
    <xdr:to>
      <xdr:col>17</xdr:col>
      <xdr:colOff>502920</xdr:colOff>
      <xdr:row>151</xdr:row>
      <xdr:rowOff>135255</xdr:rowOff>
    </xdr:to>
    <xdr:graphicFrame macro="">
      <xdr:nvGraphicFramePr>
        <xdr:cNvPr id="41" name="Grafico 40">
          <a:extLst>
            <a:ext uri="{FF2B5EF4-FFF2-40B4-BE49-F238E27FC236}">
              <a16:creationId xmlns:a16="http://schemas.microsoft.com/office/drawing/2014/main" id="{41078956-9D7B-4D91-84CD-D9771616D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358140</xdr:colOff>
      <xdr:row>186</xdr:row>
      <xdr:rowOff>114300</xdr:rowOff>
    </xdr:from>
    <xdr:to>
      <xdr:col>7</xdr:col>
      <xdr:colOff>38100</xdr:colOff>
      <xdr:row>198</xdr:row>
      <xdr:rowOff>121918</xdr:rowOff>
    </xdr:to>
    <xdr:graphicFrame macro="">
      <xdr:nvGraphicFramePr>
        <xdr:cNvPr id="16" name="Grafico 101">
          <a:extLst>
            <a:ext uri="{FF2B5EF4-FFF2-40B4-BE49-F238E27FC236}">
              <a16:creationId xmlns:a16="http://schemas.microsoft.com/office/drawing/2014/main" id="{B6072FCC-91D6-42D9-A123-CA2CA6933CE6}"/>
            </a:ext>
            <a:ext uri="{147F2762-F138-4A5C-976F-8EAC2B608ADB}">
              <a16:predDERef xmlns:a16="http://schemas.microsoft.com/office/drawing/2014/main" pred="{B8BEF722-6FC1-403A-B006-BAA91B811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899160</xdr:colOff>
      <xdr:row>199</xdr:row>
      <xdr:rowOff>152400</xdr:rowOff>
    </xdr:from>
    <xdr:to>
      <xdr:col>6</xdr:col>
      <xdr:colOff>57150</xdr:colOff>
      <xdr:row>211</xdr:row>
      <xdr:rowOff>152400</xdr:rowOff>
    </xdr:to>
    <xdr:graphicFrame macro="">
      <xdr:nvGraphicFramePr>
        <xdr:cNvPr id="17" name="Grafico 131">
          <a:extLst>
            <a:ext uri="{FF2B5EF4-FFF2-40B4-BE49-F238E27FC236}">
              <a16:creationId xmlns:a16="http://schemas.microsoft.com/office/drawing/2014/main" id="{6B229D6A-A705-490C-8719-7DC33578E480}"/>
            </a:ext>
            <a:ext uri="{147F2762-F138-4A5C-976F-8EAC2B608ADB}">
              <a16:predDERef xmlns:a16="http://schemas.microsoft.com/office/drawing/2014/main" pred="{2F407528-C2DA-4029-B016-411EC3BA3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9525</xdr:rowOff>
    </xdr:from>
    <xdr:to>
      <xdr:col>17</xdr:col>
      <xdr:colOff>495300</xdr:colOff>
      <xdr:row>15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DA3F4D3-9A92-4CCD-A972-0E5095076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348615</xdr:colOff>
      <xdr:row>153</xdr:row>
      <xdr:rowOff>125730</xdr:rowOff>
    </xdr:from>
    <xdr:to>
      <xdr:col>7</xdr:col>
      <xdr:colOff>337185</xdr:colOff>
      <xdr:row>168</xdr:row>
      <xdr:rowOff>19050</xdr:rowOff>
    </xdr:to>
    <xdr:graphicFrame macro="">
      <xdr:nvGraphicFramePr>
        <xdr:cNvPr id="10" name="Grafico 6">
          <a:extLst>
            <a:ext uri="{FF2B5EF4-FFF2-40B4-BE49-F238E27FC236}">
              <a16:creationId xmlns:a16="http://schemas.microsoft.com/office/drawing/2014/main" id="{51E99010-2F93-4DA1-A040-59628D4882D4}"/>
            </a:ext>
            <a:ext uri="{147F2762-F138-4A5C-976F-8EAC2B608ADB}">
              <a16:predDERef xmlns:a16="http://schemas.microsoft.com/office/drawing/2014/main" pred="{20297567-446A-4BCE-B072-09469BB9C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459105</xdr:colOff>
      <xdr:row>169</xdr:row>
      <xdr:rowOff>186690</xdr:rowOff>
    </xdr:from>
    <xdr:to>
      <xdr:col>8</xdr:col>
      <xdr:colOff>609601</xdr:colOff>
      <xdr:row>185</xdr:row>
      <xdr:rowOff>188595</xdr:rowOff>
    </xdr:to>
    <xdr:graphicFrame macro="">
      <xdr:nvGraphicFramePr>
        <xdr:cNvPr id="12" name="Grafico 6">
          <a:extLst>
            <a:ext uri="{FF2B5EF4-FFF2-40B4-BE49-F238E27FC236}">
              <a16:creationId xmlns:a16="http://schemas.microsoft.com/office/drawing/2014/main" id="{9C53979E-F4A6-46F4-BE69-34870F564080}"/>
            </a:ext>
            <a:ext uri="{147F2762-F138-4A5C-976F-8EAC2B608ADB}">
              <a16:predDERef xmlns:a16="http://schemas.microsoft.com/office/drawing/2014/main" pred="{707E0D88-0F77-43A8-94B8-7C57DFC8E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563879</xdr:colOff>
      <xdr:row>187</xdr:row>
      <xdr:rowOff>1908</xdr:rowOff>
    </xdr:from>
    <xdr:to>
      <xdr:col>7</xdr:col>
      <xdr:colOff>243839</xdr:colOff>
      <xdr:row>199</xdr:row>
      <xdr:rowOff>9526</xdr:rowOff>
    </xdr:to>
    <xdr:graphicFrame macro="">
      <xdr:nvGraphicFramePr>
        <xdr:cNvPr id="13" name="Grafico 101">
          <a:extLst>
            <a:ext uri="{FF2B5EF4-FFF2-40B4-BE49-F238E27FC236}">
              <a16:creationId xmlns:a16="http://schemas.microsoft.com/office/drawing/2014/main" id="{7A351AA0-E186-48F0-9373-6F766502D3B8}"/>
            </a:ext>
            <a:ext uri="{147F2762-F138-4A5C-976F-8EAC2B608ADB}">
              <a16:predDERef xmlns:a16="http://schemas.microsoft.com/office/drawing/2014/main" pred="{B8BEF722-6FC1-403A-B006-BAA91B811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1125855</xdr:colOff>
      <xdr:row>200</xdr:row>
      <xdr:rowOff>0</xdr:rowOff>
    </xdr:from>
    <xdr:to>
      <xdr:col>6</xdr:col>
      <xdr:colOff>283845</xdr:colOff>
      <xdr:row>212</xdr:row>
      <xdr:rowOff>0</xdr:rowOff>
    </xdr:to>
    <xdr:graphicFrame macro="">
      <xdr:nvGraphicFramePr>
        <xdr:cNvPr id="14" name="Grafico 131">
          <a:extLst>
            <a:ext uri="{FF2B5EF4-FFF2-40B4-BE49-F238E27FC236}">
              <a16:creationId xmlns:a16="http://schemas.microsoft.com/office/drawing/2014/main" id="{846D7790-059D-4E04-9789-B6014D3AD10D}"/>
            </a:ext>
            <a:ext uri="{147F2762-F138-4A5C-976F-8EAC2B608ADB}">
              <a16:predDERef xmlns:a16="http://schemas.microsoft.com/office/drawing/2014/main" pred="{2F407528-C2DA-4029-B016-411EC3BA3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1120140</xdr:colOff>
      <xdr:row>212</xdr:row>
      <xdr:rowOff>188595</xdr:rowOff>
    </xdr:from>
    <xdr:to>
      <xdr:col>6</xdr:col>
      <xdr:colOff>281940</xdr:colOff>
      <xdr:row>224</xdr:row>
      <xdr:rowOff>186690</xdr:rowOff>
    </xdr:to>
    <xdr:graphicFrame macro="">
      <xdr:nvGraphicFramePr>
        <xdr:cNvPr id="15" name="Grafico 132">
          <a:extLst>
            <a:ext uri="{FF2B5EF4-FFF2-40B4-BE49-F238E27FC236}">
              <a16:creationId xmlns:a16="http://schemas.microsoft.com/office/drawing/2014/main" id="{12781DA4-3270-4CC6-B0CD-4705978E1D55}"/>
            </a:ext>
            <a:ext uri="{147F2762-F138-4A5C-976F-8EAC2B608ADB}">
              <a16:predDERef xmlns:a16="http://schemas.microsoft.com/office/drawing/2014/main" pred="{D061D072-BD69-4DC1-857F-E1A0DAED2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243840</xdr:colOff>
      <xdr:row>17</xdr:row>
      <xdr:rowOff>93345</xdr:rowOff>
    </xdr:from>
    <xdr:to>
      <xdr:col>17</xdr:col>
      <xdr:colOff>548640</xdr:colOff>
      <xdr:row>32</xdr:row>
      <xdr:rowOff>91440</xdr:rowOff>
    </xdr:to>
    <xdr:graphicFrame macro="">
      <xdr:nvGraphicFramePr>
        <xdr:cNvPr id="3" name="Grafico 15">
          <a:extLst>
            <a:ext uri="{FF2B5EF4-FFF2-40B4-BE49-F238E27FC236}">
              <a16:creationId xmlns:a16="http://schemas.microsoft.com/office/drawing/2014/main" id="{B0812BA1-E0D0-4AC8-9AC8-12500DE4A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459105</xdr:colOff>
      <xdr:row>169</xdr:row>
      <xdr:rowOff>186690</xdr:rowOff>
    </xdr:from>
    <xdr:to>
      <xdr:col>8</xdr:col>
      <xdr:colOff>609601</xdr:colOff>
      <xdr:row>185</xdr:row>
      <xdr:rowOff>188595</xdr:rowOff>
    </xdr:to>
    <xdr:graphicFrame macro="">
      <xdr:nvGraphicFramePr>
        <xdr:cNvPr id="18" name="Grafico 6">
          <a:extLst>
            <a:ext uri="{FF2B5EF4-FFF2-40B4-BE49-F238E27FC236}">
              <a16:creationId xmlns:a16="http://schemas.microsoft.com/office/drawing/2014/main" id="{5FE6E0C6-F898-48A0-95EB-9E2D13C16433}"/>
            </a:ext>
            <a:ext uri="{147F2762-F138-4A5C-976F-8EAC2B608ADB}">
              <a16:predDERef xmlns:a16="http://schemas.microsoft.com/office/drawing/2014/main" pred="{707E0D88-0F77-43A8-94B8-7C57DFC8E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563879</xdr:colOff>
      <xdr:row>187</xdr:row>
      <xdr:rowOff>1908</xdr:rowOff>
    </xdr:from>
    <xdr:to>
      <xdr:col>7</xdr:col>
      <xdr:colOff>243839</xdr:colOff>
      <xdr:row>199</xdr:row>
      <xdr:rowOff>9526</xdr:rowOff>
    </xdr:to>
    <xdr:graphicFrame macro="">
      <xdr:nvGraphicFramePr>
        <xdr:cNvPr id="19" name="Grafico 101">
          <a:extLst>
            <a:ext uri="{FF2B5EF4-FFF2-40B4-BE49-F238E27FC236}">
              <a16:creationId xmlns:a16="http://schemas.microsoft.com/office/drawing/2014/main" id="{8118A01D-D5F9-4287-B97E-57C75C23C75A}"/>
            </a:ext>
            <a:ext uri="{147F2762-F138-4A5C-976F-8EAC2B608ADB}">
              <a16:predDERef xmlns:a16="http://schemas.microsoft.com/office/drawing/2014/main" pred="{B8BEF722-6FC1-403A-B006-BAA91B811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1125855</xdr:colOff>
      <xdr:row>200</xdr:row>
      <xdr:rowOff>0</xdr:rowOff>
    </xdr:from>
    <xdr:to>
      <xdr:col>6</xdr:col>
      <xdr:colOff>283845</xdr:colOff>
      <xdr:row>212</xdr:row>
      <xdr:rowOff>0</xdr:rowOff>
    </xdr:to>
    <xdr:graphicFrame macro="">
      <xdr:nvGraphicFramePr>
        <xdr:cNvPr id="20" name="Grafico 131">
          <a:extLst>
            <a:ext uri="{FF2B5EF4-FFF2-40B4-BE49-F238E27FC236}">
              <a16:creationId xmlns:a16="http://schemas.microsoft.com/office/drawing/2014/main" id="{9F3F036F-A648-49C9-AFBB-3A8ED516DD4C}"/>
            </a:ext>
            <a:ext uri="{147F2762-F138-4A5C-976F-8EAC2B608ADB}">
              <a16:predDERef xmlns:a16="http://schemas.microsoft.com/office/drawing/2014/main" pred="{2F407528-C2DA-4029-B016-411EC3BA3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1120140</xdr:colOff>
      <xdr:row>212</xdr:row>
      <xdr:rowOff>188595</xdr:rowOff>
    </xdr:from>
    <xdr:to>
      <xdr:col>6</xdr:col>
      <xdr:colOff>281940</xdr:colOff>
      <xdr:row>224</xdr:row>
      <xdr:rowOff>186690</xdr:rowOff>
    </xdr:to>
    <xdr:graphicFrame macro="">
      <xdr:nvGraphicFramePr>
        <xdr:cNvPr id="21" name="Grafico 132">
          <a:extLst>
            <a:ext uri="{FF2B5EF4-FFF2-40B4-BE49-F238E27FC236}">
              <a16:creationId xmlns:a16="http://schemas.microsoft.com/office/drawing/2014/main" id="{D35D0E11-3883-4435-AEDB-C188F90EAA20}"/>
            </a:ext>
            <a:ext uri="{147F2762-F138-4A5C-976F-8EAC2B608ADB}">
              <a16:predDERef xmlns:a16="http://schemas.microsoft.com/office/drawing/2014/main" pred="{D061D072-BD69-4DC1-857F-E1A0DAED2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236220</xdr:colOff>
      <xdr:row>34</xdr:row>
      <xdr:rowOff>45720</xdr:rowOff>
    </xdr:from>
    <xdr:to>
      <xdr:col>17</xdr:col>
      <xdr:colOff>541020</xdr:colOff>
      <xdr:row>49</xdr:row>
      <xdr:rowOff>150495</xdr:rowOff>
    </xdr:to>
    <xdr:graphicFrame macro="">
      <xdr:nvGraphicFramePr>
        <xdr:cNvPr id="4" name="Grafico 21">
          <a:extLst>
            <a:ext uri="{FF2B5EF4-FFF2-40B4-BE49-F238E27FC236}">
              <a16:creationId xmlns:a16="http://schemas.microsoft.com/office/drawing/2014/main" id="{AD9B48EB-B00B-4CDC-AC41-CDC4B0EF9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251460</xdr:colOff>
      <xdr:row>51</xdr:row>
      <xdr:rowOff>45720</xdr:rowOff>
    </xdr:from>
    <xdr:to>
      <xdr:col>17</xdr:col>
      <xdr:colOff>556260</xdr:colOff>
      <xdr:row>66</xdr:row>
      <xdr:rowOff>150495</xdr:rowOff>
    </xdr:to>
    <xdr:graphicFrame macro="">
      <xdr:nvGraphicFramePr>
        <xdr:cNvPr id="5" name="Grafico 22">
          <a:extLst>
            <a:ext uri="{FF2B5EF4-FFF2-40B4-BE49-F238E27FC236}">
              <a16:creationId xmlns:a16="http://schemas.microsoft.com/office/drawing/2014/main" id="{5A1285F5-245C-4E55-9298-705C7D330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251460</xdr:colOff>
      <xdr:row>68</xdr:row>
      <xdr:rowOff>53340</xdr:rowOff>
    </xdr:from>
    <xdr:to>
      <xdr:col>17</xdr:col>
      <xdr:colOff>556260</xdr:colOff>
      <xdr:row>83</xdr:row>
      <xdr:rowOff>158115</xdr:rowOff>
    </xdr:to>
    <xdr:graphicFrame macro="">
      <xdr:nvGraphicFramePr>
        <xdr:cNvPr id="6" name="Grafico 23">
          <a:extLst>
            <a:ext uri="{FF2B5EF4-FFF2-40B4-BE49-F238E27FC236}">
              <a16:creationId xmlns:a16="http://schemas.microsoft.com/office/drawing/2014/main" id="{1D7486E4-43A8-4220-A5B3-F3B53C5FB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274320</xdr:colOff>
      <xdr:row>85</xdr:row>
      <xdr:rowOff>38100</xdr:rowOff>
    </xdr:from>
    <xdr:to>
      <xdr:col>17</xdr:col>
      <xdr:colOff>579120</xdr:colOff>
      <xdr:row>100</xdr:row>
      <xdr:rowOff>142875</xdr:rowOff>
    </xdr:to>
    <xdr:graphicFrame macro="">
      <xdr:nvGraphicFramePr>
        <xdr:cNvPr id="7" name="Grafico 24">
          <a:extLst>
            <a:ext uri="{FF2B5EF4-FFF2-40B4-BE49-F238E27FC236}">
              <a16:creationId xmlns:a16="http://schemas.microsoft.com/office/drawing/2014/main" id="{A77BA24E-A0BE-4438-84BB-87CFA8EE5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281940</xdr:colOff>
      <xdr:row>102</xdr:row>
      <xdr:rowOff>53340</xdr:rowOff>
    </xdr:from>
    <xdr:to>
      <xdr:col>17</xdr:col>
      <xdr:colOff>586740</xdr:colOff>
      <xdr:row>117</xdr:row>
      <xdr:rowOff>158115</xdr:rowOff>
    </xdr:to>
    <xdr:graphicFrame macro="">
      <xdr:nvGraphicFramePr>
        <xdr:cNvPr id="8" name="Grafico 25">
          <a:extLst>
            <a:ext uri="{FF2B5EF4-FFF2-40B4-BE49-F238E27FC236}">
              <a16:creationId xmlns:a16="http://schemas.microsoft.com/office/drawing/2014/main" id="{F5A5E810-6858-4045-BA53-20E48416C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251460</xdr:colOff>
      <xdr:row>119</xdr:row>
      <xdr:rowOff>45720</xdr:rowOff>
    </xdr:from>
    <xdr:to>
      <xdr:col>17</xdr:col>
      <xdr:colOff>556260</xdr:colOff>
      <xdr:row>134</xdr:row>
      <xdr:rowOff>150495</xdr:rowOff>
    </xdr:to>
    <xdr:graphicFrame macro="">
      <xdr:nvGraphicFramePr>
        <xdr:cNvPr id="9" name="Grafico 26">
          <a:extLst>
            <a:ext uri="{FF2B5EF4-FFF2-40B4-BE49-F238E27FC236}">
              <a16:creationId xmlns:a16="http://schemas.microsoft.com/office/drawing/2014/main" id="{DD540768-D8EF-495B-A383-03863A3E4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251460</xdr:colOff>
      <xdr:row>136</xdr:row>
      <xdr:rowOff>15240</xdr:rowOff>
    </xdr:from>
    <xdr:to>
      <xdr:col>17</xdr:col>
      <xdr:colOff>556260</xdr:colOff>
      <xdr:row>151</xdr:row>
      <xdr:rowOff>120015</xdr:rowOff>
    </xdr:to>
    <xdr:graphicFrame macro="">
      <xdr:nvGraphicFramePr>
        <xdr:cNvPr id="11" name="Grafico 27">
          <a:extLst>
            <a:ext uri="{FF2B5EF4-FFF2-40B4-BE49-F238E27FC236}">
              <a16:creationId xmlns:a16="http://schemas.microsoft.com/office/drawing/2014/main" id="{F84FC5E4-ECC6-4E36-8F48-5481D4F39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9525</xdr:rowOff>
    </xdr:from>
    <xdr:to>
      <xdr:col>17</xdr:col>
      <xdr:colOff>495300</xdr:colOff>
      <xdr:row>15</xdr:row>
      <xdr:rowOff>114300</xdr:rowOff>
    </xdr:to>
    <xdr:graphicFrame macro="">
      <xdr:nvGraphicFramePr>
        <xdr:cNvPr id="65" name="Grafico 1">
          <a:extLst>
            <a:ext uri="{FF2B5EF4-FFF2-40B4-BE49-F238E27FC236}">
              <a16:creationId xmlns:a16="http://schemas.microsoft.com/office/drawing/2014/main" id="{DEF99713-4179-4A31-9D88-09C28C754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272</xdr:row>
      <xdr:rowOff>57150</xdr:rowOff>
    </xdr:from>
    <xdr:to>
      <xdr:col>7</xdr:col>
      <xdr:colOff>474345</xdr:colOff>
      <xdr:row>294</xdr:row>
      <xdr:rowOff>133350</xdr:rowOff>
    </xdr:to>
    <xdr:graphicFrame macro="">
      <xdr:nvGraphicFramePr>
        <xdr:cNvPr id="89" name="Grafico 6">
          <a:extLst>
            <a:ext uri="{FF2B5EF4-FFF2-40B4-BE49-F238E27FC236}">
              <a16:creationId xmlns:a16="http://schemas.microsoft.com/office/drawing/2014/main" id="{78452BDE-9AB5-4CAA-AE31-6D823C74C3DE}"/>
            </a:ext>
            <a:ext uri="{147F2762-F138-4A5C-976F-8EAC2B608ADB}">
              <a16:predDERef xmlns:a16="http://schemas.microsoft.com/office/drawing/2014/main" pred="{DEF99713-4179-4A31-9D88-09C28C754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443865</xdr:colOff>
      <xdr:row>296</xdr:row>
      <xdr:rowOff>26670</xdr:rowOff>
    </xdr:from>
    <xdr:to>
      <xdr:col>8</xdr:col>
      <xdr:colOff>594361</xdr:colOff>
      <xdr:row>319</xdr:row>
      <xdr:rowOff>28575</xdr:rowOff>
    </xdr:to>
    <xdr:graphicFrame macro="">
      <xdr:nvGraphicFramePr>
        <xdr:cNvPr id="92" name="Grafico 6">
          <a:extLst>
            <a:ext uri="{FF2B5EF4-FFF2-40B4-BE49-F238E27FC236}">
              <a16:creationId xmlns:a16="http://schemas.microsoft.com/office/drawing/2014/main" id="{F199475E-E724-494D-AC57-FACA81E659C2}"/>
            </a:ext>
            <a:ext uri="{147F2762-F138-4A5C-976F-8EAC2B608ADB}">
              <a16:predDERef xmlns:a16="http://schemas.microsoft.com/office/drawing/2014/main" pred="{78452BDE-9AB5-4CAA-AE31-6D823C74C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563879</xdr:colOff>
      <xdr:row>320</xdr:row>
      <xdr:rowOff>1908</xdr:rowOff>
    </xdr:from>
    <xdr:to>
      <xdr:col>7</xdr:col>
      <xdr:colOff>243839</xdr:colOff>
      <xdr:row>338</xdr:row>
      <xdr:rowOff>9526</xdr:rowOff>
    </xdr:to>
    <xdr:graphicFrame macro="">
      <xdr:nvGraphicFramePr>
        <xdr:cNvPr id="68" name="Grafico 101">
          <a:extLst>
            <a:ext uri="{FF2B5EF4-FFF2-40B4-BE49-F238E27FC236}">
              <a16:creationId xmlns:a16="http://schemas.microsoft.com/office/drawing/2014/main" id="{58D6DB13-E8E1-41AD-B465-523430FC2011}"/>
            </a:ext>
            <a:ext uri="{147F2762-F138-4A5C-976F-8EAC2B608ADB}">
              <a16:predDERef xmlns:a16="http://schemas.microsoft.com/office/drawing/2014/main" pred="{F199475E-E724-494D-AC57-FACA81E65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1125855</xdr:colOff>
      <xdr:row>339</xdr:row>
      <xdr:rowOff>0</xdr:rowOff>
    </xdr:from>
    <xdr:to>
      <xdr:col>6</xdr:col>
      <xdr:colOff>283845</xdr:colOff>
      <xdr:row>357</xdr:row>
      <xdr:rowOff>7620</xdr:rowOff>
    </xdr:to>
    <xdr:graphicFrame macro="">
      <xdr:nvGraphicFramePr>
        <xdr:cNvPr id="69" name="Grafico 131">
          <a:extLst>
            <a:ext uri="{FF2B5EF4-FFF2-40B4-BE49-F238E27FC236}">
              <a16:creationId xmlns:a16="http://schemas.microsoft.com/office/drawing/2014/main" id="{7AE248D7-3615-48AC-8021-594395C09DE5}"/>
            </a:ext>
            <a:ext uri="{147F2762-F138-4A5C-976F-8EAC2B608ADB}">
              <a16:predDERef xmlns:a16="http://schemas.microsoft.com/office/drawing/2014/main" pred="{58D6DB13-E8E1-41AD-B465-523430FC2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1120140</xdr:colOff>
      <xdr:row>357</xdr:row>
      <xdr:rowOff>188595</xdr:rowOff>
    </xdr:from>
    <xdr:to>
      <xdr:col>6</xdr:col>
      <xdr:colOff>281940</xdr:colOff>
      <xdr:row>376</xdr:row>
      <xdr:rowOff>186690</xdr:rowOff>
    </xdr:to>
    <xdr:graphicFrame macro="">
      <xdr:nvGraphicFramePr>
        <xdr:cNvPr id="70" name="Grafico 132">
          <a:extLst>
            <a:ext uri="{FF2B5EF4-FFF2-40B4-BE49-F238E27FC236}">
              <a16:creationId xmlns:a16="http://schemas.microsoft.com/office/drawing/2014/main" id="{8BDD1D8D-3F2F-460A-99F4-096310A72EF1}"/>
            </a:ext>
            <a:ext uri="{147F2762-F138-4A5C-976F-8EAC2B608ADB}">
              <a16:predDERef xmlns:a16="http://schemas.microsoft.com/office/drawing/2014/main" pred="{7AE248D7-3615-48AC-8021-594395C09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160020</xdr:colOff>
      <xdr:row>17</xdr:row>
      <xdr:rowOff>68580</xdr:rowOff>
    </xdr:from>
    <xdr:to>
      <xdr:col>17</xdr:col>
      <xdr:colOff>464820</xdr:colOff>
      <xdr:row>32</xdr:row>
      <xdr:rowOff>66675</xdr:rowOff>
    </xdr:to>
    <xdr:graphicFrame macro="">
      <xdr:nvGraphicFramePr>
        <xdr:cNvPr id="71" name="Grafico 22">
          <a:extLst>
            <a:ext uri="{FF2B5EF4-FFF2-40B4-BE49-F238E27FC236}">
              <a16:creationId xmlns:a16="http://schemas.microsoft.com/office/drawing/2014/main" id="{989B6C3B-8548-4D7A-82CD-EA2C1B31F4B1}"/>
            </a:ext>
            <a:ext uri="{147F2762-F138-4A5C-976F-8EAC2B608ADB}">
              <a16:predDERef xmlns:a16="http://schemas.microsoft.com/office/drawing/2014/main" pred="{8BDD1D8D-3F2F-460A-99F4-096310A72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182880</xdr:colOff>
      <xdr:row>34</xdr:row>
      <xdr:rowOff>99060</xdr:rowOff>
    </xdr:from>
    <xdr:to>
      <xdr:col>17</xdr:col>
      <xdr:colOff>487680</xdr:colOff>
      <xdr:row>50</xdr:row>
      <xdr:rowOff>20955</xdr:rowOff>
    </xdr:to>
    <xdr:graphicFrame macro="">
      <xdr:nvGraphicFramePr>
        <xdr:cNvPr id="72" name="Grafico 23">
          <a:extLst>
            <a:ext uri="{FF2B5EF4-FFF2-40B4-BE49-F238E27FC236}">
              <a16:creationId xmlns:a16="http://schemas.microsoft.com/office/drawing/2014/main" id="{34369008-C1C7-4A90-817E-43546C266F0C}"/>
            </a:ext>
            <a:ext uri="{147F2762-F138-4A5C-976F-8EAC2B608ADB}">
              <a16:predDERef xmlns:a16="http://schemas.microsoft.com/office/drawing/2014/main" pred="{989B6C3B-8548-4D7A-82CD-EA2C1B31F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205740</xdr:colOff>
      <xdr:row>51</xdr:row>
      <xdr:rowOff>30480</xdr:rowOff>
    </xdr:from>
    <xdr:to>
      <xdr:col>17</xdr:col>
      <xdr:colOff>510540</xdr:colOff>
      <xdr:row>66</xdr:row>
      <xdr:rowOff>135255</xdr:rowOff>
    </xdr:to>
    <xdr:graphicFrame macro="">
      <xdr:nvGraphicFramePr>
        <xdr:cNvPr id="73" name="Grafico 24">
          <a:extLst>
            <a:ext uri="{FF2B5EF4-FFF2-40B4-BE49-F238E27FC236}">
              <a16:creationId xmlns:a16="http://schemas.microsoft.com/office/drawing/2014/main" id="{ADEC32F4-78E6-46AF-AE9A-E1F345CCD100}"/>
            </a:ext>
            <a:ext uri="{147F2762-F138-4A5C-976F-8EAC2B608ADB}">
              <a16:predDERef xmlns:a16="http://schemas.microsoft.com/office/drawing/2014/main" pred="{34369008-C1C7-4A90-817E-43546C266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198120</xdr:colOff>
      <xdr:row>68</xdr:row>
      <xdr:rowOff>30480</xdr:rowOff>
    </xdr:from>
    <xdr:to>
      <xdr:col>17</xdr:col>
      <xdr:colOff>502920</xdr:colOff>
      <xdr:row>83</xdr:row>
      <xdr:rowOff>135255</xdr:rowOff>
    </xdr:to>
    <xdr:graphicFrame macro="">
      <xdr:nvGraphicFramePr>
        <xdr:cNvPr id="74" name="Grafico 25">
          <a:extLst>
            <a:ext uri="{FF2B5EF4-FFF2-40B4-BE49-F238E27FC236}">
              <a16:creationId xmlns:a16="http://schemas.microsoft.com/office/drawing/2014/main" id="{905ACAAE-D1AF-4771-BD2C-C752EFFB9097}"/>
            </a:ext>
            <a:ext uri="{147F2762-F138-4A5C-976F-8EAC2B608ADB}">
              <a16:predDERef xmlns:a16="http://schemas.microsoft.com/office/drawing/2014/main" pred="{ADEC32F4-78E6-46AF-AE9A-E1F345CCD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160020</xdr:colOff>
      <xdr:row>85</xdr:row>
      <xdr:rowOff>30480</xdr:rowOff>
    </xdr:from>
    <xdr:to>
      <xdr:col>17</xdr:col>
      <xdr:colOff>464820</xdr:colOff>
      <xdr:row>100</xdr:row>
      <xdr:rowOff>135255</xdr:rowOff>
    </xdr:to>
    <xdr:graphicFrame macro="">
      <xdr:nvGraphicFramePr>
        <xdr:cNvPr id="75" name="Grafico 26">
          <a:extLst>
            <a:ext uri="{FF2B5EF4-FFF2-40B4-BE49-F238E27FC236}">
              <a16:creationId xmlns:a16="http://schemas.microsoft.com/office/drawing/2014/main" id="{6BC2661B-9B95-429B-BFC3-FED3940C4CF6}"/>
            </a:ext>
            <a:ext uri="{147F2762-F138-4A5C-976F-8EAC2B608ADB}">
              <a16:predDERef xmlns:a16="http://schemas.microsoft.com/office/drawing/2014/main" pred="{905ACAAE-D1AF-4771-BD2C-C752EFFB9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160020</xdr:colOff>
      <xdr:row>102</xdr:row>
      <xdr:rowOff>38100</xdr:rowOff>
    </xdr:from>
    <xdr:to>
      <xdr:col>17</xdr:col>
      <xdr:colOff>464820</xdr:colOff>
      <xdr:row>117</xdr:row>
      <xdr:rowOff>142875</xdr:rowOff>
    </xdr:to>
    <xdr:graphicFrame macro="">
      <xdr:nvGraphicFramePr>
        <xdr:cNvPr id="76" name="Grafico 27">
          <a:extLst>
            <a:ext uri="{FF2B5EF4-FFF2-40B4-BE49-F238E27FC236}">
              <a16:creationId xmlns:a16="http://schemas.microsoft.com/office/drawing/2014/main" id="{CC2CBFCE-ED30-420C-B8EC-48117A79C1D0}"/>
            </a:ext>
            <a:ext uri="{147F2762-F138-4A5C-976F-8EAC2B608ADB}">
              <a16:predDERef xmlns:a16="http://schemas.microsoft.com/office/drawing/2014/main" pred="{6BC2661B-9B95-429B-BFC3-FED3940C4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160020</xdr:colOff>
      <xdr:row>119</xdr:row>
      <xdr:rowOff>68580</xdr:rowOff>
    </xdr:from>
    <xdr:to>
      <xdr:col>17</xdr:col>
      <xdr:colOff>464820</xdr:colOff>
      <xdr:row>134</xdr:row>
      <xdr:rowOff>173355</xdr:rowOff>
    </xdr:to>
    <xdr:graphicFrame macro="">
      <xdr:nvGraphicFramePr>
        <xdr:cNvPr id="77" name="Grafico 28">
          <a:extLst>
            <a:ext uri="{FF2B5EF4-FFF2-40B4-BE49-F238E27FC236}">
              <a16:creationId xmlns:a16="http://schemas.microsoft.com/office/drawing/2014/main" id="{5CD2026B-C58B-4724-9A0F-47E2560B8509}"/>
            </a:ext>
            <a:ext uri="{147F2762-F138-4A5C-976F-8EAC2B608ADB}">
              <a16:predDERef xmlns:a16="http://schemas.microsoft.com/office/drawing/2014/main" pred="{CC2CBFCE-ED30-420C-B8EC-48117A79C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175260</xdr:colOff>
      <xdr:row>136</xdr:row>
      <xdr:rowOff>30480</xdr:rowOff>
    </xdr:from>
    <xdr:to>
      <xdr:col>17</xdr:col>
      <xdr:colOff>480060</xdr:colOff>
      <xdr:row>151</xdr:row>
      <xdr:rowOff>135255</xdr:rowOff>
    </xdr:to>
    <xdr:graphicFrame macro="">
      <xdr:nvGraphicFramePr>
        <xdr:cNvPr id="78" name="Grafico 29">
          <a:extLst>
            <a:ext uri="{FF2B5EF4-FFF2-40B4-BE49-F238E27FC236}">
              <a16:creationId xmlns:a16="http://schemas.microsoft.com/office/drawing/2014/main" id="{B204FF3D-B434-471A-BE3C-1D0B9C8C4893}"/>
            </a:ext>
            <a:ext uri="{147F2762-F138-4A5C-976F-8EAC2B608ADB}">
              <a16:predDERef xmlns:a16="http://schemas.microsoft.com/office/drawing/2014/main" pred="{5CD2026B-C58B-4724-9A0F-47E2560B8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236220</xdr:colOff>
      <xdr:row>153</xdr:row>
      <xdr:rowOff>152400</xdr:rowOff>
    </xdr:from>
    <xdr:to>
      <xdr:col>17</xdr:col>
      <xdr:colOff>541020</xdr:colOff>
      <xdr:row>168</xdr:row>
      <xdr:rowOff>51435</xdr:rowOff>
    </xdr:to>
    <xdr:graphicFrame macro="">
      <xdr:nvGraphicFramePr>
        <xdr:cNvPr id="79" name="Grafico 30">
          <a:extLst>
            <a:ext uri="{FF2B5EF4-FFF2-40B4-BE49-F238E27FC236}">
              <a16:creationId xmlns:a16="http://schemas.microsoft.com/office/drawing/2014/main" id="{8A4B0097-1E39-4892-9EEA-00D9F24B8213}"/>
            </a:ext>
            <a:ext uri="{147F2762-F138-4A5C-976F-8EAC2B608ADB}">
              <a16:predDERef xmlns:a16="http://schemas.microsoft.com/office/drawing/2014/main" pred="{B204FF3D-B434-471A-BE3C-1D0B9C8C4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251460</xdr:colOff>
      <xdr:row>170</xdr:row>
      <xdr:rowOff>160020</xdr:rowOff>
    </xdr:from>
    <xdr:to>
      <xdr:col>17</xdr:col>
      <xdr:colOff>556260</xdr:colOff>
      <xdr:row>185</xdr:row>
      <xdr:rowOff>36195</xdr:rowOff>
    </xdr:to>
    <xdr:graphicFrame macro="">
      <xdr:nvGraphicFramePr>
        <xdr:cNvPr id="80" name="Grafico 31">
          <a:extLst>
            <a:ext uri="{FF2B5EF4-FFF2-40B4-BE49-F238E27FC236}">
              <a16:creationId xmlns:a16="http://schemas.microsoft.com/office/drawing/2014/main" id="{81797BE8-C0F7-4A6C-8F2E-5A0E2B4AFBEC}"/>
            </a:ext>
            <a:ext uri="{147F2762-F138-4A5C-976F-8EAC2B608ADB}">
              <a16:predDERef xmlns:a16="http://schemas.microsoft.com/office/drawing/2014/main" pred="{8A4B0097-1E39-4892-9EEA-00D9F24B8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373380</xdr:colOff>
      <xdr:row>185</xdr:row>
      <xdr:rowOff>152401</xdr:rowOff>
    </xdr:from>
    <xdr:to>
      <xdr:col>17</xdr:col>
      <xdr:colOff>342900</xdr:colOff>
      <xdr:row>203</xdr:row>
      <xdr:rowOff>22860</xdr:rowOff>
    </xdr:to>
    <xdr:graphicFrame macro="">
      <xdr:nvGraphicFramePr>
        <xdr:cNvPr id="81" name="Grafico 32">
          <a:extLst>
            <a:ext uri="{FF2B5EF4-FFF2-40B4-BE49-F238E27FC236}">
              <a16:creationId xmlns:a16="http://schemas.microsoft.com/office/drawing/2014/main" id="{03FECB55-CF2B-4FFE-B18A-DB61A0C77474}"/>
            </a:ext>
            <a:ext uri="{147F2762-F138-4A5C-976F-8EAC2B608ADB}">
              <a16:predDERef xmlns:a16="http://schemas.microsoft.com/office/drawing/2014/main" pred="{81797BE8-C0F7-4A6C-8F2E-5A0E2B4AF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350520</xdr:colOff>
      <xdr:row>204</xdr:row>
      <xdr:rowOff>99060</xdr:rowOff>
    </xdr:from>
    <xdr:to>
      <xdr:col>17</xdr:col>
      <xdr:colOff>320040</xdr:colOff>
      <xdr:row>219</xdr:row>
      <xdr:rowOff>45719</xdr:rowOff>
    </xdr:to>
    <xdr:graphicFrame macro="">
      <xdr:nvGraphicFramePr>
        <xdr:cNvPr id="82" name="Grafico 33">
          <a:extLst>
            <a:ext uri="{FF2B5EF4-FFF2-40B4-BE49-F238E27FC236}">
              <a16:creationId xmlns:a16="http://schemas.microsoft.com/office/drawing/2014/main" id="{62FE59C7-0FCB-441A-8D79-130C2B80DBBB}"/>
            </a:ext>
            <a:ext uri="{147F2762-F138-4A5C-976F-8EAC2B608ADB}">
              <a16:predDERef xmlns:a16="http://schemas.microsoft.com/office/drawing/2014/main" pred="{03FECB55-CF2B-4FFE-B18A-DB61A0C77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312420</xdr:colOff>
      <xdr:row>222</xdr:row>
      <xdr:rowOff>45720</xdr:rowOff>
    </xdr:from>
    <xdr:to>
      <xdr:col>17</xdr:col>
      <xdr:colOff>281940</xdr:colOff>
      <xdr:row>235</xdr:row>
      <xdr:rowOff>167639</xdr:rowOff>
    </xdr:to>
    <xdr:graphicFrame macro="">
      <xdr:nvGraphicFramePr>
        <xdr:cNvPr id="83" name="Grafico 34">
          <a:extLst>
            <a:ext uri="{FF2B5EF4-FFF2-40B4-BE49-F238E27FC236}">
              <a16:creationId xmlns:a16="http://schemas.microsoft.com/office/drawing/2014/main" id="{71A222E2-FDEB-4FAE-A0C5-1DC7C705FD5A}"/>
            </a:ext>
            <a:ext uri="{147F2762-F138-4A5C-976F-8EAC2B608ADB}">
              <a16:predDERef xmlns:a16="http://schemas.microsoft.com/office/drawing/2014/main" pred="{62FE59C7-0FCB-441A-8D79-130C2B80D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297180</xdr:colOff>
      <xdr:row>238</xdr:row>
      <xdr:rowOff>106680</xdr:rowOff>
    </xdr:from>
    <xdr:to>
      <xdr:col>17</xdr:col>
      <xdr:colOff>266700</xdr:colOff>
      <xdr:row>252</xdr:row>
      <xdr:rowOff>45719</xdr:rowOff>
    </xdr:to>
    <xdr:graphicFrame macro="">
      <xdr:nvGraphicFramePr>
        <xdr:cNvPr id="84" name="Grafico 35">
          <a:extLst>
            <a:ext uri="{FF2B5EF4-FFF2-40B4-BE49-F238E27FC236}">
              <a16:creationId xmlns:a16="http://schemas.microsoft.com/office/drawing/2014/main" id="{C0ED5192-5DF8-4990-A47B-391079FF667F}"/>
            </a:ext>
            <a:ext uri="{147F2762-F138-4A5C-976F-8EAC2B608ADB}">
              <a16:predDERef xmlns:a16="http://schemas.microsoft.com/office/drawing/2014/main" pred="{71A222E2-FDEB-4FAE-A0C5-1DC7C705F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327660</xdr:colOff>
      <xdr:row>256</xdr:row>
      <xdr:rowOff>30480</xdr:rowOff>
    </xdr:from>
    <xdr:to>
      <xdr:col>17</xdr:col>
      <xdr:colOff>297180</xdr:colOff>
      <xdr:row>269</xdr:row>
      <xdr:rowOff>152399</xdr:rowOff>
    </xdr:to>
    <xdr:graphicFrame macro="">
      <xdr:nvGraphicFramePr>
        <xdr:cNvPr id="85" name="Grafico 36">
          <a:extLst>
            <a:ext uri="{FF2B5EF4-FFF2-40B4-BE49-F238E27FC236}">
              <a16:creationId xmlns:a16="http://schemas.microsoft.com/office/drawing/2014/main" id="{B0DBA863-8B0C-4988-B853-6FE95BAC2477}"/>
            </a:ext>
            <a:ext uri="{147F2762-F138-4A5C-976F-8EAC2B608ADB}">
              <a16:predDERef xmlns:a16="http://schemas.microsoft.com/office/drawing/2014/main" pred="{C0ED5192-5DF8-4990-A47B-391079FF6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9525</xdr:rowOff>
    </xdr:from>
    <xdr:to>
      <xdr:col>17</xdr:col>
      <xdr:colOff>495300</xdr:colOff>
      <xdr:row>15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A6E4011-19E7-49C4-9377-AEF3D99D9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272</xdr:row>
      <xdr:rowOff>57150</xdr:rowOff>
    </xdr:from>
    <xdr:to>
      <xdr:col>7</xdr:col>
      <xdr:colOff>474345</xdr:colOff>
      <xdr:row>294</xdr:row>
      <xdr:rowOff>133350</xdr:rowOff>
    </xdr:to>
    <xdr:graphicFrame macro="">
      <xdr:nvGraphicFramePr>
        <xdr:cNvPr id="11" name="Grafico 6">
          <a:extLst>
            <a:ext uri="{FF2B5EF4-FFF2-40B4-BE49-F238E27FC236}">
              <a16:creationId xmlns:a16="http://schemas.microsoft.com/office/drawing/2014/main" id="{3191EA31-50CC-40D7-B9FA-D8C8E64F71E1}"/>
            </a:ext>
            <a:ext uri="{147F2762-F138-4A5C-976F-8EAC2B608ADB}">
              <a16:predDERef xmlns:a16="http://schemas.microsoft.com/office/drawing/2014/main" pred="{20297567-446A-4BCE-B072-09469BB9C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443865</xdr:colOff>
      <xdr:row>296</xdr:row>
      <xdr:rowOff>26670</xdr:rowOff>
    </xdr:from>
    <xdr:to>
      <xdr:col>8</xdr:col>
      <xdr:colOff>594361</xdr:colOff>
      <xdr:row>319</xdr:row>
      <xdr:rowOff>28575</xdr:rowOff>
    </xdr:to>
    <xdr:graphicFrame macro="">
      <xdr:nvGraphicFramePr>
        <xdr:cNvPr id="41" name="Grafico 6">
          <a:extLst>
            <a:ext uri="{FF2B5EF4-FFF2-40B4-BE49-F238E27FC236}">
              <a16:creationId xmlns:a16="http://schemas.microsoft.com/office/drawing/2014/main" id="{C008BD53-C589-4EB6-9610-E7BD5AD665EA}"/>
            </a:ext>
            <a:ext uri="{147F2762-F138-4A5C-976F-8EAC2B608ADB}">
              <a16:predDERef xmlns:a16="http://schemas.microsoft.com/office/drawing/2014/main" pred="{707E0D88-0F77-43A8-94B8-7C57DFC8E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563879</xdr:colOff>
      <xdr:row>320</xdr:row>
      <xdr:rowOff>1908</xdr:rowOff>
    </xdr:from>
    <xdr:to>
      <xdr:col>7</xdr:col>
      <xdr:colOff>243839</xdr:colOff>
      <xdr:row>338</xdr:row>
      <xdr:rowOff>9526</xdr:rowOff>
    </xdr:to>
    <xdr:graphicFrame macro="">
      <xdr:nvGraphicFramePr>
        <xdr:cNvPr id="13" name="Grafico 101">
          <a:extLst>
            <a:ext uri="{FF2B5EF4-FFF2-40B4-BE49-F238E27FC236}">
              <a16:creationId xmlns:a16="http://schemas.microsoft.com/office/drawing/2014/main" id="{6AD71A5E-C0FF-4A06-B194-C70A1485945C}"/>
            </a:ext>
            <a:ext uri="{147F2762-F138-4A5C-976F-8EAC2B608ADB}">
              <a16:predDERef xmlns:a16="http://schemas.microsoft.com/office/drawing/2014/main" pred="{B8BEF722-6FC1-403A-B006-BAA91B811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1125855</xdr:colOff>
      <xdr:row>339</xdr:row>
      <xdr:rowOff>0</xdr:rowOff>
    </xdr:from>
    <xdr:to>
      <xdr:col>6</xdr:col>
      <xdr:colOff>283845</xdr:colOff>
      <xdr:row>357</xdr:row>
      <xdr:rowOff>7620</xdr:rowOff>
    </xdr:to>
    <xdr:graphicFrame macro="">
      <xdr:nvGraphicFramePr>
        <xdr:cNvPr id="14" name="Grafico 131">
          <a:extLst>
            <a:ext uri="{FF2B5EF4-FFF2-40B4-BE49-F238E27FC236}">
              <a16:creationId xmlns:a16="http://schemas.microsoft.com/office/drawing/2014/main" id="{4B9F21B2-D7BC-4E5F-9B8F-356EBCBBE957}"/>
            </a:ext>
            <a:ext uri="{147F2762-F138-4A5C-976F-8EAC2B608ADB}">
              <a16:predDERef xmlns:a16="http://schemas.microsoft.com/office/drawing/2014/main" pred="{2F407528-C2DA-4029-B016-411EC3BA3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1120140</xdr:colOff>
      <xdr:row>357</xdr:row>
      <xdr:rowOff>188595</xdr:rowOff>
    </xdr:from>
    <xdr:to>
      <xdr:col>6</xdr:col>
      <xdr:colOff>281940</xdr:colOff>
      <xdr:row>376</xdr:row>
      <xdr:rowOff>186690</xdr:rowOff>
    </xdr:to>
    <xdr:graphicFrame macro="">
      <xdr:nvGraphicFramePr>
        <xdr:cNvPr id="15" name="Grafico 132">
          <a:extLst>
            <a:ext uri="{FF2B5EF4-FFF2-40B4-BE49-F238E27FC236}">
              <a16:creationId xmlns:a16="http://schemas.microsoft.com/office/drawing/2014/main" id="{D0E79F38-4E8E-4525-872A-6CB8B0381991}"/>
            </a:ext>
            <a:ext uri="{147F2762-F138-4A5C-976F-8EAC2B608ADB}">
              <a16:predDERef xmlns:a16="http://schemas.microsoft.com/office/drawing/2014/main" pred="{D061D072-BD69-4DC1-857F-E1A0DAED2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160020</xdr:colOff>
      <xdr:row>17</xdr:row>
      <xdr:rowOff>68580</xdr:rowOff>
    </xdr:from>
    <xdr:to>
      <xdr:col>17</xdr:col>
      <xdr:colOff>464820</xdr:colOff>
      <xdr:row>32</xdr:row>
      <xdr:rowOff>66675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09CFB14-61E2-46E3-B34C-0F2C37C7B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182880</xdr:colOff>
      <xdr:row>34</xdr:row>
      <xdr:rowOff>99060</xdr:rowOff>
    </xdr:from>
    <xdr:to>
      <xdr:col>17</xdr:col>
      <xdr:colOff>487680</xdr:colOff>
      <xdr:row>50</xdr:row>
      <xdr:rowOff>20955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9BBAC9A4-5668-43A2-82ED-BBEE65341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205740</xdr:colOff>
      <xdr:row>51</xdr:row>
      <xdr:rowOff>30480</xdr:rowOff>
    </xdr:from>
    <xdr:to>
      <xdr:col>17</xdr:col>
      <xdr:colOff>510540</xdr:colOff>
      <xdr:row>66</xdr:row>
      <xdr:rowOff>135255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110863D8-EDA0-4FEB-9C71-BBCB0FDA6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198120</xdr:colOff>
      <xdr:row>68</xdr:row>
      <xdr:rowOff>30480</xdr:rowOff>
    </xdr:from>
    <xdr:to>
      <xdr:col>17</xdr:col>
      <xdr:colOff>502920</xdr:colOff>
      <xdr:row>83</xdr:row>
      <xdr:rowOff>135255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2398402A-EC88-4598-9E24-EF67B953A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160020</xdr:colOff>
      <xdr:row>85</xdr:row>
      <xdr:rowOff>30480</xdr:rowOff>
    </xdr:from>
    <xdr:to>
      <xdr:col>17</xdr:col>
      <xdr:colOff>464820</xdr:colOff>
      <xdr:row>100</xdr:row>
      <xdr:rowOff>135255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741DD8A2-135E-44C7-B32A-B19446C09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160020</xdr:colOff>
      <xdr:row>102</xdr:row>
      <xdr:rowOff>38100</xdr:rowOff>
    </xdr:from>
    <xdr:to>
      <xdr:col>17</xdr:col>
      <xdr:colOff>464820</xdr:colOff>
      <xdr:row>117</xdr:row>
      <xdr:rowOff>142875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185BBF3B-199A-4B26-9091-79D216999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160020</xdr:colOff>
      <xdr:row>119</xdr:row>
      <xdr:rowOff>68580</xdr:rowOff>
    </xdr:from>
    <xdr:to>
      <xdr:col>17</xdr:col>
      <xdr:colOff>464820</xdr:colOff>
      <xdr:row>134</xdr:row>
      <xdr:rowOff>173355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3C8E3781-B9E8-4B8C-857C-07C34EC3F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175260</xdr:colOff>
      <xdr:row>136</xdr:row>
      <xdr:rowOff>30480</xdr:rowOff>
    </xdr:from>
    <xdr:to>
      <xdr:col>17</xdr:col>
      <xdr:colOff>480060</xdr:colOff>
      <xdr:row>151</xdr:row>
      <xdr:rowOff>135255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68DA9853-2B0C-4E75-83C0-E7A1051D5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236220</xdr:colOff>
      <xdr:row>153</xdr:row>
      <xdr:rowOff>152400</xdr:rowOff>
    </xdr:from>
    <xdr:to>
      <xdr:col>17</xdr:col>
      <xdr:colOff>541020</xdr:colOff>
      <xdr:row>168</xdr:row>
      <xdr:rowOff>51435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6CE49B90-A475-4210-8761-7E32A5AC1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251460</xdr:colOff>
      <xdr:row>170</xdr:row>
      <xdr:rowOff>160020</xdr:rowOff>
    </xdr:from>
    <xdr:to>
      <xdr:col>17</xdr:col>
      <xdr:colOff>556260</xdr:colOff>
      <xdr:row>185</xdr:row>
      <xdr:rowOff>36195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5ADDC29B-3E7F-434A-A4C7-555DC82D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373380</xdr:colOff>
      <xdr:row>185</xdr:row>
      <xdr:rowOff>152401</xdr:rowOff>
    </xdr:from>
    <xdr:to>
      <xdr:col>17</xdr:col>
      <xdr:colOff>342900</xdr:colOff>
      <xdr:row>203</xdr:row>
      <xdr:rowOff>22860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C79A5A29-307A-487B-9B7B-DD18EF049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350520</xdr:colOff>
      <xdr:row>204</xdr:row>
      <xdr:rowOff>99060</xdr:rowOff>
    </xdr:from>
    <xdr:to>
      <xdr:col>17</xdr:col>
      <xdr:colOff>320040</xdr:colOff>
      <xdr:row>219</xdr:row>
      <xdr:rowOff>45719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E6E80CCC-DD76-47B5-A324-5884159EB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312420</xdr:colOff>
      <xdr:row>222</xdr:row>
      <xdr:rowOff>45720</xdr:rowOff>
    </xdr:from>
    <xdr:to>
      <xdr:col>17</xdr:col>
      <xdr:colOff>281940</xdr:colOff>
      <xdr:row>235</xdr:row>
      <xdr:rowOff>167639</xdr:rowOff>
    </xdr:to>
    <xdr:graphicFrame macro="">
      <xdr:nvGraphicFramePr>
        <xdr:cNvPr id="35" name="Grafico 34">
          <a:extLst>
            <a:ext uri="{FF2B5EF4-FFF2-40B4-BE49-F238E27FC236}">
              <a16:creationId xmlns:a16="http://schemas.microsoft.com/office/drawing/2014/main" id="{724F494F-2CAC-4714-8D7A-8A321EBB0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297180</xdr:colOff>
      <xdr:row>238</xdr:row>
      <xdr:rowOff>106680</xdr:rowOff>
    </xdr:from>
    <xdr:to>
      <xdr:col>17</xdr:col>
      <xdr:colOff>266700</xdr:colOff>
      <xdr:row>252</xdr:row>
      <xdr:rowOff>45719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92901527-F45B-4738-98EF-EE7FED70C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327660</xdr:colOff>
      <xdr:row>256</xdr:row>
      <xdr:rowOff>30480</xdr:rowOff>
    </xdr:from>
    <xdr:to>
      <xdr:col>17</xdr:col>
      <xdr:colOff>297180</xdr:colOff>
      <xdr:row>269</xdr:row>
      <xdr:rowOff>152399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C5C6F64E-1B28-4F40-BB39-518F77116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Analysis_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r Regression for δ"/>
      <sheetName val="Linear Regression for μ"/>
      <sheetName val="Linear Regression for δμ"/>
      <sheetName val="_56F9DC9755BA473782653E2940F9"/>
    </sheetNames>
    <sheetDataSet>
      <sheetData sheetId="0">
        <row r="2">
          <cell r="H2">
            <v>1.6320649617893E-2</v>
          </cell>
          <cell r="J2">
            <v>-1.836858897688687</v>
          </cell>
        </row>
        <row r="3">
          <cell r="H3">
            <v>1.6366951162037999E-2</v>
          </cell>
          <cell r="J3">
            <v>-1.2811261510381207</v>
          </cell>
        </row>
        <row r="4">
          <cell r="H4">
            <v>1.6399044507836E-2</v>
          </cell>
          <cell r="J4">
            <v>-0.96558119772402384</v>
          </cell>
        </row>
        <row r="5">
          <cell r="H5">
            <v>1.6569913313339998E-2</v>
          </cell>
          <cell r="J5">
            <v>-0.72575040815577163</v>
          </cell>
        </row>
        <row r="6">
          <cell r="H6">
            <v>1.6578428317708001E-2</v>
          </cell>
          <cell r="J6">
            <v>-0.52246305252576009</v>
          </cell>
        </row>
        <row r="7">
          <cell r="H7">
            <v>1.6605436831945999E-2</v>
          </cell>
          <cell r="J7">
            <v>-0.33927638280750583</v>
          </cell>
        </row>
        <row r="8">
          <cell r="H8">
            <v>1.6621592700548998E-2</v>
          </cell>
          <cell r="J8">
            <v>-0.16715058832373922</v>
          </cell>
        </row>
        <row r="9">
          <cell r="H9">
            <v>1.6624437236143999E-2</v>
          </cell>
          <cell r="J9">
            <v>0</v>
          </cell>
        </row>
        <row r="10">
          <cell r="H10">
            <v>1.6634915464653999E-2</v>
          </cell>
          <cell r="J10">
            <v>0.16715058832373922</v>
          </cell>
        </row>
        <row r="11">
          <cell r="H11">
            <v>1.664795091949E-2</v>
          </cell>
          <cell r="J11">
            <v>0.33927638280750583</v>
          </cell>
        </row>
        <row r="12">
          <cell r="H12">
            <v>1.6650887939671E-2</v>
          </cell>
          <cell r="J12">
            <v>0.52246305252576009</v>
          </cell>
        </row>
        <row r="13">
          <cell r="H13">
            <v>1.6706821000998E-2</v>
          </cell>
          <cell r="J13">
            <v>0.72575040815577163</v>
          </cell>
        </row>
        <row r="14">
          <cell r="H14">
            <v>1.6712381942976001E-2</v>
          </cell>
          <cell r="J14">
            <v>0.96558119772402329</v>
          </cell>
        </row>
        <row r="15">
          <cell r="H15">
            <v>1.6731786707302E-2</v>
          </cell>
          <cell r="J15">
            <v>1.2811261510381207</v>
          </cell>
        </row>
        <row r="16">
          <cell r="H16">
            <v>1.6737214160376001E-2</v>
          </cell>
          <cell r="J16">
            <v>1.8368588976886859</v>
          </cell>
        </row>
        <row r="174">
          <cell r="B174">
            <v>0</v>
          </cell>
          <cell r="C174">
            <v>-4.4228486291941369</v>
          </cell>
        </row>
        <row r="175">
          <cell r="B175">
            <v>1E-3</v>
          </cell>
          <cell r="C175">
            <v>-4.0987204752878146</v>
          </cell>
        </row>
        <row r="176">
          <cell r="B176">
            <v>1.5E-3</v>
          </cell>
          <cell r="C176">
            <v>-3.9592877134425066</v>
          </cell>
        </row>
        <row r="177">
          <cell r="B177">
            <v>2E-3</v>
          </cell>
          <cell r="C177">
            <v>-3.8215644272625253</v>
          </cell>
        </row>
        <row r="178">
          <cell r="B178">
            <v>2.5000000000000001E-3</v>
          </cell>
          <cell r="C178">
            <v>-3.6830067335881851</v>
          </cell>
        </row>
        <row r="179">
          <cell r="B179">
            <v>3.0000000000000001E-3</v>
          </cell>
          <cell r="C179">
            <v>-3.5406604431982811</v>
          </cell>
        </row>
        <row r="180">
          <cell r="B180">
            <v>3.5000000000000001E-3</v>
          </cell>
          <cell r="C180">
            <v>-3.3988719397930502</v>
          </cell>
        </row>
        <row r="181">
          <cell r="B181">
            <v>4.0000000000000001E-3</v>
          </cell>
          <cell r="C181">
            <v>-3.2469374913760949</v>
          </cell>
        </row>
        <row r="182">
          <cell r="B182">
            <v>4.5000000000000005E-3</v>
          </cell>
          <cell r="C182">
            <v>-3.0890797212598842</v>
          </cell>
        </row>
        <row r="183">
          <cell r="B183">
            <v>5.0000000000000001E-3</v>
          </cell>
          <cell r="C183">
            <v>-2.924551273136843</v>
          </cell>
        </row>
        <row r="191">
          <cell r="A191">
            <v>-1.5071939793049438E-2</v>
          </cell>
          <cell r="C191">
            <v>-1.646839288608541</v>
          </cell>
        </row>
        <row r="192">
          <cell r="A192">
            <v>-1.1448629194136473E-2</v>
          </cell>
          <cell r="C192">
            <v>-1.0348120568824539</v>
          </cell>
        </row>
        <row r="193">
          <cell r="A193">
            <v>-1.0060443198280922E-2</v>
          </cell>
          <cell r="C193">
            <v>-0.67234481227438181</v>
          </cell>
        </row>
        <row r="194">
          <cell r="A194">
            <v>-9.9374913760943429E-3</v>
          </cell>
          <cell r="C194">
            <v>-0.38375344638642911</v>
          </cell>
        </row>
        <row r="195">
          <cell r="A195">
            <v>-5.6067335881850866E-3</v>
          </cell>
          <cell r="C195">
            <v>-0.12510020748818707</v>
          </cell>
        </row>
        <row r="196">
          <cell r="A196">
            <v>1.1202787401156655E-3</v>
          </cell>
          <cell r="C196">
            <v>0.12510020748818651</v>
          </cell>
        </row>
        <row r="197">
          <cell r="A197">
            <v>2.6355727374749449E-3</v>
          </cell>
          <cell r="C197">
            <v>0.383753446386428</v>
          </cell>
        </row>
        <row r="198">
          <cell r="A198">
            <v>1.1712286557493456E-2</v>
          </cell>
          <cell r="C198">
            <v>0.67234481227438181</v>
          </cell>
        </row>
        <row r="199">
          <cell r="A199">
            <v>1.8848726863157417E-2</v>
          </cell>
          <cell r="C199">
            <v>1.0348120568824539</v>
          </cell>
        </row>
        <row r="200">
          <cell r="A200">
            <v>1.9079524712186213E-2</v>
          </cell>
          <cell r="C200">
            <v>1.6468392886085399</v>
          </cell>
        </row>
        <row r="204">
          <cell r="A204">
            <v>-1.1448629194136473E-2</v>
          </cell>
          <cell r="B204">
            <v>-4.4114000000000004</v>
          </cell>
        </row>
        <row r="205">
          <cell r="A205">
            <v>1.9079524712186213E-2</v>
          </cell>
          <cell r="B205">
            <v>-4.1177500000000009</v>
          </cell>
        </row>
        <row r="206">
          <cell r="A206">
            <v>1.1712286557493456E-2</v>
          </cell>
          <cell r="B206">
            <v>-3.9709250000000003</v>
          </cell>
        </row>
        <row r="207">
          <cell r="A207">
            <v>2.6355727374749449E-3</v>
          </cell>
          <cell r="B207">
            <v>-3.8241000000000005</v>
          </cell>
        </row>
        <row r="208">
          <cell r="A208">
            <v>-5.6067335881850866E-3</v>
          </cell>
          <cell r="B208">
            <v>-3.6772750000000007</v>
          </cell>
        </row>
        <row r="209">
          <cell r="A209">
            <v>-1.0060443198280922E-2</v>
          </cell>
          <cell r="B209">
            <v>-3.5304500000000005</v>
          </cell>
        </row>
        <row r="210">
          <cell r="A210">
            <v>-1.5071939793049438E-2</v>
          </cell>
          <cell r="B210">
            <v>-3.3836250000000003</v>
          </cell>
        </row>
        <row r="211">
          <cell r="A211">
            <v>-9.9374913760943429E-3</v>
          </cell>
          <cell r="B211">
            <v>-3.2368000000000006</v>
          </cell>
        </row>
        <row r="212">
          <cell r="A212">
            <v>1.1202787401156655E-3</v>
          </cell>
          <cell r="B212">
            <v>-3.0899750000000004</v>
          </cell>
        </row>
        <row r="213">
          <cell r="A213">
            <v>1.8848726863157417E-2</v>
          </cell>
          <cell r="B213">
            <v>-2.9431500000000006</v>
          </cell>
        </row>
        <row r="217">
          <cell r="A217">
            <v>-1.1448629194136473E-2</v>
          </cell>
          <cell r="B217">
            <v>1</v>
          </cell>
        </row>
        <row r="218">
          <cell r="A218">
            <v>1.9079524712186213E-2</v>
          </cell>
          <cell r="B218">
            <v>2</v>
          </cell>
        </row>
        <row r="219">
          <cell r="A219">
            <v>1.1712286557493456E-2</v>
          </cell>
          <cell r="B219">
            <v>3</v>
          </cell>
        </row>
        <row r="220">
          <cell r="A220">
            <v>2.6355727374749449E-3</v>
          </cell>
          <cell r="B220">
            <v>4</v>
          </cell>
        </row>
        <row r="221">
          <cell r="A221">
            <v>-5.6067335881850866E-3</v>
          </cell>
          <cell r="B221">
            <v>5</v>
          </cell>
        </row>
        <row r="222">
          <cell r="A222">
            <v>-1.0060443198280922E-2</v>
          </cell>
          <cell r="B222">
            <v>6</v>
          </cell>
        </row>
        <row r="223">
          <cell r="A223">
            <v>-1.5071939793049438E-2</v>
          </cell>
          <cell r="B223">
            <v>7</v>
          </cell>
        </row>
        <row r="224">
          <cell r="A224">
            <v>-9.9374913760943429E-3</v>
          </cell>
          <cell r="B224">
            <v>8</v>
          </cell>
        </row>
        <row r="225">
          <cell r="A225">
            <v>1.1202787401156655E-3</v>
          </cell>
          <cell r="B225">
            <v>9</v>
          </cell>
        </row>
        <row r="226">
          <cell r="A226">
            <v>1.8848726863157417E-2</v>
          </cell>
          <cell r="B226">
            <v>10</v>
          </cell>
        </row>
      </sheetData>
      <sheetData sheetId="1"/>
      <sheetData sheetId="2">
        <row r="323">
          <cell r="A323">
            <v>-8.9840475287815025E-2</v>
          </cell>
          <cell r="C323">
            <v>-1.8657648402099227</v>
          </cell>
        </row>
        <row r="324">
          <cell r="A324">
            <v>-7.8724427262525154E-2</v>
          </cell>
          <cell r="C324">
            <v>-1.3178098407415364</v>
          </cell>
        </row>
        <row r="325">
          <cell r="A325">
            <v>-6.565405772998556E-2</v>
          </cell>
          <cell r="C325">
            <v>-1.0082783038771823</v>
          </cell>
        </row>
        <row r="326">
          <cell r="A326">
            <v>-5.3328111356491625E-2</v>
          </cell>
          <cell r="C326">
            <v>-0.77427005635431245</v>
          </cell>
        </row>
        <row r="327">
          <cell r="A327">
            <v>-4.7907886396748367E-2</v>
          </cell>
          <cell r="C327">
            <v>-0.57709366971925891</v>
          </cell>
        </row>
        <row r="328">
          <cell r="A328">
            <v>-3.7077649668187718E-2</v>
          </cell>
          <cell r="C328">
            <v>-0.4006301257381869</v>
          </cell>
        </row>
        <row r="329">
          <cell r="A329">
            <v>-3.6177491376094828E-2</v>
          </cell>
          <cell r="C329">
            <v>-0.23617194000999964</v>
          </cell>
        </row>
        <row r="330">
          <cell r="A330">
            <v>-2.5008044865908019E-2</v>
          </cell>
          <cell r="C330">
            <v>-7.8059966366998385E-2</v>
          </cell>
        </row>
        <row r="331">
          <cell r="A331">
            <v>3.8031103559621471E-3</v>
          </cell>
          <cell r="C331">
            <v>7.8059966366998385E-2</v>
          </cell>
        </row>
        <row r="332">
          <cell r="A332">
            <v>2.0168726863156294E-2</v>
          </cell>
          <cell r="C332">
            <v>0.23617194000999964</v>
          </cell>
        </row>
        <row r="333">
          <cell r="A333">
            <v>2.2452721333573677E-2</v>
          </cell>
          <cell r="C333">
            <v>0.4006301257381869</v>
          </cell>
        </row>
        <row r="334">
          <cell r="A334">
            <v>4.76747984020367E-2</v>
          </cell>
          <cell r="C334">
            <v>0.57709366971925891</v>
          </cell>
        </row>
        <row r="335">
          <cell r="A335">
            <v>5.5826727987180469E-2</v>
          </cell>
          <cell r="C335">
            <v>0.77427005635431245</v>
          </cell>
        </row>
        <row r="336">
          <cell r="A336">
            <v>5.8504738385787292E-2</v>
          </cell>
          <cell r="C336">
            <v>1.0082783038771823</v>
          </cell>
        </row>
        <row r="337">
          <cell r="A337">
            <v>0.11281874079669052</v>
          </cell>
          <cell r="C337">
            <v>1.3178098407415364</v>
          </cell>
        </row>
        <row r="338">
          <cell r="A338">
            <v>0.11305306640934276</v>
          </cell>
          <cell r="C338">
            <v>1.8657648402099227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r Regression for δμ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44"/>
  <sheetViews>
    <sheetView topLeftCell="A152" workbookViewId="0">
      <selection activeCell="O174" sqref="O174"/>
    </sheetView>
  </sheetViews>
  <sheetFormatPr defaultColWidth="9.109375" defaultRowHeight="14.4" x14ac:dyDescent="0.3"/>
  <cols>
    <col min="1" max="1" width="29.109375" style="2" customWidth="1"/>
    <col min="2" max="2" width="17.33203125" style="2" customWidth="1"/>
    <col min="3" max="3" width="17" style="5" customWidth="1"/>
    <col min="4" max="4" width="27.109375" style="2" customWidth="1"/>
    <col min="5" max="5" width="17.88671875" style="2" customWidth="1"/>
    <col min="6" max="6" width="25.88671875" style="2" customWidth="1"/>
    <col min="7" max="7" width="9.109375" style="2"/>
    <col min="8" max="8" width="21" style="2" customWidth="1"/>
    <col min="9" max="9" width="15.6640625" style="2" customWidth="1"/>
    <col min="10" max="10" width="15.88671875" style="2" customWidth="1"/>
    <col min="11" max="11" width="18.33203125" style="2" customWidth="1"/>
    <col min="12" max="12" width="12" style="2" customWidth="1"/>
    <col min="13" max="14" width="11.33203125" style="2" customWidth="1"/>
    <col min="15" max="26" width="9.109375" style="2"/>
    <col min="27" max="27" width="24.109375" style="2" customWidth="1"/>
    <col min="28" max="42" width="9.109375" style="2"/>
    <col min="43" max="43" width="18.6640625" style="2" customWidth="1"/>
    <col min="44" max="16384" width="9.109375" style="2"/>
  </cols>
  <sheetData>
    <row r="1" spans="1:11" x14ac:dyDescent="0.3">
      <c r="A1" s="1" t="s">
        <v>0</v>
      </c>
      <c r="C1" s="3" t="s">
        <v>1</v>
      </c>
      <c r="D1" s="1" t="s">
        <v>2</v>
      </c>
      <c r="E1" s="1" t="s">
        <v>3</v>
      </c>
      <c r="H1" s="1" t="s">
        <v>4</v>
      </c>
      <c r="I1" s="1" t="s">
        <v>5</v>
      </c>
      <c r="J1" s="1" t="s">
        <v>6</v>
      </c>
      <c r="K1" s="1"/>
    </row>
    <row r="2" spans="1:11" x14ac:dyDescent="0.3">
      <c r="A2" s="4">
        <v>4.7570472295978002E-2</v>
      </c>
      <c r="C2" s="5">
        <f>AVERAGE(A2:A16)</f>
        <v>4.9064986412869258E-2</v>
      </c>
      <c r="D2" s="2">
        <f>_xlfn.VAR.S(A2:A16)</f>
        <v>2.2041698176750693E-6</v>
      </c>
      <c r="E2" s="2">
        <f>SQRT(D2)/C2</f>
        <v>3.0258740209426746E-2</v>
      </c>
      <c r="H2" s="4">
        <v>4.6367373720597002E-2</v>
      </c>
      <c r="I2" s="2">
        <f>1/15 - 0.5/15</f>
        <v>3.3333333333333333E-2</v>
      </c>
      <c r="J2" s="2">
        <f t="shared" ref="J2:J16" si="0">4.91*(I2^0.14-(1-I2)^0.14)</f>
        <v>-1.836858897688687</v>
      </c>
    </row>
    <row r="3" spans="1:11" x14ac:dyDescent="0.3">
      <c r="A3" s="4">
        <v>4.8396561820179998E-2</v>
      </c>
      <c r="H3" s="4">
        <v>4.6969923720914998E-2</v>
      </c>
      <c r="I3" s="2">
        <f>I2+1/15</f>
        <v>0.1</v>
      </c>
      <c r="J3" s="2">
        <f t="shared" si="0"/>
        <v>-1.2811261510381207</v>
      </c>
    </row>
    <row r="4" spans="1:11" x14ac:dyDescent="0.3">
      <c r="A4" s="4">
        <v>5.1241979461282998E-2</v>
      </c>
      <c r="C4" s="3" t="s">
        <v>7</v>
      </c>
      <c r="E4" s="1" t="s">
        <v>8</v>
      </c>
      <c r="H4" s="4">
        <v>4.7570472295978002E-2</v>
      </c>
      <c r="I4" s="2">
        <f t="shared" ref="I4:I16" si="1">I3+1/15</f>
        <v>0.16666666666666669</v>
      </c>
      <c r="J4" s="2">
        <f t="shared" si="0"/>
        <v>-0.96558119772402384</v>
      </c>
    </row>
    <row r="5" spans="1:11" x14ac:dyDescent="0.3">
      <c r="A5" s="4">
        <v>4.6969923720914998E-2</v>
      </c>
      <c r="C5" s="5">
        <f>MEDIAN(A2:A16)</f>
        <v>4.8905881375489998E-2</v>
      </c>
      <c r="E5" s="2">
        <v>2.145</v>
      </c>
      <c r="H5" s="4">
        <v>4.7953518445475997E-2</v>
      </c>
      <c r="I5" s="2">
        <f t="shared" si="1"/>
        <v>0.23333333333333334</v>
      </c>
      <c r="J5" s="2">
        <f t="shared" si="0"/>
        <v>-0.72575040815577163</v>
      </c>
    </row>
    <row r="6" spans="1:11" x14ac:dyDescent="0.3">
      <c r="A6" s="4">
        <v>5.0698412247793999E-2</v>
      </c>
      <c r="H6" s="4">
        <v>4.8391054084948003E-2</v>
      </c>
      <c r="I6" s="2">
        <f t="shared" si="1"/>
        <v>0.3</v>
      </c>
      <c r="J6" s="2">
        <f t="shared" si="0"/>
        <v>-0.52246305252576009</v>
      </c>
    </row>
    <row r="7" spans="1:11" x14ac:dyDescent="0.3">
      <c r="A7" s="4">
        <v>5.0001310925120002E-2</v>
      </c>
      <c r="C7" s="3"/>
      <c r="D7" s="1" t="s">
        <v>9</v>
      </c>
      <c r="H7" s="4">
        <v>4.8396561820179998E-2</v>
      </c>
      <c r="I7" s="2">
        <f t="shared" si="1"/>
        <v>0.36666666666666664</v>
      </c>
      <c r="J7" s="2">
        <f t="shared" si="0"/>
        <v>-0.33927638280750583</v>
      </c>
    </row>
    <row r="8" spans="1:11" x14ac:dyDescent="0.3">
      <c r="A8" s="4">
        <v>4.9902057698127E-2</v>
      </c>
      <c r="C8" s="3" t="s">
        <v>10</v>
      </c>
      <c r="D8" s="2">
        <f>C2+E5*SQRT(D2)/(SQRT(15))</f>
        <v>4.9887237000600618E-2</v>
      </c>
      <c r="H8" s="4">
        <v>4.8435904095052003E-2</v>
      </c>
      <c r="I8" s="2">
        <f t="shared" si="1"/>
        <v>0.43333333333333329</v>
      </c>
      <c r="J8" s="2">
        <f t="shared" si="0"/>
        <v>-0.16715058832373922</v>
      </c>
    </row>
    <row r="9" spans="1:11" x14ac:dyDescent="0.3">
      <c r="A9" s="4">
        <v>4.8435904095052003E-2</v>
      </c>
      <c r="C9" s="3" t="s">
        <v>11</v>
      </c>
      <c r="D9" s="2">
        <f>C2-E5*SQRT(D2)/(SQRT(15))</f>
        <v>4.8242735825137897E-2</v>
      </c>
      <c r="H9" s="4">
        <v>4.8905881375489998E-2</v>
      </c>
      <c r="I9" s="2">
        <f t="shared" si="1"/>
        <v>0.49999999999999994</v>
      </c>
      <c r="J9" s="2">
        <f t="shared" si="0"/>
        <v>0</v>
      </c>
    </row>
    <row r="10" spans="1:11" x14ac:dyDescent="0.3">
      <c r="A10" s="4">
        <v>5.0758645099396003E-2</v>
      </c>
      <c r="H10" s="4">
        <v>4.9902057698127E-2</v>
      </c>
      <c r="I10" s="2">
        <f t="shared" si="1"/>
        <v>0.56666666666666665</v>
      </c>
      <c r="J10" s="2">
        <f t="shared" si="0"/>
        <v>0.16715058832373922</v>
      </c>
    </row>
    <row r="11" spans="1:11" x14ac:dyDescent="0.3">
      <c r="A11" s="4">
        <v>4.8391054084948003E-2</v>
      </c>
      <c r="H11" s="4">
        <v>5.0001310925120002E-2</v>
      </c>
      <c r="I11" s="2">
        <f t="shared" si="1"/>
        <v>0.6333333333333333</v>
      </c>
      <c r="J11" s="2">
        <f t="shared" si="0"/>
        <v>0.33927638280750583</v>
      </c>
    </row>
    <row r="12" spans="1:11" x14ac:dyDescent="0.3">
      <c r="A12" s="4">
        <v>4.7953518445475997E-2</v>
      </c>
      <c r="H12" s="4">
        <v>5.0111427253846999E-2</v>
      </c>
      <c r="I12" s="2">
        <f t="shared" si="1"/>
        <v>0.7</v>
      </c>
      <c r="J12" s="2">
        <f t="shared" si="0"/>
        <v>0.52246305252576009</v>
      </c>
    </row>
    <row r="13" spans="1:11" x14ac:dyDescent="0.3">
      <c r="A13" s="4">
        <v>5.0111427253846999E-2</v>
      </c>
      <c r="H13" s="4">
        <v>5.0270273948836E-2</v>
      </c>
      <c r="I13" s="2">
        <f t="shared" si="1"/>
        <v>0.76666666666666661</v>
      </c>
      <c r="J13" s="2">
        <f t="shared" si="0"/>
        <v>0.72575040815577163</v>
      </c>
    </row>
    <row r="14" spans="1:11" x14ac:dyDescent="0.3">
      <c r="A14" s="4">
        <v>5.0270273948836E-2</v>
      </c>
      <c r="H14" s="4">
        <v>5.0698412247793999E-2</v>
      </c>
      <c r="I14" s="2">
        <f t="shared" si="1"/>
        <v>0.83333333333333326</v>
      </c>
      <c r="J14" s="2">
        <f t="shared" si="0"/>
        <v>0.96558119772402329</v>
      </c>
    </row>
    <row r="15" spans="1:11" x14ac:dyDescent="0.3">
      <c r="A15" s="4">
        <v>4.6367373720597002E-2</v>
      </c>
      <c r="H15" s="4">
        <v>5.0758645099396003E-2</v>
      </c>
      <c r="I15" s="2">
        <f t="shared" si="1"/>
        <v>0.89999999999999991</v>
      </c>
      <c r="J15" s="2">
        <f t="shared" si="0"/>
        <v>1.2811261510381207</v>
      </c>
    </row>
    <row r="16" spans="1:11" x14ac:dyDescent="0.3">
      <c r="A16" s="4">
        <v>4.8905881375489998E-2</v>
      </c>
      <c r="H16" s="4">
        <v>5.1241979461282998E-2</v>
      </c>
      <c r="I16" s="2">
        <f t="shared" si="1"/>
        <v>0.96666666666666656</v>
      </c>
      <c r="J16" s="2">
        <f t="shared" si="0"/>
        <v>1.8368588976886859</v>
      </c>
    </row>
    <row r="17" spans="1:10" s="6" customFormat="1" ht="3.75" customHeight="1" x14ac:dyDescent="0.3">
      <c r="C17" s="7"/>
    </row>
    <row r="18" spans="1:10" x14ac:dyDescent="0.3">
      <c r="A18" s="1" t="s">
        <v>12</v>
      </c>
      <c r="C18" s="3" t="s">
        <v>1</v>
      </c>
      <c r="D18" s="1" t="s">
        <v>2</v>
      </c>
      <c r="E18" s="1" t="s">
        <v>3</v>
      </c>
      <c r="F18" s="1"/>
      <c r="G18" s="1"/>
      <c r="H18" s="1" t="s">
        <v>4</v>
      </c>
      <c r="I18" s="1" t="s">
        <v>5</v>
      </c>
      <c r="J18" s="1" t="s">
        <v>6</v>
      </c>
    </row>
    <row r="19" spans="1:10" x14ac:dyDescent="0.3">
      <c r="A19" s="8">
        <v>3.9036975524421001E-2</v>
      </c>
      <c r="C19" s="5">
        <f>AVERAGE(A19:A33)</f>
        <v>3.9598082060379139E-2</v>
      </c>
      <c r="D19" s="2">
        <f>_xlfn.VAR.S(A19:A33)</f>
        <v>8.9383225733099849E-7</v>
      </c>
      <c r="E19" s="2">
        <f>SQRT(D19)/C19</f>
        <v>2.3875576154376372E-2</v>
      </c>
      <c r="H19" s="9">
        <v>3.8010709862334E-2</v>
      </c>
      <c r="I19" s="2">
        <f>1/15 - 0.5/15</f>
        <v>3.3333333333333333E-2</v>
      </c>
      <c r="J19" s="2">
        <f t="shared" ref="J19:J33" si="2">4.91*(I19^0.14-(1-I19)^0.14)</f>
        <v>-1.836858897688687</v>
      </c>
    </row>
    <row r="20" spans="1:10" x14ac:dyDescent="0.3">
      <c r="A20" s="8">
        <v>3.9960944950799999E-2</v>
      </c>
      <c r="H20" s="9">
        <v>3.8252925503816003E-2</v>
      </c>
      <c r="I20" s="2">
        <f>I19+1/15</f>
        <v>0.1</v>
      </c>
      <c r="J20" s="2">
        <f t="shared" si="2"/>
        <v>-1.2811261510381207</v>
      </c>
    </row>
    <row r="21" spans="1:10" x14ac:dyDescent="0.3">
      <c r="A21" s="8">
        <v>4.0958719990736997E-2</v>
      </c>
      <c r="C21" s="3" t="s">
        <v>7</v>
      </c>
      <c r="E21" s="1" t="s">
        <v>8</v>
      </c>
      <c r="H21" s="9">
        <v>3.8725822092779E-2</v>
      </c>
      <c r="I21" s="2">
        <f t="shared" ref="I21:I33" si="3">I20+1/15</f>
        <v>0.16666666666666669</v>
      </c>
      <c r="J21" s="2">
        <f t="shared" si="2"/>
        <v>-0.96558119772402384</v>
      </c>
    </row>
    <row r="22" spans="1:10" x14ac:dyDescent="0.3">
      <c r="A22" s="8">
        <v>3.8252925503816003E-2</v>
      </c>
      <c r="C22" s="5">
        <f>MEDIAN(A19:A33)</f>
        <v>3.9597754163375999E-2</v>
      </c>
      <c r="E22" s="2">
        <v>2.145</v>
      </c>
      <c r="H22" s="9">
        <v>3.9036975524421001E-2</v>
      </c>
      <c r="I22" s="2">
        <f t="shared" si="3"/>
        <v>0.23333333333333334</v>
      </c>
      <c r="J22" s="2">
        <f t="shared" si="2"/>
        <v>-0.72575040815577163</v>
      </c>
    </row>
    <row r="23" spans="1:10" ht="14.25" customHeight="1" x14ac:dyDescent="0.3">
      <c r="A23" s="8">
        <v>4.0506308523353997E-2</v>
      </c>
      <c r="H23" s="9">
        <v>3.9124801506486999E-2</v>
      </c>
      <c r="I23" s="2">
        <f t="shared" si="3"/>
        <v>0.3</v>
      </c>
      <c r="J23" s="2">
        <f t="shared" si="2"/>
        <v>-0.52246305252576009</v>
      </c>
    </row>
    <row r="24" spans="1:10" x14ac:dyDescent="0.3">
      <c r="A24" s="8">
        <v>4.0028751646391997E-2</v>
      </c>
      <c r="C24" s="3"/>
      <c r="D24" s="1" t="s">
        <v>9</v>
      </c>
      <c r="H24" s="9">
        <v>3.9147633692448003E-2</v>
      </c>
      <c r="I24" s="2">
        <f t="shared" si="3"/>
        <v>0.36666666666666664</v>
      </c>
      <c r="J24" s="2">
        <f t="shared" si="2"/>
        <v>-0.33927638280750583</v>
      </c>
    </row>
    <row r="25" spans="1:10" x14ac:dyDescent="0.3">
      <c r="A25" s="8">
        <v>3.9916626688898997E-2</v>
      </c>
      <c r="C25" s="3" t="s">
        <v>10</v>
      </c>
      <c r="D25" s="2">
        <f>C19+E22*SQRT(D19)/(SQRT(15))</f>
        <v>4.01216941662862E-2</v>
      </c>
      <c r="H25" s="9">
        <v>3.9311431437033001E-2</v>
      </c>
      <c r="I25" s="2">
        <f t="shared" si="3"/>
        <v>0.43333333333333329</v>
      </c>
      <c r="J25" s="2">
        <f t="shared" si="2"/>
        <v>-0.16715058832373922</v>
      </c>
    </row>
    <row r="26" spans="1:10" x14ac:dyDescent="0.3">
      <c r="A26" s="8">
        <v>3.9311431437033001E-2</v>
      </c>
      <c r="C26" s="3" t="s">
        <v>11</v>
      </c>
      <c r="D26" s="2">
        <f>C19-E22*SQRT(D19)/(SQRT(15))</f>
        <v>3.9074469954472078E-2</v>
      </c>
      <c r="H26" s="9">
        <v>3.9597754163375999E-2</v>
      </c>
      <c r="I26" s="2">
        <f t="shared" si="3"/>
        <v>0.49999999999999994</v>
      </c>
      <c r="J26" s="2">
        <f t="shared" si="2"/>
        <v>0</v>
      </c>
    </row>
    <row r="27" spans="1:10" x14ac:dyDescent="0.3">
      <c r="A27" s="8">
        <v>4.143564864648E-2</v>
      </c>
      <c r="H27" s="9">
        <v>3.9916626688898997E-2</v>
      </c>
      <c r="I27" s="2">
        <f t="shared" si="3"/>
        <v>0.56666666666666665</v>
      </c>
      <c r="J27" s="2">
        <f t="shared" si="2"/>
        <v>0.16715058832373922</v>
      </c>
    </row>
    <row r="28" spans="1:10" ht="16.5" customHeight="1" x14ac:dyDescent="0.3">
      <c r="A28" s="8">
        <v>3.9147633692448003E-2</v>
      </c>
      <c r="H28" s="9">
        <v>3.9956176676331001E-2</v>
      </c>
      <c r="I28" s="2">
        <f t="shared" si="3"/>
        <v>0.6333333333333333</v>
      </c>
      <c r="J28" s="2">
        <f t="shared" si="2"/>
        <v>0.33927638280750583</v>
      </c>
    </row>
    <row r="29" spans="1:10" ht="16.5" customHeight="1" x14ac:dyDescent="0.3">
      <c r="A29" s="8">
        <v>3.8725822092779E-2</v>
      </c>
      <c r="H29" s="9">
        <v>3.9960944950799999E-2</v>
      </c>
      <c r="I29" s="2">
        <f t="shared" si="3"/>
        <v>0.7</v>
      </c>
      <c r="J29" s="2">
        <f t="shared" si="2"/>
        <v>0.52246305252576009</v>
      </c>
    </row>
    <row r="30" spans="1:10" ht="16.5" customHeight="1" x14ac:dyDescent="0.3">
      <c r="A30" s="8">
        <v>3.9597754163375999E-2</v>
      </c>
      <c r="H30" s="9">
        <v>4.0028751646391997E-2</v>
      </c>
      <c r="I30" s="2">
        <f t="shared" si="3"/>
        <v>0.76666666666666661</v>
      </c>
      <c r="J30" s="2">
        <f t="shared" si="2"/>
        <v>0.72575040815577163</v>
      </c>
    </row>
    <row r="31" spans="1:10" ht="16.5" customHeight="1" x14ac:dyDescent="0.3">
      <c r="A31" s="8">
        <v>3.9956176676331001E-2</v>
      </c>
      <c r="H31" s="9">
        <v>4.0506308523353997E-2</v>
      </c>
      <c r="I31" s="2">
        <f t="shared" si="3"/>
        <v>0.83333333333333326</v>
      </c>
      <c r="J31" s="2">
        <f t="shared" si="2"/>
        <v>0.96558119772402329</v>
      </c>
    </row>
    <row r="32" spans="1:10" ht="16.5" customHeight="1" x14ac:dyDescent="0.3">
      <c r="A32" s="8">
        <v>3.8010709862334E-2</v>
      </c>
      <c r="H32" s="9">
        <v>4.0958719990736997E-2</v>
      </c>
      <c r="I32" s="2">
        <f t="shared" si="3"/>
        <v>0.89999999999999991</v>
      </c>
      <c r="J32" s="2">
        <f t="shared" si="2"/>
        <v>1.2811261510381207</v>
      </c>
    </row>
    <row r="33" spans="1:10" ht="16.5" customHeight="1" x14ac:dyDescent="0.3">
      <c r="A33" s="8">
        <v>3.9124801506486999E-2</v>
      </c>
      <c r="H33" s="9">
        <v>4.143564864648E-2</v>
      </c>
      <c r="I33" s="2">
        <f t="shared" si="3"/>
        <v>0.96666666666666656</v>
      </c>
      <c r="J33" s="2">
        <f t="shared" si="2"/>
        <v>1.8368588976886859</v>
      </c>
    </row>
    <row r="34" spans="1:10" s="6" customFormat="1" ht="3.75" customHeight="1" x14ac:dyDescent="0.3">
      <c r="C34" s="7"/>
    </row>
    <row r="35" spans="1:10" x14ac:dyDescent="0.3">
      <c r="A35" s="1" t="s">
        <v>13</v>
      </c>
      <c r="C35" s="3" t="s">
        <v>1</v>
      </c>
      <c r="D35" s="1" t="s">
        <v>2</v>
      </c>
      <c r="E35" s="1" t="s">
        <v>3</v>
      </c>
      <c r="F35" s="1"/>
      <c r="H35" s="1" t="s">
        <v>4</v>
      </c>
      <c r="I35" s="1" t="s">
        <v>5</v>
      </c>
      <c r="J35" s="1" t="s">
        <v>6</v>
      </c>
    </row>
    <row r="36" spans="1:10" x14ac:dyDescent="0.3">
      <c r="A36" s="9">
        <v>3.3610606325715997E-2</v>
      </c>
      <c r="C36" s="5">
        <f>AVERAGE(A36:A50)</f>
        <v>3.3707949319447136E-2</v>
      </c>
      <c r="D36" s="2">
        <f>_xlfn.VAR.S(A36:A50)</f>
        <v>4.1717828655215051E-7</v>
      </c>
      <c r="E36" s="2">
        <f>SQRT(D36)/C36</f>
        <v>1.9161456418721502E-2</v>
      </c>
      <c r="H36" s="9">
        <v>3.2599996440944003E-2</v>
      </c>
      <c r="I36" s="2">
        <f>1/15 - 0.5/15</f>
        <v>3.3333333333333333E-2</v>
      </c>
      <c r="J36" s="2">
        <f t="shared" ref="J36:J50" si="4">4.91*(I36^0.14-(1-I36)^0.14)</f>
        <v>-1.836858897688687</v>
      </c>
    </row>
    <row r="37" spans="1:10" x14ac:dyDescent="0.3">
      <c r="A37" s="9">
        <v>3.4022742722326998E-2</v>
      </c>
      <c r="H37" s="9">
        <v>3.2720510555415E-2</v>
      </c>
      <c r="I37" s="2">
        <f>I36+1/15</f>
        <v>0.1</v>
      </c>
      <c r="J37" s="2">
        <f t="shared" si="4"/>
        <v>-1.2811261510381207</v>
      </c>
    </row>
    <row r="38" spans="1:10" x14ac:dyDescent="0.3">
      <c r="A38" s="9">
        <v>3.4215709253426999E-2</v>
      </c>
      <c r="C38" s="3" t="s">
        <v>7</v>
      </c>
      <c r="E38" s="1" t="s">
        <v>8</v>
      </c>
      <c r="H38" s="9">
        <v>3.2957623109732999E-2</v>
      </c>
      <c r="I38" s="2">
        <f t="shared" ref="I38:I50" si="5">I37+1/15</f>
        <v>0.16666666666666669</v>
      </c>
      <c r="J38" s="2">
        <f t="shared" si="4"/>
        <v>-0.96558119772402384</v>
      </c>
    </row>
    <row r="39" spans="1:10" x14ac:dyDescent="0.3">
      <c r="A39" s="9">
        <v>3.2957623109732999E-2</v>
      </c>
      <c r="C39" s="5">
        <f>MEDIAN(A36:A50)</f>
        <v>3.3740679157824999E-2</v>
      </c>
      <c r="E39" s="2">
        <v>2.145</v>
      </c>
      <c r="H39" s="9">
        <v>3.3411820641434997E-2</v>
      </c>
      <c r="I39" s="2">
        <f t="shared" si="5"/>
        <v>0.23333333333333334</v>
      </c>
      <c r="J39" s="2">
        <f t="shared" si="4"/>
        <v>-0.72575040815577163</v>
      </c>
    </row>
    <row r="40" spans="1:10" x14ac:dyDescent="0.3">
      <c r="A40" s="9">
        <v>3.4209885902953999E-2</v>
      </c>
      <c r="H40" s="9">
        <v>3.3456766362532003E-2</v>
      </c>
      <c r="I40" s="2">
        <f t="shared" si="5"/>
        <v>0.3</v>
      </c>
      <c r="J40" s="2">
        <f t="shared" si="4"/>
        <v>-0.52246305252576009</v>
      </c>
    </row>
    <row r="41" spans="1:10" x14ac:dyDescent="0.3">
      <c r="A41" s="9">
        <v>3.4106726239019003E-2</v>
      </c>
      <c r="C41" s="3"/>
      <c r="D41" s="1" t="s">
        <v>9</v>
      </c>
      <c r="H41" s="9">
        <v>3.3526410387224002E-2</v>
      </c>
      <c r="I41" s="2">
        <f t="shared" si="5"/>
        <v>0.36666666666666664</v>
      </c>
      <c r="J41" s="2">
        <f t="shared" si="4"/>
        <v>-0.33927638280750583</v>
      </c>
    </row>
    <row r="42" spans="1:10" x14ac:dyDescent="0.3">
      <c r="A42" s="9">
        <v>3.3740679157824999E-2</v>
      </c>
      <c r="C42" s="3" t="s">
        <v>10</v>
      </c>
      <c r="D42" s="2">
        <f>C36+E39*SQRT(D36)/(SQRT(15))</f>
        <v>3.4065668737043628E-2</v>
      </c>
      <c r="H42" s="9">
        <v>3.3610606325715997E-2</v>
      </c>
      <c r="I42" s="2">
        <f t="shared" si="5"/>
        <v>0.43333333333333329</v>
      </c>
      <c r="J42" s="2">
        <f t="shared" si="4"/>
        <v>-0.16715058832373922</v>
      </c>
    </row>
    <row r="43" spans="1:10" x14ac:dyDescent="0.3">
      <c r="A43" s="9">
        <v>3.3526410387224002E-2</v>
      </c>
      <c r="C43" s="3" t="s">
        <v>11</v>
      </c>
      <c r="D43" s="2">
        <f>C36-E39*SQRT(D36)/(SQRT(15))</f>
        <v>3.3350229901850645E-2</v>
      </c>
      <c r="H43" s="9">
        <v>3.3740679157824999E-2</v>
      </c>
      <c r="I43" s="2">
        <f t="shared" si="5"/>
        <v>0.49999999999999994</v>
      </c>
      <c r="J43" s="2">
        <f t="shared" si="4"/>
        <v>0</v>
      </c>
    </row>
    <row r="44" spans="1:10" x14ac:dyDescent="0.3">
      <c r="A44" s="9">
        <v>3.5083805444661997E-2</v>
      </c>
      <c r="H44" s="9">
        <v>3.3785711609510001E-2</v>
      </c>
      <c r="I44" s="2">
        <f t="shared" si="5"/>
        <v>0.56666666666666665</v>
      </c>
      <c r="J44" s="2">
        <f t="shared" si="4"/>
        <v>0.16715058832373922</v>
      </c>
    </row>
    <row r="45" spans="1:10" x14ac:dyDescent="0.3">
      <c r="A45" s="9">
        <v>3.3411820641434997E-2</v>
      </c>
      <c r="H45" s="9">
        <v>3.4022742722326998E-2</v>
      </c>
      <c r="I45" s="2">
        <f t="shared" si="5"/>
        <v>0.6333333333333333</v>
      </c>
      <c r="J45" s="2">
        <f t="shared" si="4"/>
        <v>0.33927638280750583</v>
      </c>
    </row>
    <row r="46" spans="1:10" x14ac:dyDescent="0.3">
      <c r="A46" s="9">
        <v>3.2599996440944003E-2</v>
      </c>
      <c r="H46" s="9">
        <v>3.4106726239019003E-2</v>
      </c>
      <c r="I46" s="2">
        <f t="shared" si="5"/>
        <v>0.7</v>
      </c>
      <c r="J46" s="2">
        <f t="shared" si="4"/>
        <v>0.52246305252576009</v>
      </c>
    </row>
    <row r="47" spans="1:10" x14ac:dyDescent="0.3">
      <c r="A47" s="9">
        <v>3.4170245638984E-2</v>
      </c>
      <c r="H47" s="9">
        <v>3.4170245638984E-2</v>
      </c>
      <c r="I47" s="2">
        <f t="shared" si="5"/>
        <v>0.76666666666666661</v>
      </c>
      <c r="J47" s="2">
        <f t="shared" si="4"/>
        <v>0.72575040815577163</v>
      </c>
    </row>
    <row r="48" spans="1:10" x14ac:dyDescent="0.3">
      <c r="A48" s="9">
        <v>3.3785711609510001E-2</v>
      </c>
      <c r="H48" s="9">
        <v>3.4209885902953999E-2</v>
      </c>
      <c r="I48" s="2">
        <f t="shared" si="5"/>
        <v>0.83333333333333326</v>
      </c>
      <c r="J48" s="2">
        <f t="shared" si="4"/>
        <v>0.96558119772402329</v>
      </c>
    </row>
    <row r="49" spans="1:10" x14ac:dyDescent="0.3">
      <c r="A49" s="9">
        <v>3.2720510555415E-2</v>
      </c>
      <c r="H49" s="9">
        <v>3.4215709253426999E-2</v>
      </c>
      <c r="I49" s="2">
        <f t="shared" si="5"/>
        <v>0.89999999999999991</v>
      </c>
      <c r="J49" s="2">
        <f t="shared" si="4"/>
        <v>1.2811261510381207</v>
      </c>
    </row>
    <row r="50" spans="1:10" x14ac:dyDescent="0.3">
      <c r="A50" s="9">
        <v>3.3456766362532003E-2</v>
      </c>
      <c r="H50" s="9">
        <v>3.5083805444661997E-2</v>
      </c>
      <c r="I50" s="2">
        <f t="shared" si="5"/>
        <v>0.96666666666666656</v>
      </c>
      <c r="J50" s="2">
        <f t="shared" si="4"/>
        <v>1.8368588976886859</v>
      </c>
    </row>
    <row r="51" spans="1:10" s="6" customFormat="1" ht="4.5" customHeight="1" x14ac:dyDescent="0.3">
      <c r="C51" s="7"/>
    </row>
    <row r="52" spans="1:10" x14ac:dyDescent="0.3">
      <c r="A52" s="1" t="s">
        <v>14</v>
      </c>
      <c r="C52" s="3" t="s">
        <v>1</v>
      </c>
      <c r="D52" s="1" t="s">
        <v>2</v>
      </c>
      <c r="E52" s="1" t="s">
        <v>3</v>
      </c>
      <c r="F52" s="1"/>
      <c r="H52" s="1" t="s">
        <v>4</v>
      </c>
      <c r="I52" s="1" t="s">
        <v>5</v>
      </c>
      <c r="J52" s="1" t="s">
        <v>6</v>
      </c>
    </row>
    <row r="53" spans="1:10" x14ac:dyDescent="0.3">
      <c r="A53" s="9">
        <v>3.0020270908104E-2</v>
      </c>
      <c r="C53" s="5">
        <f>AVERAGE(A53:A67)</f>
        <v>2.9949122854414995E-2</v>
      </c>
      <c r="D53" s="2">
        <f>_xlfn.VAR.S(A53:A67)</f>
        <v>2.67069538991895E-7</v>
      </c>
      <c r="E53" s="2">
        <f>SQRT(D53)/C53</f>
        <v>1.7255520778989605E-2</v>
      </c>
      <c r="H53" s="9">
        <v>2.9148808568737E-2</v>
      </c>
      <c r="I53" s="2">
        <f>1/15 - 0.5/15</f>
        <v>3.3333333333333333E-2</v>
      </c>
      <c r="J53" s="2">
        <f t="shared" ref="J53:J67" si="6">4.91*(I53^0.14-(1-I53)^0.14)</f>
        <v>-1.836858897688687</v>
      </c>
    </row>
    <row r="54" spans="1:10" x14ac:dyDescent="0.3">
      <c r="A54" s="9">
        <v>3.0541419101361E-2</v>
      </c>
      <c r="H54" s="9">
        <v>2.923400101385E-2</v>
      </c>
      <c r="I54" s="2">
        <f t="shared" ref="I54:I67" si="7">I53+1/15</f>
        <v>0.1</v>
      </c>
      <c r="J54" s="2">
        <f t="shared" si="6"/>
        <v>-1.2811261510381207</v>
      </c>
    </row>
    <row r="55" spans="1:10" x14ac:dyDescent="0.3">
      <c r="A55" s="9">
        <v>3.0264812886184999E-2</v>
      </c>
      <c r="C55" s="3" t="s">
        <v>7</v>
      </c>
      <c r="E55" s="1" t="s">
        <v>8</v>
      </c>
      <c r="H55" s="9">
        <v>2.9290764279952999E-2</v>
      </c>
      <c r="I55" s="2">
        <f t="shared" si="7"/>
        <v>0.16666666666666669</v>
      </c>
      <c r="J55" s="2">
        <f t="shared" si="6"/>
        <v>-0.96558119772402384</v>
      </c>
    </row>
    <row r="56" spans="1:10" x14ac:dyDescent="0.3">
      <c r="A56" s="9">
        <v>2.923400101385E-2</v>
      </c>
      <c r="C56" s="5">
        <f>MEDIAN(A53:A67)</f>
        <v>2.9977799179064998E-2</v>
      </c>
      <c r="E56" s="2">
        <v>2.145</v>
      </c>
      <c r="H56" s="9">
        <v>2.9617310258401999E-2</v>
      </c>
      <c r="I56" s="2">
        <f t="shared" si="7"/>
        <v>0.23333333333333334</v>
      </c>
      <c r="J56" s="2">
        <f t="shared" si="6"/>
        <v>-0.72575040815577163</v>
      </c>
    </row>
    <row r="57" spans="1:10" x14ac:dyDescent="0.3">
      <c r="A57" s="9">
        <v>3.0072466285115999E-2</v>
      </c>
      <c r="H57" s="9">
        <v>2.9762543930627001E-2</v>
      </c>
      <c r="I57" s="2">
        <f t="shared" si="7"/>
        <v>0.3</v>
      </c>
      <c r="J57" s="2">
        <f t="shared" si="6"/>
        <v>-0.52246305252576009</v>
      </c>
    </row>
    <row r="58" spans="1:10" x14ac:dyDescent="0.3">
      <c r="A58" s="9">
        <v>3.0520039433359E-2</v>
      </c>
      <c r="C58" s="3"/>
      <c r="D58" s="1" t="s">
        <v>9</v>
      </c>
      <c r="H58" s="9">
        <v>2.9778495528072001E-2</v>
      </c>
      <c r="I58" s="2">
        <f t="shared" si="7"/>
        <v>0.36666666666666664</v>
      </c>
      <c r="J58" s="2">
        <f t="shared" si="6"/>
        <v>-0.33927638280750583</v>
      </c>
    </row>
    <row r="59" spans="1:10" x14ac:dyDescent="0.3">
      <c r="A59" s="9">
        <v>2.9617310258401999E-2</v>
      </c>
      <c r="C59" s="3" t="s">
        <v>10</v>
      </c>
      <c r="D59" s="2">
        <f>C53+E56*SQRT(D53)/(SQRT(15))</f>
        <v>3.0235338813164116E-2</v>
      </c>
      <c r="H59" s="9">
        <v>2.9931134889351001E-2</v>
      </c>
      <c r="I59" s="2">
        <f t="shared" si="7"/>
        <v>0.43333333333333329</v>
      </c>
      <c r="J59" s="2">
        <f t="shared" si="6"/>
        <v>-0.16715058832373922</v>
      </c>
    </row>
    <row r="60" spans="1:10" x14ac:dyDescent="0.3">
      <c r="A60" s="9">
        <v>2.9977799179064998E-2</v>
      </c>
      <c r="C60" s="3" t="s">
        <v>11</v>
      </c>
      <c r="D60" s="2">
        <f>C53-E56*SQRT(D53)/(SQRT(15))</f>
        <v>2.9662906895665874E-2</v>
      </c>
      <c r="H60" s="9">
        <v>2.9977799179064998E-2</v>
      </c>
      <c r="I60" s="2">
        <f t="shared" si="7"/>
        <v>0.49999999999999994</v>
      </c>
      <c r="J60" s="2">
        <f t="shared" si="6"/>
        <v>0</v>
      </c>
    </row>
    <row r="61" spans="1:10" x14ac:dyDescent="0.3">
      <c r="A61" s="9">
        <v>3.1031978309021001E-2</v>
      </c>
      <c r="H61" s="9">
        <v>3.0020270908104E-2</v>
      </c>
      <c r="I61" s="2">
        <f t="shared" si="7"/>
        <v>0.56666666666666665</v>
      </c>
      <c r="J61" s="2">
        <f t="shared" si="6"/>
        <v>0.16715058832373922</v>
      </c>
    </row>
    <row r="62" spans="1:10" x14ac:dyDescent="0.3">
      <c r="A62" s="9">
        <v>3.0044998245021999E-2</v>
      </c>
      <c r="H62" s="9">
        <v>3.0044998245021999E-2</v>
      </c>
      <c r="I62" s="2">
        <f t="shared" si="7"/>
        <v>0.6333333333333333</v>
      </c>
      <c r="J62" s="2">
        <f t="shared" si="6"/>
        <v>0.33927638280750583</v>
      </c>
    </row>
    <row r="63" spans="1:10" x14ac:dyDescent="0.3">
      <c r="A63" s="9">
        <v>2.9148808568737E-2</v>
      </c>
      <c r="H63" s="9">
        <v>3.0072466285115999E-2</v>
      </c>
      <c r="I63" s="2">
        <f t="shared" si="7"/>
        <v>0.7</v>
      </c>
      <c r="J63" s="2">
        <f t="shared" si="6"/>
        <v>0.52246305252576009</v>
      </c>
    </row>
    <row r="64" spans="1:10" x14ac:dyDescent="0.3">
      <c r="A64" s="9">
        <v>2.9778495528072001E-2</v>
      </c>
      <c r="H64" s="9">
        <v>3.0264812886184999E-2</v>
      </c>
      <c r="I64" s="2">
        <f t="shared" si="7"/>
        <v>0.76666666666666661</v>
      </c>
      <c r="J64" s="2">
        <f t="shared" si="6"/>
        <v>0.72575040815577163</v>
      </c>
    </row>
    <row r="65" spans="1:10" x14ac:dyDescent="0.3">
      <c r="A65" s="9">
        <v>2.9762543930627001E-2</v>
      </c>
      <c r="H65" s="9">
        <v>3.0520039433359E-2</v>
      </c>
      <c r="I65" s="2">
        <f t="shared" si="7"/>
        <v>0.83333333333333326</v>
      </c>
      <c r="J65" s="2">
        <f t="shared" si="6"/>
        <v>0.96558119772402329</v>
      </c>
    </row>
    <row r="66" spans="1:10" x14ac:dyDescent="0.3">
      <c r="A66" s="9">
        <v>2.9290764279952999E-2</v>
      </c>
      <c r="H66" s="9">
        <v>3.0541419101361E-2</v>
      </c>
      <c r="I66" s="2">
        <f t="shared" si="7"/>
        <v>0.89999999999999991</v>
      </c>
      <c r="J66" s="2">
        <f t="shared" si="6"/>
        <v>1.2811261510381207</v>
      </c>
    </row>
    <row r="67" spans="1:10" x14ac:dyDescent="0.3">
      <c r="A67" s="9">
        <v>2.9931134889351001E-2</v>
      </c>
      <c r="H67" s="9">
        <v>3.1031978309021001E-2</v>
      </c>
      <c r="I67" s="2">
        <f t="shared" si="7"/>
        <v>0.96666666666666656</v>
      </c>
      <c r="J67" s="2">
        <f t="shared" si="6"/>
        <v>1.8368588976886859</v>
      </c>
    </row>
    <row r="68" spans="1:10" s="6" customFormat="1" ht="4.5" customHeight="1" x14ac:dyDescent="0.3">
      <c r="C68" s="7"/>
    </row>
    <row r="69" spans="1:10" x14ac:dyDescent="0.3">
      <c r="A69" s="1" t="s">
        <v>15</v>
      </c>
      <c r="C69" s="3" t="s">
        <v>1</v>
      </c>
      <c r="D69" s="1" t="s">
        <v>2</v>
      </c>
      <c r="E69" s="1" t="s">
        <v>3</v>
      </c>
      <c r="F69" s="1"/>
      <c r="H69" s="1" t="s">
        <v>4</v>
      </c>
      <c r="I69" s="1" t="s">
        <v>5</v>
      </c>
      <c r="J69" s="1" t="s">
        <v>6</v>
      </c>
    </row>
    <row r="70" spans="1:10" x14ac:dyDescent="0.3">
      <c r="A70" s="4">
        <v>2.7204998245795E-2</v>
      </c>
      <c r="C70" s="5">
        <f>AVERAGE(A70:A84)</f>
        <v>2.7191105589080462E-2</v>
      </c>
      <c r="D70" s="2">
        <f>_xlfn.VAR.S(A70:A84)</f>
        <v>9.4905662446593563E-8</v>
      </c>
      <c r="E70" s="2">
        <f>SQRT(D70)/C70</f>
        <v>1.1329720500270764E-2</v>
      </c>
      <c r="H70" s="4">
        <v>2.6595731050392001E-2</v>
      </c>
      <c r="I70" s="2">
        <f>1/15 - 0.5/15</f>
        <v>3.3333333333333333E-2</v>
      </c>
      <c r="J70" s="2">
        <f t="shared" ref="J70:J84" si="8">4.91*(I70^0.14-(1-I70)^0.14)</f>
        <v>-1.836858897688687</v>
      </c>
    </row>
    <row r="71" spans="1:10" x14ac:dyDescent="0.3">
      <c r="A71" s="4">
        <v>2.7668893884319999E-2</v>
      </c>
      <c r="H71" s="4">
        <v>2.6600607432752998E-2</v>
      </c>
      <c r="I71" s="2">
        <f t="shared" ref="I71:I84" si="9">I70+1/15</f>
        <v>0.1</v>
      </c>
      <c r="J71" s="2">
        <f t="shared" si="8"/>
        <v>-1.2811261510381207</v>
      </c>
    </row>
    <row r="72" spans="1:10" x14ac:dyDescent="0.3">
      <c r="A72" s="4">
        <v>2.72998486416E-2</v>
      </c>
      <c r="C72" s="3" t="s">
        <v>7</v>
      </c>
      <c r="E72" s="1" t="s">
        <v>8</v>
      </c>
      <c r="H72" s="4">
        <v>2.6887866083054001E-2</v>
      </c>
      <c r="I72" s="2">
        <f t="shared" si="9"/>
        <v>0.16666666666666669</v>
      </c>
      <c r="J72" s="2">
        <f t="shared" si="8"/>
        <v>-0.96558119772402384</v>
      </c>
    </row>
    <row r="73" spans="1:10" x14ac:dyDescent="0.3">
      <c r="A73" s="4">
        <v>2.6600607432752998E-2</v>
      </c>
      <c r="C73" s="5">
        <f>MEDIAN(A70:A84)</f>
        <v>2.7274657421555E-2</v>
      </c>
      <c r="E73" s="2">
        <v>2.145</v>
      </c>
      <c r="H73" s="4">
        <v>2.6992829390877E-2</v>
      </c>
      <c r="I73" s="2">
        <f t="shared" si="9"/>
        <v>0.23333333333333334</v>
      </c>
      <c r="J73" s="2">
        <f t="shared" si="8"/>
        <v>-0.72575040815577163</v>
      </c>
    </row>
    <row r="74" spans="1:10" x14ac:dyDescent="0.3">
      <c r="A74" s="4">
        <v>2.7274657421555E-2</v>
      </c>
      <c r="H74" s="4">
        <v>2.7125006050461E-2</v>
      </c>
      <c r="I74" s="2">
        <f t="shared" si="9"/>
        <v>0.3</v>
      </c>
      <c r="J74" s="2">
        <f t="shared" si="8"/>
        <v>-0.52246305252576009</v>
      </c>
    </row>
    <row r="75" spans="1:10" x14ac:dyDescent="0.3">
      <c r="A75" s="4">
        <v>2.7333521165185001E-2</v>
      </c>
      <c r="C75" s="3"/>
      <c r="D75" s="1" t="s">
        <v>9</v>
      </c>
      <c r="H75" s="4">
        <v>2.7182039379082E-2</v>
      </c>
      <c r="I75" s="2">
        <f t="shared" si="9"/>
        <v>0.36666666666666664</v>
      </c>
      <c r="J75" s="2">
        <f t="shared" si="8"/>
        <v>-0.33927638280750583</v>
      </c>
    </row>
    <row r="76" spans="1:10" x14ac:dyDescent="0.3">
      <c r="A76" s="4">
        <v>2.7182039379082E-2</v>
      </c>
      <c r="C76" s="3" t="s">
        <v>10</v>
      </c>
      <c r="D76" s="2">
        <f>C70+E73*SQRT(D70)/(SQRT(15))</f>
        <v>2.7361724721567286E-2</v>
      </c>
      <c r="H76" s="4">
        <v>2.7204998245795E-2</v>
      </c>
      <c r="I76" s="2">
        <f t="shared" si="9"/>
        <v>0.43333333333333329</v>
      </c>
      <c r="J76" s="2">
        <f t="shared" si="8"/>
        <v>-0.16715058832373922</v>
      </c>
    </row>
    <row r="77" spans="1:10" x14ac:dyDescent="0.3">
      <c r="A77" s="4">
        <v>2.7449201144090999E-2</v>
      </c>
      <c r="C77" s="3" t="s">
        <v>11</v>
      </c>
      <c r="D77" s="2">
        <f>C70-E73*SQRT(D70)/(SQRT(15))</f>
        <v>2.7020486456593638E-2</v>
      </c>
      <c r="H77" s="4">
        <v>2.7274657421555E-2</v>
      </c>
      <c r="I77" s="2">
        <f t="shared" si="9"/>
        <v>0.49999999999999994</v>
      </c>
      <c r="J77" s="2">
        <f t="shared" si="8"/>
        <v>0</v>
      </c>
    </row>
    <row r="78" spans="1:10" x14ac:dyDescent="0.3">
      <c r="A78" s="4">
        <v>2.7454744402203999E-2</v>
      </c>
      <c r="H78" s="4">
        <v>2.72998486416E-2</v>
      </c>
      <c r="I78" s="2">
        <f t="shared" si="9"/>
        <v>0.56666666666666665</v>
      </c>
      <c r="J78" s="2">
        <f t="shared" si="8"/>
        <v>0.16715058832373922</v>
      </c>
    </row>
    <row r="79" spans="1:10" x14ac:dyDescent="0.3">
      <c r="A79" s="4">
        <v>2.7387265949153999E-2</v>
      </c>
      <c r="H79" s="4">
        <v>2.7333521165185001E-2</v>
      </c>
      <c r="I79" s="2">
        <f t="shared" si="9"/>
        <v>0.6333333333333333</v>
      </c>
      <c r="J79" s="2">
        <f t="shared" si="8"/>
        <v>0.33927638280750583</v>
      </c>
    </row>
    <row r="80" spans="1:10" x14ac:dyDescent="0.3">
      <c r="A80" s="4">
        <v>2.6595731050392001E-2</v>
      </c>
      <c r="H80" s="4">
        <v>2.7387265949153999E-2</v>
      </c>
      <c r="I80" s="2">
        <f t="shared" si="9"/>
        <v>0.7</v>
      </c>
      <c r="J80" s="2">
        <f t="shared" si="8"/>
        <v>0.52246305252576009</v>
      </c>
    </row>
    <row r="81" spans="1:10" x14ac:dyDescent="0.3">
      <c r="A81" s="4">
        <v>2.7409373595683999E-2</v>
      </c>
      <c r="H81" s="4">
        <v>2.7409373595683999E-2</v>
      </c>
      <c r="I81" s="2">
        <f t="shared" si="9"/>
        <v>0.76666666666666661</v>
      </c>
      <c r="J81" s="2">
        <f t="shared" si="8"/>
        <v>0.72575040815577163</v>
      </c>
    </row>
    <row r="82" spans="1:10" x14ac:dyDescent="0.3">
      <c r="A82" s="4">
        <v>2.6992829390877E-2</v>
      </c>
      <c r="H82" s="4">
        <v>2.7449201144090999E-2</v>
      </c>
      <c r="I82" s="2">
        <f t="shared" si="9"/>
        <v>0.83333333333333326</v>
      </c>
      <c r="J82" s="2">
        <f t="shared" si="8"/>
        <v>0.96558119772402329</v>
      </c>
    </row>
    <row r="83" spans="1:10" x14ac:dyDescent="0.3">
      <c r="A83" s="4">
        <v>2.6887866083054001E-2</v>
      </c>
      <c r="H83" s="4">
        <v>2.7454744402203999E-2</v>
      </c>
      <c r="I83" s="2">
        <f t="shared" si="9"/>
        <v>0.89999999999999991</v>
      </c>
      <c r="J83" s="2">
        <f t="shared" si="8"/>
        <v>1.2811261510381207</v>
      </c>
    </row>
    <row r="84" spans="1:10" x14ac:dyDescent="0.3">
      <c r="A84" s="4">
        <v>2.7125006050461E-2</v>
      </c>
      <c r="H84" s="4">
        <v>2.7668893884319999E-2</v>
      </c>
      <c r="I84" s="2">
        <f t="shared" si="9"/>
        <v>0.96666666666666656</v>
      </c>
      <c r="J84" s="2">
        <f t="shared" si="8"/>
        <v>1.8368588976886859</v>
      </c>
    </row>
    <row r="85" spans="1:10" s="6" customFormat="1" ht="4.5" customHeight="1" x14ac:dyDescent="0.3">
      <c r="C85" s="7"/>
    </row>
    <row r="86" spans="1:10" x14ac:dyDescent="0.3">
      <c r="A86" s="1" t="s">
        <v>16</v>
      </c>
      <c r="C86" s="3" t="s">
        <v>1</v>
      </c>
      <c r="D86" s="1" t="s">
        <v>2</v>
      </c>
      <c r="E86" s="1" t="s">
        <v>3</v>
      </c>
      <c r="F86" s="1"/>
      <c r="H86" s="1" t="s">
        <v>4</v>
      </c>
      <c r="I86" s="1" t="s">
        <v>5</v>
      </c>
      <c r="J86" s="1" t="s">
        <v>6</v>
      </c>
    </row>
    <row r="87" spans="1:10" x14ac:dyDescent="0.3">
      <c r="A87" s="9">
        <v>2.5215952511677998E-2</v>
      </c>
      <c r="C87" s="5">
        <f>AVERAGE(A87:A101)</f>
        <v>2.5217220869718462E-2</v>
      </c>
      <c r="D87" s="2">
        <f>_xlfn.VAR.S(A87:A101)</f>
        <v>8.8620566683497511E-8</v>
      </c>
      <c r="E87" s="2">
        <f>SQRT(D87)/C87</f>
        <v>1.1805110024548007E-2</v>
      </c>
      <c r="H87" s="9">
        <v>2.4478787454314001E-2</v>
      </c>
      <c r="I87" s="2">
        <f>1/15 - 0.5/15</f>
        <v>3.3333333333333333E-2</v>
      </c>
      <c r="J87" s="2">
        <f t="shared" ref="J87:J101" si="10">4.91*(I87^0.14-(1-I87)^0.14)</f>
        <v>-1.836858897688687</v>
      </c>
    </row>
    <row r="88" spans="1:10" x14ac:dyDescent="0.3">
      <c r="A88" s="9">
        <v>2.5553159686552002E-2</v>
      </c>
      <c r="H88" s="9">
        <v>2.4866965896475999E-2</v>
      </c>
      <c r="I88" s="2">
        <f t="shared" ref="I88:I101" si="11">I87+1/15</f>
        <v>0.1</v>
      </c>
      <c r="J88" s="2">
        <f t="shared" si="10"/>
        <v>-1.2811261510381207</v>
      </c>
    </row>
    <row r="89" spans="1:10" x14ac:dyDescent="0.3">
      <c r="A89" s="9">
        <v>2.5497751713181999E-2</v>
      </c>
      <c r="C89" s="3" t="s">
        <v>7</v>
      </c>
      <c r="E89" s="1" t="s">
        <v>8</v>
      </c>
      <c r="H89" s="9">
        <v>2.4928602467427001E-2</v>
      </c>
      <c r="I89" s="2">
        <f t="shared" si="11"/>
        <v>0.16666666666666669</v>
      </c>
      <c r="J89" s="2">
        <f t="shared" si="10"/>
        <v>-0.96558119772402384</v>
      </c>
    </row>
    <row r="90" spans="1:10" x14ac:dyDescent="0.3">
      <c r="A90" s="9">
        <v>2.4928602467427001E-2</v>
      </c>
      <c r="C90" s="5">
        <f>MEDIAN(A87:A101)</f>
        <v>2.5248635879374998E-2</v>
      </c>
      <c r="E90" s="2">
        <v>2.145</v>
      </c>
      <c r="H90" s="9">
        <v>2.5013624269991999E-2</v>
      </c>
      <c r="I90" s="2">
        <f t="shared" si="11"/>
        <v>0.23333333333333334</v>
      </c>
      <c r="J90" s="2">
        <f t="shared" si="10"/>
        <v>-0.72575040815577163</v>
      </c>
    </row>
    <row r="91" spans="1:10" x14ac:dyDescent="0.3">
      <c r="A91" s="9">
        <v>2.5354911530342999E-2</v>
      </c>
      <c r="H91" s="9">
        <v>2.5144563063775001E-2</v>
      </c>
      <c r="I91" s="2">
        <f t="shared" si="11"/>
        <v>0.3</v>
      </c>
      <c r="J91" s="2">
        <f t="shared" si="10"/>
        <v>-0.52246305252576009</v>
      </c>
    </row>
    <row r="92" spans="1:10" x14ac:dyDescent="0.3">
      <c r="A92" s="9">
        <v>2.5296498293268001E-2</v>
      </c>
      <c r="C92" s="3"/>
      <c r="D92" s="1" t="s">
        <v>9</v>
      </c>
      <c r="H92" s="9">
        <v>2.5193589802469999E-2</v>
      </c>
      <c r="I92" s="2">
        <f t="shared" si="11"/>
        <v>0.36666666666666664</v>
      </c>
      <c r="J92" s="2">
        <f t="shared" si="10"/>
        <v>-0.33927638280750583</v>
      </c>
    </row>
    <row r="93" spans="1:10" x14ac:dyDescent="0.3">
      <c r="A93" s="9">
        <v>2.5193589802469999E-2</v>
      </c>
      <c r="C93" s="3" t="s">
        <v>10</v>
      </c>
      <c r="D93" s="2">
        <f>C87+E90*SQRT(D87)/(SQRT(15))</f>
        <v>2.5382093637396033E-2</v>
      </c>
      <c r="H93" s="9">
        <v>2.5215952511677998E-2</v>
      </c>
      <c r="I93" s="2">
        <f t="shared" si="11"/>
        <v>0.43333333333333329</v>
      </c>
      <c r="J93" s="2">
        <f t="shared" si="10"/>
        <v>-0.16715058832373922</v>
      </c>
    </row>
    <row r="94" spans="1:10" x14ac:dyDescent="0.3">
      <c r="A94" s="9">
        <v>2.5444045532406999E-2</v>
      </c>
      <c r="C94" s="3" t="s">
        <v>11</v>
      </c>
      <c r="D94" s="2">
        <f>C87-E90*SQRT(D87)/(SQRT(15))</f>
        <v>2.5052348102040892E-2</v>
      </c>
      <c r="H94" s="9">
        <v>2.5248635879374998E-2</v>
      </c>
      <c r="I94" s="2">
        <f t="shared" si="11"/>
        <v>0.49999999999999994</v>
      </c>
      <c r="J94" s="2">
        <f t="shared" si="10"/>
        <v>0</v>
      </c>
    </row>
    <row r="95" spans="1:10" x14ac:dyDescent="0.3">
      <c r="A95" s="9">
        <v>2.5529905759806001E-2</v>
      </c>
      <c r="H95" s="9">
        <v>2.5296498293268001E-2</v>
      </c>
      <c r="I95" s="2">
        <f t="shared" si="11"/>
        <v>0.56666666666666665</v>
      </c>
      <c r="J95" s="2">
        <f t="shared" si="10"/>
        <v>0.16715058832373922</v>
      </c>
    </row>
    <row r="96" spans="1:10" x14ac:dyDescent="0.3">
      <c r="A96" s="9">
        <v>2.5144563063775001E-2</v>
      </c>
      <c r="H96" s="9">
        <v>2.5354911530342999E-2</v>
      </c>
      <c r="I96" s="2">
        <f t="shared" si="11"/>
        <v>0.6333333333333333</v>
      </c>
      <c r="J96" s="2">
        <f t="shared" si="10"/>
        <v>0.33927638280750583</v>
      </c>
    </row>
    <row r="97" spans="1:10" x14ac:dyDescent="0.3">
      <c r="A97" s="9">
        <v>2.4478787454314001E-2</v>
      </c>
      <c r="H97" s="9">
        <v>2.5444045532406999E-2</v>
      </c>
      <c r="I97" s="2">
        <f t="shared" si="11"/>
        <v>0.7</v>
      </c>
      <c r="J97" s="2">
        <f t="shared" si="10"/>
        <v>0.52246305252576009</v>
      </c>
    </row>
    <row r="98" spans="1:10" x14ac:dyDescent="0.3">
      <c r="A98" s="9">
        <v>2.5248635879374998E-2</v>
      </c>
      <c r="H98" s="9">
        <v>2.5491319184712001E-2</v>
      </c>
      <c r="I98" s="2">
        <f t="shared" si="11"/>
        <v>0.76666666666666661</v>
      </c>
      <c r="J98" s="2">
        <f t="shared" si="10"/>
        <v>0.72575040815577163</v>
      </c>
    </row>
    <row r="99" spans="1:10" x14ac:dyDescent="0.3">
      <c r="A99" s="9">
        <v>2.5013624269991999E-2</v>
      </c>
      <c r="H99" s="9">
        <v>2.5497751713181999E-2</v>
      </c>
      <c r="I99" s="2">
        <f t="shared" si="11"/>
        <v>0.83333333333333326</v>
      </c>
      <c r="J99" s="2">
        <f t="shared" si="10"/>
        <v>0.96558119772402329</v>
      </c>
    </row>
    <row r="100" spans="1:10" x14ac:dyDescent="0.3">
      <c r="A100" s="9">
        <v>2.4866965896475999E-2</v>
      </c>
      <c r="H100" s="9">
        <v>2.5529905759806001E-2</v>
      </c>
      <c r="I100" s="2">
        <f t="shared" si="11"/>
        <v>0.89999999999999991</v>
      </c>
      <c r="J100" s="2">
        <f t="shared" si="10"/>
        <v>1.2811261510381207</v>
      </c>
    </row>
    <row r="101" spans="1:10" x14ac:dyDescent="0.3">
      <c r="A101" s="9">
        <v>2.5491319184712001E-2</v>
      </c>
      <c r="H101" s="9">
        <v>2.5553159686552002E-2</v>
      </c>
      <c r="I101" s="2">
        <f t="shared" si="11"/>
        <v>0.96666666666666656</v>
      </c>
      <c r="J101" s="2">
        <f t="shared" si="10"/>
        <v>1.8368588976886859</v>
      </c>
    </row>
    <row r="102" spans="1:10" s="6" customFormat="1" ht="4.5" customHeight="1" x14ac:dyDescent="0.3">
      <c r="C102" s="7"/>
    </row>
    <row r="103" spans="1:10" x14ac:dyDescent="0.3">
      <c r="A103" s="1" t="s">
        <v>17</v>
      </c>
      <c r="C103" s="3" t="s">
        <v>1</v>
      </c>
      <c r="D103" s="1" t="s">
        <v>2</v>
      </c>
      <c r="E103" s="1" t="s">
        <v>3</v>
      </c>
      <c r="F103" s="1"/>
      <c r="H103" s="1" t="s">
        <v>4</v>
      </c>
      <c r="I103" s="1" t="s">
        <v>5</v>
      </c>
      <c r="J103" s="1" t="s">
        <v>6</v>
      </c>
    </row>
    <row r="104" spans="1:10" x14ac:dyDescent="0.3">
      <c r="A104" s="4">
        <v>2.3642412634951999E-2</v>
      </c>
      <c r="C104" s="5">
        <f>AVERAGE(A104:A118)</f>
        <v>2.3683548845140467E-2</v>
      </c>
      <c r="D104" s="2">
        <f>_xlfn.VAR.S(A104:A118)</f>
        <v>5.9948803741196978E-8</v>
      </c>
      <c r="E104" s="2">
        <f>SQRT(D104)/C104</f>
        <v>1.0338165519515307E-2</v>
      </c>
      <c r="H104" s="4">
        <v>2.3151070084579999E-2</v>
      </c>
      <c r="I104" s="2">
        <f>1/15 - 0.5/15</f>
        <v>3.3333333333333333E-2</v>
      </c>
      <c r="J104" s="2">
        <f t="shared" ref="J104:J118" si="12">4.91*(I104^0.14-(1-I104)^0.14)</f>
        <v>-1.836858897688687</v>
      </c>
    </row>
    <row r="105" spans="1:10" x14ac:dyDescent="0.3">
      <c r="A105" s="4">
        <v>2.3727971190017998E-2</v>
      </c>
      <c r="H105" s="4">
        <v>2.3374032512526E-2</v>
      </c>
      <c r="I105" s="2">
        <f t="shared" ref="I105:I118" si="13">I104+1/15</f>
        <v>0.1</v>
      </c>
      <c r="J105" s="2">
        <f t="shared" si="12"/>
        <v>-1.2811261510381207</v>
      </c>
    </row>
    <row r="106" spans="1:10" x14ac:dyDescent="0.3">
      <c r="A106" s="4">
        <v>2.3889982849327002E-2</v>
      </c>
      <c r="C106" s="3" t="s">
        <v>7</v>
      </c>
      <c r="E106" s="1" t="s">
        <v>8</v>
      </c>
      <c r="H106" s="4">
        <v>2.3491136521017999E-2</v>
      </c>
      <c r="I106" s="2">
        <f t="shared" si="13"/>
        <v>0.16666666666666669</v>
      </c>
      <c r="J106" s="2">
        <f t="shared" si="12"/>
        <v>-0.96558119772402384</v>
      </c>
    </row>
    <row r="107" spans="1:10" x14ac:dyDescent="0.3">
      <c r="A107" s="4">
        <v>2.3491136521017999E-2</v>
      </c>
      <c r="C107" s="5">
        <f>MEDIAN(A104:A118)</f>
        <v>2.3727971190017998E-2</v>
      </c>
      <c r="E107" s="2">
        <v>2.145</v>
      </c>
      <c r="H107" s="4">
        <v>2.3520761483514001E-2</v>
      </c>
      <c r="I107" s="2">
        <f t="shared" si="13"/>
        <v>0.23333333333333334</v>
      </c>
      <c r="J107" s="2">
        <f t="shared" si="12"/>
        <v>-0.72575040815577163</v>
      </c>
    </row>
    <row r="108" spans="1:10" x14ac:dyDescent="0.3">
      <c r="A108" s="4">
        <v>2.3548826207685999E-2</v>
      </c>
      <c r="H108" s="4">
        <v>2.3526361972621999E-2</v>
      </c>
      <c r="I108" s="2">
        <f t="shared" si="13"/>
        <v>0.3</v>
      </c>
      <c r="J108" s="2">
        <f t="shared" si="12"/>
        <v>-0.52246305252576009</v>
      </c>
    </row>
    <row r="109" spans="1:10" x14ac:dyDescent="0.3">
      <c r="A109" s="4">
        <v>2.3835982443938E-2</v>
      </c>
      <c r="C109" s="3"/>
      <c r="D109" s="1" t="s">
        <v>9</v>
      </c>
      <c r="H109" s="4">
        <v>2.3548826207685999E-2</v>
      </c>
      <c r="I109" s="2">
        <f t="shared" si="13"/>
        <v>0.36666666666666664</v>
      </c>
      <c r="J109" s="2">
        <f t="shared" si="12"/>
        <v>-0.33927638280750583</v>
      </c>
    </row>
    <row r="110" spans="1:10" x14ac:dyDescent="0.3">
      <c r="A110" s="4">
        <v>2.3526361972621999E-2</v>
      </c>
      <c r="C110" s="3" t="s">
        <v>10</v>
      </c>
      <c r="D110" s="2">
        <f>C104+E107*SQRT(D104)/(SQRT(15))</f>
        <v>2.3819152666309178E-2</v>
      </c>
      <c r="H110" s="4">
        <v>2.3642412634951999E-2</v>
      </c>
      <c r="I110" s="2">
        <f t="shared" si="13"/>
        <v>0.43333333333333329</v>
      </c>
      <c r="J110" s="2">
        <f t="shared" si="12"/>
        <v>-0.16715058832373922</v>
      </c>
    </row>
    <row r="111" spans="1:10" x14ac:dyDescent="0.3">
      <c r="A111" s="4">
        <v>2.3936131667524001E-2</v>
      </c>
      <c r="C111" s="3" t="s">
        <v>11</v>
      </c>
      <c r="D111" s="2">
        <f>C104-E107*SQRT(D104)/(SQRT(15))</f>
        <v>2.3547945023971756E-2</v>
      </c>
      <c r="H111" s="4">
        <v>2.3727971190017998E-2</v>
      </c>
      <c r="I111" s="2">
        <f t="shared" si="13"/>
        <v>0.49999999999999994</v>
      </c>
      <c r="J111" s="2">
        <f t="shared" si="12"/>
        <v>0</v>
      </c>
    </row>
    <row r="112" spans="1:10" x14ac:dyDescent="0.3">
      <c r="A112" s="4">
        <v>2.3849482712354E-2</v>
      </c>
      <c r="H112" s="4">
        <v>2.3789629920025999E-2</v>
      </c>
      <c r="I112" s="2">
        <f t="shared" si="13"/>
        <v>0.56666666666666665</v>
      </c>
      <c r="J112" s="2">
        <f t="shared" si="12"/>
        <v>0.16715058832373922</v>
      </c>
    </row>
    <row r="113" spans="1:10" x14ac:dyDescent="0.3">
      <c r="A113" s="4">
        <v>2.3789629920025999E-2</v>
      </c>
      <c r="H113" s="4">
        <v>2.3835982443938E-2</v>
      </c>
      <c r="I113" s="2">
        <f t="shared" si="13"/>
        <v>0.6333333333333333</v>
      </c>
      <c r="J113" s="2">
        <f t="shared" si="12"/>
        <v>0.33927638280750583</v>
      </c>
    </row>
    <row r="114" spans="1:10" x14ac:dyDescent="0.3">
      <c r="A114" s="4">
        <v>2.3151070084579999E-2</v>
      </c>
      <c r="H114" s="4">
        <v>2.3849482712354E-2</v>
      </c>
      <c r="I114" s="2">
        <f t="shared" si="13"/>
        <v>0.7</v>
      </c>
      <c r="J114" s="2">
        <f t="shared" si="12"/>
        <v>0.52246305252576009</v>
      </c>
    </row>
    <row r="115" spans="1:10" x14ac:dyDescent="0.3">
      <c r="A115" s="4">
        <v>2.3979585449048001E-2</v>
      </c>
      <c r="H115" s="4">
        <v>2.3889982849327002E-2</v>
      </c>
      <c r="I115" s="2">
        <f t="shared" si="13"/>
        <v>0.76666666666666661</v>
      </c>
      <c r="J115" s="2">
        <f t="shared" si="12"/>
        <v>0.72575040815577163</v>
      </c>
    </row>
    <row r="116" spans="1:10" x14ac:dyDescent="0.3">
      <c r="A116" s="4">
        <v>2.3520761483514001E-2</v>
      </c>
      <c r="H116" s="4">
        <v>2.3936131667524001E-2</v>
      </c>
      <c r="I116" s="2">
        <f t="shared" si="13"/>
        <v>0.83333333333333326</v>
      </c>
      <c r="J116" s="2">
        <f t="shared" si="12"/>
        <v>0.96558119772402329</v>
      </c>
    </row>
    <row r="117" spans="1:10" x14ac:dyDescent="0.3">
      <c r="A117" s="4">
        <v>2.3374032512526E-2</v>
      </c>
      <c r="H117" s="4">
        <v>2.3979585449048001E-2</v>
      </c>
      <c r="I117" s="2">
        <f t="shared" si="13"/>
        <v>0.89999999999999991</v>
      </c>
      <c r="J117" s="2">
        <f t="shared" si="12"/>
        <v>1.2811261510381207</v>
      </c>
    </row>
    <row r="118" spans="1:10" x14ac:dyDescent="0.3">
      <c r="A118" s="4">
        <v>2.3989865027974001E-2</v>
      </c>
      <c r="H118" s="4">
        <v>2.3989865027974001E-2</v>
      </c>
      <c r="I118" s="2">
        <f t="shared" si="13"/>
        <v>0.96666666666666656</v>
      </c>
      <c r="J118" s="2">
        <f t="shared" si="12"/>
        <v>1.8368588976886859</v>
      </c>
    </row>
    <row r="119" spans="1:10" s="6" customFormat="1" ht="3.75" customHeight="1" x14ac:dyDescent="0.3">
      <c r="C119" s="7"/>
    </row>
    <row r="120" spans="1:10" x14ac:dyDescent="0.3">
      <c r="A120" s="1" t="s">
        <v>18</v>
      </c>
      <c r="C120" s="3" t="s">
        <v>1</v>
      </c>
      <c r="D120" s="1" t="s">
        <v>2</v>
      </c>
      <c r="E120" s="1" t="s">
        <v>3</v>
      </c>
      <c r="F120" s="1"/>
      <c r="H120" s="1" t="s">
        <v>4</v>
      </c>
      <c r="I120" s="1" t="s">
        <v>5</v>
      </c>
      <c r="J120" s="1" t="s">
        <v>6</v>
      </c>
    </row>
    <row r="121" spans="1:10" x14ac:dyDescent="0.3">
      <c r="A121" s="4">
        <v>2.2593590617502001E-2</v>
      </c>
      <c r="C121" s="5">
        <f>AVERAGE(A121:A135)</f>
        <v>2.2480024660614533E-2</v>
      </c>
      <c r="D121" s="2">
        <f>_xlfn.VAR.S(A121:A135)</f>
        <v>4.3692664619508765E-8</v>
      </c>
      <c r="E121" s="2">
        <f>SQRT(D121)/C121</f>
        <v>9.2983841023880527E-3</v>
      </c>
      <c r="H121" s="4">
        <v>2.1956340139823002E-2</v>
      </c>
      <c r="I121" s="2">
        <f>1/15 - 0.5/15</f>
        <v>3.3333333333333333E-2</v>
      </c>
      <c r="J121" s="2">
        <f t="shared" ref="J121:J135" si="14">4.91*(I121^0.14-(1-I121)^0.14)</f>
        <v>-1.836858897688687</v>
      </c>
    </row>
    <row r="122" spans="1:10" x14ac:dyDescent="0.3">
      <c r="A122" s="4">
        <v>2.2628279618441001E-2</v>
      </c>
      <c r="H122" s="4">
        <v>2.2213295831485E-2</v>
      </c>
      <c r="I122" s="2">
        <f t="shared" ref="I122:I135" si="15">I121+1/15</f>
        <v>0.1</v>
      </c>
      <c r="J122" s="2">
        <f t="shared" si="14"/>
        <v>-1.2811261510381207</v>
      </c>
    </row>
    <row r="123" spans="1:10" x14ac:dyDescent="0.3">
      <c r="A123" s="4">
        <v>2.2430519108592999E-2</v>
      </c>
      <c r="C123" s="3" t="s">
        <v>7</v>
      </c>
      <c r="E123" s="1" t="s">
        <v>8</v>
      </c>
      <c r="H123" s="4">
        <v>2.2242299338349002E-2</v>
      </c>
      <c r="I123" s="2">
        <f t="shared" si="15"/>
        <v>0.16666666666666669</v>
      </c>
      <c r="J123" s="2">
        <f t="shared" si="14"/>
        <v>-0.96558119772402384</v>
      </c>
    </row>
    <row r="124" spans="1:10" x14ac:dyDescent="0.3">
      <c r="A124" s="4">
        <v>2.2213295831485E-2</v>
      </c>
      <c r="C124" s="5">
        <f>MEDIAN(A121:A135)</f>
        <v>2.2557788287219001E-2</v>
      </c>
      <c r="E124" s="2">
        <v>2.145</v>
      </c>
      <c r="H124" s="4">
        <v>2.2414019308668001E-2</v>
      </c>
      <c r="I124" s="2">
        <f t="shared" si="15"/>
        <v>0.23333333333333334</v>
      </c>
      <c r="J124" s="2">
        <f t="shared" si="14"/>
        <v>-0.72575040815577163</v>
      </c>
    </row>
    <row r="125" spans="1:10" x14ac:dyDescent="0.3">
      <c r="A125" s="4">
        <v>2.2414019308668001E-2</v>
      </c>
      <c r="H125" s="4">
        <v>2.2414275581177999E-2</v>
      </c>
      <c r="I125" s="2">
        <f t="shared" si="15"/>
        <v>0.3</v>
      </c>
      <c r="J125" s="2">
        <f t="shared" si="14"/>
        <v>-0.52246305252576009</v>
      </c>
    </row>
    <row r="126" spans="1:10" x14ac:dyDescent="0.3">
      <c r="A126" s="4">
        <v>2.2597095242983999E-2</v>
      </c>
      <c r="C126" s="3"/>
      <c r="D126" s="1" t="s">
        <v>9</v>
      </c>
      <c r="H126" s="4">
        <v>2.2430519108592999E-2</v>
      </c>
      <c r="I126" s="2">
        <f t="shared" si="15"/>
        <v>0.36666666666666664</v>
      </c>
      <c r="J126" s="2">
        <f t="shared" si="14"/>
        <v>-0.33927638280750583</v>
      </c>
    </row>
    <row r="127" spans="1:10" x14ac:dyDescent="0.3">
      <c r="A127" s="4">
        <v>2.2517940829508001E-2</v>
      </c>
      <c r="C127" s="3" t="s">
        <v>10</v>
      </c>
      <c r="D127" s="2">
        <f>C121+E124*SQRT(D121)/(SQRT(15))</f>
        <v>2.2595791968098404E-2</v>
      </c>
      <c r="H127" s="4">
        <v>2.2517940829508001E-2</v>
      </c>
      <c r="I127" s="2">
        <f t="shared" si="15"/>
        <v>0.43333333333333329</v>
      </c>
      <c r="J127" s="2">
        <f t="shared" si="14"/>
        <v>-0.16715058832373922</v>
      </c>
    </row>
    <row r="128" spans="1:10" x14ac:dyDescent="0.3">
      <c r="A128" s="4">
        <v>2.2600504107537001E-2</v>
      </c>
      <c r="C128" s="3" t="s">
        <v>11</v>
      </c>
      <c r="D128" s="2">
        <f>C121-E124*SQRT(D121)/(SQRT(15))</f>
        <v>2.2364257353130662E-2</v>
      </c>
      <c r="H128" s="4">
        <v>2.2557788287219001E-2</v>
      </c>
      <c r="I128" s="2">
        <f t="shared" si="15"/>
        <v>0.49999999999999994</v>
      </c>
      <c r="J128" s="2">
        <f t="shared" si="14"/>
        <v>0</v>
      </c>
    </row>
    <row r="129" spans="1:10" x14ac:dyDescent="0.3">
      <c r="A129" s="4">
        <v>2.2740343238536999E-2</v>
      </c>
      <c r="H129" s="4">
        <v>2.2593590617502001E-2</v>
      </c>
      <c r="I129" s="2">
        <f t="shared" si="15"/>
        <v>0.56666666666666665</v>
      </c>
      <c r="J129" s="2">
        <f t="shared" si="14"/>
        <v>0.16715058832373922</v>
      </c>
    </row>
    <row r="130" spans="1:10" x14ac:dyDescent="0.3">
      <c r="A130" s="4">
        <v>2.2557788287219001E-2</v>
      </c>
      <c r="H130" s="4">
        <v>2.2597095242983999E-2</v>
      </c>
      <c r="I130" s="2">
        <f t="shared" si="15"/>
        <v>0.6333333333333333</v>
      </c>
      <c r="J130" s="2">
        <f t="shared" si="14"/>
        <v>0.33927638280750583</v>
      </c>
    </row>
    <row r="131" spans="1:10" x14ac:dyDescent="0.3">
      <c r="A131" s="4">
        <v>2.1956340139823002E-2</v>
      </c>
      <c r="H131" s="4">
        <v>2.2599458733537001E-2</v>
      </c>
      <c r="I131" s="2">
        <f t="shared" si="15"/>
        <v>0.7</v>
      </c>
      <c r="J131" s="2">
        <f t="shared" si="14"/>
        <v>0.52246305252576009</v>
      </c>
    </row>
    <row r="132" spans="1:10" x14ac:dyDescent="0.3">
      <c r="A132" s="4">
        <v>2.2694619925857001E-2</v>
      </c>
      <c r="H132" s="4">
        <v>2.2600504107537001E-2</v>
      </c>
      <c r="I132" s="2">
        <f t="shared" si="15"/>
        <v>0.76666666666666661</v>
      </c>
      <c r="J132" s="2">
        <f t="shared" si="14"/>
        <v>0.72575040815577163</v>
      </c>
    </row>
    <row r="133" spans="1:10" x14ac:dyDescent="0.3">
      <c r="A133" s="4">
        <v>2.2414275581177999E-2</v>
      </c>
      <c r="H133" s="4">
        <v>2.2628279618441001E-2</v>
      </c>
      <c r="I133" s="2">
        <f t="shared" si="15"/>
        <v>0.83333333333333326</v>
      </c>
      <c r="J133" s="2">
        <f t="shared" si="14"/>
        <v>0.96558119772402329</v>
      </c>
    </row>
    <row r="134" spans="1:10" x14ac:dyDescent="0.3">
      <c r="A134" s="4">
        <v>2.2242299338349002E-2</v>
      </c>
      <c r="H134" s="4">
        <v>2.2694619925857001E-2</v>
      </c>
      <c r="I134" s="2">
        <f t="shared" si="15"/>
        <v>0.89999999999999991</v>
      </c>
      <c r="J134" s="2">
        <f t="shared" si="14"/>
        <v>1.2811261510381207</v>
      </c>
    </row>
    <row r="135" spans="1:10" x14ac:dyDescent="0.3">
      <c r="A135" s="4">
        <v>2.2599458733537001E-2</v>
      </c>
      <c r="H135" s="4">
        <v>2.2740343238536999E-2</v>
      </c>
      <c r="I135" s="2">
        <f t="shared" si="15"/>
        <v>0.96666666666666656</v>
      </c>
      <c r="J135" s="2">
        <f t="shared" si="14"/>
        <v>1.8368588976886859</v>
      </c>
    </row>
    <row r="136" spans="1:10" s="6" customFormat="1" ht="4.5" customHeight="1" x14ac:dyDescent="0.3">
      <c r="C136" s="7"/>
    </row>
    <row r="137" spans="1:10" x14ac:dyDescent="0.3">
      <c r="A137" s="1" t="s">
        <v>19</v>
      </c>
      <c r="C137" s="3" t="s">
        <v>1</v>
      </c>
      <c r="D137" s="1" t="s">
        <v>2</v>
      </c>
      <c r="E137" s="1" t="s">
        <v>3</v>
      </c>
      <c r="F137" s="1"/>
      <c r="H137" s="1" t="s">
        <v>4</v>
      </c>
      <c r="I137" s="1" t="s">
        <v>5</v>
      </c>
      <c r="J137" s="1" t="s">
        <v>6</v>
      </c>
    </row>
    <row r="138" spans="1:10" x14ac:dyDescent="0.3">
      <c r="A138" s="4">
        <v>2.1564184544703002E-2</v>
      </c>
      <c r="C138" s="5">
        <f>AVERAGE(A138:A152)</f>
        <v>2.1417344212244067E-2</v>
      </c>
      <c r="D138" s="2">
        <f>_xlfn.VAR.S(A138:A152)</f>
        <v>2.0281947595163236E-8</v>
      </c>
      <c r="E138" s="2">
        <f>SQRT(D138)/C138</f>
        <v>6.649503386803932E-3</v>
      </c>
      <c r="H138" s="4">
        <v>2.1033075287623E-2</v>
      </c>
      <c r="I138" s="2">
        <f>1/15 - 0.5/15</f>
        <v>3.3333333333333333E-2</v>
      </c>
      <c r="J138" s="2">
        <f t="shared" ref="J138:J152" si="16">4.91*(I138^0.14-(1-I138)^0.14)</f>
        <v>-1.836858897688687</v>
      </c>
    </row>
    <row r="139" spans="1:10" x14ac:dyDescent="0.3">
      <c r="A139" s="4">
        <v>2.1549137315787E-2</v>
      </c>
      <c r="H139" s="4">
        <v>2.1243002560439001E-2</v>
      </c>
      <c r="I139" s="2">
        <f t="shared" ref="I139:I152" si="17">I138+1/15</f>
        <v>0.1</v>
      </c>
      <c r="J139" s="2">
        <f t="shared" si="16"/>
        <v>-1.2811261510381207</v>
      </c>
    </row>
    <row r="140" spans="1:10" x14ac:dyDescent="0.3">
      <c r="A140" s="4">
        <v>2.1479777592701001E-2</v>
      </c>
      <c r="C140" s="3" t="s">
        <v>7</v>
      </c>
      <c r="E140" s="1" t="s">
        <v>8</v>
      </c>
      <c r="H140" s="4">
        <v>2.1311045280217999E-2</v>
      </c>
      <c r="I140" s="2">
        <f t="shared" si="17"/>
        <v>0.16666666666666669</v>
      </c>
      <c r="J140" s="2">
        <f t="shared" si="16"/>
        <v>-0.96558119772402384</v>
      </c>
    </row>
    <row r="141" spans="1:10" x14ac:dyDescent="0.3">
      <c r="A141" s="4">
        <v>2.1311045280217999E-2</v>
      </c>
      <c r="C141" s="5">
        <f>MEDIAN(A138:A152)</f>
        <v>2.1479777592701001E-2</v>
      </c>
      <c r="E141" s="2">
        <v>2.145</v>
      </c>
      <c r="H141" s="4">
        <v>2.134686810072E-2</v>
      </c>
      <c r="I141" s="2">
        <f t="shared" si="17"/>
        <v>0.23333333333333334</v>
      </c>
      <c r="J141" s="2">
        <f t="shared" si="16"/>
        <v>-0.72575040815577163</v>
      </c>
    </row>
    <row r="142" spans="1:10" x14ac:dyDescent="0.3">
      <c r="A142" s="4">
        <v>2.1522691704604E-2</v>
      </c>
      <c r="H142" s="4">
        <v>2.1355071471684001E-2</v>
      </c>
      <c r="I142" s="2">
        <f t="shared" si="17"/>
        <v>0.3</v>
      </c>
      <c r="J142" s="2">
        <f t="shared" si="16"/>
        <v>-0.52246305252576009</v>
      </c>
    </row>
    <row r="143" spans="1:10" x14ac:dyDescent="0.3">
      <c r="A143" s="4">
        <v>2.141514673821E-2</v>
      </c>
      <c r="C143" s="3"/>
      <c r="D143" s="1" t="s">
        <v>9</v>
      </c>
      <c r="H143" s="4">
        <v>2.141514673821E-2</v>
      </c>
      <c r="I143" s="2">
        <f t="shared" si="17"/>
        <v>0.36666666666666664</v>
      </c>
      <c r="J143" s="2">
        <f t="shared" si="16"/>
        <v>-0.33927638280750583</v>
      </c>
    </row>
    <row r="144" spans="1:10" x14ac:dyDescent="0.3">
      <c r="A144" s="4">
        <v>2.141799155897E-2</v>
      </c>
      <c r="C144" s="3" t="s">
        <v>10</v>
      </c>
      <c r="D144" s="2">
        <f>C138+E141*SQRT(D138)/(SQRT(15))</f>
        <v>2.1496218689710498E-2</v>
      </c>
      <c r="H144" s="4">
        <v>2.141799155897E-2</v>
      </c>
      <c r="I144" s="2">
        <f t="shared" si="17"/>
        <v>0.43333333333333329</v>
      </c>
      <c r="J144" s="2">
        <f t="shared" si="16"/>
        <v>-0.16715058832373922</v>
      </c>
    </row>
    <row r="145" spans="1:10" x14ac:dyDescent="0.3">
      <c r="A145" s="4">
        <v>2.1355071471684001E-2</v>
      </c>
      <c r="C145" s="3" t="s">
        <v>11</v>
      </c>
      <c r="D145" s="2">
        <f>C138-E141*SQRT(D138)/(SQRT(15))</f>
        <v>2.1338469734777637E-2</v>
      </c>
      <c r="H145" s="4">
        <v>2.1479777592701001E-2</v>
      </c>
      <c r="I145" s="2">
        <f t="shared" si="17"/>
        <v>0.49999999999999994</v>
      </c>
      <c r="J145" s="2">
        <f t="shared" si="16"/>
        <v>0</v>
      </c>
    </row>
    <row r="146" spans="1:10" x14ac:dyDescent="0.3">
      <c r="A146" s="4">
        <v>2.1518332893508001E-2</v>
      </c>
      <c r="H146" s="4">
        <v>2.1491107388706E-2</v>
      </c>
      <c r="I146" s="2">
        <f t="shared" si="17"/>
        <v>0.56666666666666665</v>
      </c>
      <c r="J146" s="2">
        <f t="shared" si="16"/>
        <v>0.16715058832373922</v>
      </c>
    </row>
    <row r="147" spans="1:10" x14ac:dyDescent="0.3">
      <c r="A147" s="4">
        <v>2.1491107388706E-2</v>
      </c>
      <c r="H147" s="4">
        <v>2.1493649627054998E-2</v>
      </c>
      <c r="I147" s="2">
        <f t="shared" si="17"/>
        <v>0.6333333333333333</v>
      </c>
      <c r="J147" s="2">
        <f t="shared" si="16"/>
        <v>0.33927638280750583</v>
      </c>
    </row>
    <row r="148" spans="1:10" x14ac:dyDescent="0.3">
      <c r="A148" s="4">
        <v>2.1033075287623E-2</v>
      </c>
      <c r="H148" s="4">
        <v>2.1518332893508001E-2</v>
      </c>
      <c r="I148" s="2">
        <f t="shared" si="17"/>
        <v>0.7</v>
      </c>
      <c r="J148" s="2">
        <f t="shared" si="16"/>
        <v>0.52246305252576009</v>
      </c>
    </row>
    <row r="149" spans="1:10" x14ac:dyDescent="0.3">
      <c r="A149" s="4">
        <v>2.1519081118733002E-2</v>
      </c>
      <c r="H149" s="4">
        <v>2.1519081118733002E-2</v>
      </c>
      <c r="I149" s="2">
        <f t="shared" si="17"/>
        <v>0.76666666666666661</v>
      </c>
      <c r="J149" s="2">
        <f t="shared" si="16"/>
        <v>0.72575040815577163</v>
      </c>
    </row>
    <row r="150" spans="1:10" x14ac:dyDescent="0.3">
      <c r="A150" s="4">
        <v>2.134686810072E-2</v>
      </c>
      <c r="H150" s="4">
        <v>2.1522691704604E-2</v>
      </c>
      <c r="I150" s="2">
        <f t="shared" si="17"/>
        <v>0.83333333333333326</v>
      </c>
      <c r="J150" s="2">
        <f t="shared" si="16"/>
        <v>0.96558119772402329</v>
      </c>
    </row>
    <row r="151" spans="1:10" x14ac:dyDescent="0.3">
      <c r="A151" s="4">
        <v>2.1243002560439001E-2</v>
      </c>
      <c r="H151" s="4">
        <v>2.1549137315787E-2</v>
      </c>
      <c r="I151" s="2">
        <f t="shared" si="17"/>
        <v>0.89999999999999991</v>
      </c>
      <c r="J151" s="2">
        <f t="shared" si="16"/>
        <v>1.2811261510381207</v>
      </c>
    </row>
    <row r="152" spans="1:10" x14ac:dyDescent="0.3">
      <c r="A152" s="4">
        <v>2.1493649627054998E-2</v>
      </c>
      <c r="H152" s="4">
        <v>2.1564184544703002E-2</v>
      </c>
      <c r="I152" s="2">
        <f t="shared" si="17"/>
        <v>0.96666666666666656</v>
      </c>
      <c r="J152" s="2">
        <f t="shared" si="16"/>
        <v>1.8368588976886859</v>
      </c>
    </row>
    <row r="153" spans="1:10" s="6" customFormat="1" ht="5.25" customHeight="1" x14ac:dyDescent="0.3">
      <c r="C153" s="7"/>
    </row>
    <row r="155" spans="1:10" x14ac:dyDescent="0.3">
      <c r="A155" s="1"/>
      <c r="C155" s="1"/>
      <c r="D155" s="1"/>
      <c r="E155" s="1"/>
    </row>
    <row r="156" spans="1:10" x14ac:dyDescent="0.3">
      <c r="A156" s="14" t="s">
        <v>20</v>
      </c>
      <c r="B156" s="14"/>
      <c r="C156" s="14"/>
    </row>
    <row r="157" spans="1:10" x14ac:dyDescent="0.3">
      <c r="A157" s="1" t="s">
        <v>21</v>
      </c>
      <c r="B157" s="1" t="s">
        <v>22</v>
      </c>
      <c r="C157" s="1" t="s">
        <v>23</v>
      </c>
    </row>
    <row r="158" spans="1:10" x14ac:dyDescent="0.3">
      <c r="A158" s="2" t="s">
        <v>24</v>
      </c>
      <c r="B158" s="2">
        <f>9*0.001</f>
        <v>9.0000000000000011E-3</v>
      </c>
      <c r="C158" s="2">
        <f>C2</f>
        <v>4.9064986412869258E-2</v>
      </c>
    </row>
    <row r="159" spans="1:10" x14ac:dyDescent="0.3">
      <c r="A159" s="2" t="s">
        <v>25</v>
      </c>
      <c r="B159" s="2">
        <f>9.5*0.001</f>
        <v>9.4999999999999998E-3</v>
      </c>
      <c r="C159" s="2">
        <f>C19</f>
        <v>3.9598082060379139E-2</v>
      </c>
    </row>
    <row r="160" spans="1:10" x14ac:dyDescent="0.3">
      <c r="A160" s="2" t="s">
        <v>26</v>
      </c>
      <c r="B160" s="2">
        <f>10*0.001</f>
        <v>0.01</v>
      </c>
      <c r="C160" s="2">
        <f>C36</f>
        <v>3.3707949319447136E-2</v>
      </c>
    </row>
    <row r="161" spans="1:55" x14ac:dyDescent="0.3">
      <c r="A161" s="2" t="s">
        <v>27</v>
      </c>
      <c r="B161" s="2">
        <f>10.5*0.001</f>
        <v>1.0500000000000001E-2</v>
      </c>
      <c r="C161" s="2">
        <f>C53</f>
        <v>2.9949122854414995E-2</v>
      </c>
    </row>
    <row r="162" spans="1:55" x14ac:dyDescent="0.3">
      <c r="A162" s="2" t="s">
        <v>28</v>
      </c>
      <c r="B162" s="2">
        <f>11*0.001</f>
        <v>1.0999999999999999E-2</v>
      </c>
      <c r="C162" s="2">
        <f>C70</f>
        <v>2.7191105589080462E-2</v>
      </c>
    </row>
    <row r="163" spans="1:55" x14ac:dyDescent="0.3">
      <c r="A163" s="2" t="s">
        <v>29</v>
      </c>
      <c r="B163" s="2">
        <f>11.5*0.001</f>
        <v>1.15E-2</v>
      </c>
      <c r="C163" s="2">
        <f>C87</f>
        <v>2.5217220869718462E-2</v>
      </c>
    </row>
    <row r="164" spans="1:55" x14ac:dyDescent="0.3">
      <c r="A164" s="2" t="s">
        <v>30</v>
      </c>
      <c r="B164" s="2">
        <f>12*0.001</f>
        <v>1.2E-2</v>
      </c>
      <c r="C164" s="2">
        <f>C104</f>
        <v>2.3683548845140467E-2</v>
      </c>
    </row>
    <row r="165" spans="1:55" x14ac:dyDescent="0.3">
      <c r="A165" s="2" t="s">
        <v>31</v>
      </c>
      <c r="B165" s="2">
        <f>12.5*0.001</f>
        <v>1.2500000000000001E-2</v>
      </c>
      <c r="C165" s="2">
        <f>C121</f>
        <v>2.2480024660614533E-2</v>
      </c>
    </row>
    <row r="166" spans="1:55" x14ac:dyDescent="0.3">
      <c r="A166" s="2" t="s">
        <v>32</v>
      </c>
      <c r="B166" s="2">
        <f>13*0.001</f>
        <v>1.3000000000000001E-2</v>
      </c>
      <c r="C166" s="2">
        <f>C138</f>
        <v>2.1417344212244067E-2</v>
      </c>
    </row>
    <row r="168" spans="1:55" x14ac:dyDescent="0.3"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55" x14ac:dyDescent="0.3">
      <c r="A169" s="5"/>
      <c r="B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55" x14ac:dyDescent="0.3">
      <c r="A170" s="5"/>
      <c r="B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</row>
    <row r="171" spans="1:55" x14ac:dyDescent="0.3">
      <c r="A171" s="15" t="s">
        <v>33</v>
      </c>
      <c r="B171" s="15"/>
      <c r="C171" s="15"/>
      <c r="D171" s="15"/>
      <c r="E171" s="15"/>
      <c r="N171" s="5"/>
      <c r="O171" s="5"/>
      <c r="P171" s="5"/>
      <c r="Q171" s="5"/>
      <c r="R171" s="5"/>
      <c r="S171" s="5"/>
      <c r="T171" s="5"/>
      <c r="U171" s="5"/>
      <c r="V171" s="5"/>
    </row>
    <row r="172" spans="1:55" x14ac:dyDescent="0.3">
      <c r="A172" s="14" t="s">
        <v>34</v>
      </c>
      <c r="B172" s="14"/>
      <c r="C172" s="14"/>
      <c r="D172" s="14"/>
      <c r="E172" s="14"/>
      <c r="N172" s="5"/>
      <c r="O172" s="5"/>
      <c r="P172" s="5"/>
      <c r="Q172" s="5"/>
      <c r="R172" s="5"/>
      <c r="S172" s="5"/>
      <c r="T172" s="5"/>
      <c r="U172" s="5"/>
      <c r="V172" s="5"/>
      <c r="AQ172" s="3"/>
      <c r="AR172" s="3"/>
      <c r="AS172" s="3"/>
      <c r="AT172" s="3"/>
      <c r="AU172" s="3"/>
    </row>
    <row r="173" spans="1:55" x14ac:dyDescent="0.3">
      <c r="A173" s="1" t="s">
        <v>21</v>
      </c>
      <c r="B173" s="1" t="s">
        <v>35</v>
      </c>
      <c r="C173" s="1" t="s">
        <v>36</v>
      </c>
      <c r="D173" s="1" t="s">
        <v>37</v>
      </c>
      <c r="E173" s="1" t="s">
        <v>38</v>
      </c>
      <c r="N173" s="5"/>
      <c r="O173" s="5"/>
      <c r="P173" s="5"/>
      <c r="Q173" s="5"/>
      <c r="R173" s="5"/>
      <c r="S173" s="5"/>
      <c r="T173" s="5"/>
      <c r="U173" s="5"/>
      <c r="V173" s="5"/>
      <c r="AQ173" s="1"/>
      <c r="AR173" s="1"/>
      <c r="AS173" s="1"/>
      <c r="AT173" s="1"/>
    </row>
    <row r="174" spans="1:55" x14ac:dyDescent="0.3">
      <c r="A174" s="2" t="s">
        <v>24</v>
      </c>
      <c r="B174" s="2">
        <f>9*0.001</f>
        <v>9.0000000000000011E-3</v>
      </c>
      <c r="C174" s="2">
        <f t="shared" ref="C174:C182" si="18">LN(B174)</f>
        <v>-4.7105307016459177</v>
      </c>
      <c r="D174" s="2">
        <f t="shared" ref="D174:D182" si="19">LN(C158)</f>
        <v>-3.0146096062447567</v>
      </c>
      <c r="E174" s="2">
        <f t="shared" ref="E174:E182" si="20">D174-C174*$D$186-$E$186</f>
        <v>0.10026510627084484</v>
      </c>
      <c r="N174" s="5"/>
      <c r="O174" s="5"/>
      <c r="P174" s="5"/>
      <c r="Q174" s="5"/>
      <c r="R174" s="5"/>
      <c r="S174" s="5"/>
      <c r="T174" s="5"/>
      <c r="U174" s="5"/>
      <c r="V174" s="5"/>
    </row>
    <row r="175" spans="1:55" x14ac:dyDescent="0.3">
      <c r="A175" s="2" t="s">
        <v>25</v>
      </c>
      <c r="B175" s="2">
        <f>9.5*0.001</f>
        <v>9.4999999999999998E-3</v>
      </c>
      <c r="C175" s="2">
        <f t="shared" si="18"/>
        <v>-4.656463480375642</v>
      </c>
      <c r="D175" s="2">
        <f t="shared" si="19"/>
        <v>-3.2289745947133177</v>
      </c>
      <c r="E175" s="2">
        <f t="shared" si="20"/>
        <v>2.9880921851930253E-3</v>
      </c>
      <c r="N175" s="5"/>
      <c r="O175" s="5"/>
      <c r="P175" s="5"/>
      <c r="Q175" s="5"/>
      <c r="R175" s="5"/>
      <c r="S175" s="5"/>
      <c r="T175" s="5"/>
      <c r="U175" s="5"/>
      <c r="V175" s="5"/>
    </row>
    <row r="176" spans="1:55" x14ac:dyDescent="0.3">
      <c r="A176" s="2" t="s">
        <v>26</v>
      </c>
      <c r="B176" s="2">
        <f>10*0.001</f>
        <v>0.01</v>
      </c>
      <c r="C176" s="2">
        <f t="shared" si="18"/>
        <v>-4.6051701859880909</v>
      </c>
      <c r="D176" s="2">
        <f t="shared" si="19"/>
        <v>-3.3900215845902144</v>
      </c>
      <c r="E176" s="2">
        <f t="shared" si="20"/>
        <v>-4.6978139366023797E-2</v>
      </c>
      <c r="N176" s="5"/>
      <c r="O176" s="5"/>
      <c r="P176" s="5"/>
      <c r="Q176" s="5"/>
      <c r="R176" s="5"/>
      <c r="S176" s="5"/>
      <c r="T176" s="5"/>
      <c r="U176" s="5"/>
      <c r="V176" s="5"/>
    </row>
    <row r="177" spans="1:47" x14ac:dyDescent="0.3">
      <c r="A177" s="2" t="s">
        <v>27</v>
      </c>
      <c r="B177" s="2">
        <f>10.5*0.001</f>
        <v>1.0500000000000001E-2</v>
      </c>
      <c r="C177" s="2">
        <f t="shared" si="18"/>
        <v>-4.5563800218186596</v>
      </c>
      <c r="D177" s="2">
        <f t="shared" si="19"/>
        <v>-3.5082552418473809</v>
      </c>
      <c r="E177" s="2">
        <f t="shared" si="20"/>
        <v>-5.9551817097869275E-2</v>
      </c>
      <c r="N177" s="5"/>
      <c r="O177" s="5"/>
      <c r="P177" s="5"/>
      <c r="Q177" s="5"/>
      <c r="R177" s="5"/>
      <c r="S177" s="5"/>
      <c r="T177" s="5"/>
      <c r="U177" s="5"/>
      <c r="V177" s="5"/>
    </row>
    <row r="178" spans="1:47" x14ac:dyDescent="0.3">
      <c r="A178" s="2" t="s">
        <v>28</v>
      </c>
      <c r="B178" s="2">
        <f>11*0.001</f>
        <v>1.0999999999999999E-2</v>
      </c>
      <c r="C178" s="2">
        <f t="shared" si="18"/>
        <v>-4.5098600061837661</v>
      </c>
      <c r="D178" s="2">
        <f t="shared" si="19"/>
        <v>-3.6048653595579285</v>
      </c>
      <c r="E178" s="2">
        <f t="shared" si="20"/>
        <v>-5.541818894949202E-2</v>
      </c>
      <c r="N178" s="5"/>
      <c r="O178" s="5"/>
      <c r="P178" s="5"/>
      <c r="Q178" s="5"/>
      <c r="R178" s="5"/>
      <c r="S178" s="5"/>
      <c r="T178" s="5"/>
      <c r="U178" s="5"/>
      <c r="V178" s="5"/>
    </row>
    <row r="179" spans="1:47" x14ac:dyDescent="0.3">
      <c r="A179" s="2" t="s">
        <v>29</v>
      </c>
      <c r="B179" s="2">
        <f>11.5*0.001</f>
        <v>1.15E-2</v>
      </c>
      <c r="C179" s="2">
        <f t="shared" si="18"/>
        <v>-4.4654082436129325</v>
      </c>
      <c r="D179" s="2">
        <f t="shared" si="19"/>
        <v>-3.6802281500082739</v>
      </c>
      <c r="E179" s="2">
        <f t="shared" si="20"/>
        <v>-3.451624237643891E-2</v>
      </c>
      <c r="N179" s="5"/>
      <c r="O179" s="5"/>
      <c r="P179" s="5"/>
      <c r="Q179" s="5"/>
      <c r="R179" s="5"/>
      <c r="S179" s="5"/>
      <c r="T179" s="5"/>
      <c r="U179" s="5"/>
      <c r="V179" s="5"/>
    </row>
    <row r="180" spans="1:47" x14ac:dyDescent="0.3">
      <c r="A180" s="2" t="s">
        <v>30</v>
      </c>
      <c r="B180" s="2">
        <f>12*0.001</f>
        <v>1.2E-2</v>
      </c>
      <c r="C180" s="2">
        <f t="shared" si="18"/>
        <v>-4.4228486291941369</v>
      </c>
      <c r="D180" s="2">
        <f t="shared" si="19"/>
        <v>-3.7429746134241002</v>
      </c>
      <c r="E180" s="2">
        <f t="shared" si="20"/>
        <v>-5.0956048069235038E-3</v>
      </c>
      <c r="N180" s="5"/>
      <c r="O180" s="5"/>
      <c r="P180" s="5"/>
      <c r="Q180" s="5"/>
      <c r="R180" s="5"/>
      <c r="S180" s="5"/>
      <c r="T180" s="5"/>
      <c r="U180" s="5"/>
      <c r="V180" s="5"/>
    </row>
    <row r="181" spans="1:47" x14ac:dyDescent="0.3">
      <c r="A181" s="2" t="s">
        <v>31</v>
      </c>
      <c r="B181" s="2">
        <f>12.5*0.001</f>
        <v>1.2500000000000001E-2</v>
      </c>
      <c r="C181" s="2">
        <f t="shared" si="18"/>
        <v>-4.3820266346738812</v>
      </c>
      <c r="D181" s="2">
        <f t="shared" si="19"/>
        <v>-3.7951281569548225</v>
      </c>
      <c r="E181" s="2">
        <f t="shared" si="20"/>
        <v>3.1154962995421087E-2</v>
      </c>
      <c r="N181" s="5"/>
      <c r="O181" s="5"/>
      <c r="P181" s="5"/>
      <c r="Q181" s="5"/>
      <c r="R181" s="5"/>
      <c r="S181" s="5"/>
      <c r="T181" s="5"/>
      <c r="U181" s="5"/>
      <c r="V181" s="5"/>
    </row>
    <row r="182" spans="1:47" x14ac:dyDescent="0.3">
      <c r="A182" s="2" t="s">
        <v>32</v>
      </c>
      <c r="B182" s="2">
        <f>13*0.001</f>
        <v>1.3000000000000001E-2</v>
      </c>
      <c r="C182" s="2">
        <f t="shared" si="18"/>
        <v>-4.3428059215206005</v>
      </c>
      <c r="D182" s="2">
        <f t="shared" si="19"/>
        <v>-3.8435542080059641</v>
      </c>
      <c r="E182" s="2">
        <f t="shared" si="20"/>
        <v>6.7665288349024522E-2</v>
      </c>
      <c r="N182" s="5"/>
      <c r="O182" s="5"/>
      <c r="P182" s="5"/>
      <c r="Q182" s="5"/>
      <c r="R182" s="5"/>
      <c r="S182" s="5"/>
      <c r="T182" s="5"/>
      <c r="U182" s="5"/>
      <c r="V182" s="5"/>
    </row>
    <row r="183" spans="1:47" x14ac:dyDescent="0.3">
      <c r="A183" s="1"/>
      <c r="C183" s="2"/>
      <c r="N183" s="5"/>
      <c r="O183" s="5"/>
      <c r="P183" s="5"/>
      <c r="Q183" s="5"/>
      <c r="R183" s="5"/>
      <c r="S183" s="5"/>
      <c r="T183" s="5"/>
      <c r="U183" s="5"/>
      <c r="V183" s="5"/>
      <c r="AQ183" s="1"/>
    </row>
    <row r="184" spans="1:47" x14ac:dyDescent="0.3">
      <c r="A184" s="1"/>
      <c r="C184" s="2"/>
      <c r="D184" s="14" t="s">
        <v>39</v>
      </c>
      <c r="E184" s="14"/>
      <c r="N184" s="5"/>
      <c r="O184" s="5"/>
      <c r="P184" s="5"/>
      <c r="Q184" s="5"/>
      <c r="R184" s="5"/>
      <c r="S184" s="5"/>
      <c r="T184" s="5"/>
      <c r="U184" s="5"/>
      <c r="V184" s="5"/>
      <c r="AQ184" s="1"/>
      <c r="AT184" s="3"/>
      <c r="AU184" s="3"/>
    </row>
    <row r="185" spans="1:47" x14ac:dyDescent="0.3">
      <c r="A185" s="1"/>
      <c r="C185" s="2"/>
      <c r="D185" s="1" t="s">
        <v>40</v>
      </c>
      <c r="E185" s="1" t="s">
        <v>41</v>
      </c>
      <c r="N185" s="5"/>
      <c r="O185" s="5"/>
      <c r="P185" s="5"/>
      <c r="Q185" s="5"/>
      <c r="R185" s="5"/>
      <c r="S185" s="5"/>
      <c r="T185" s="5"/>
      <c r="U185" s="5"/>
      <c r="V185" s="5"/>
      <c r="AQ185" s="1"/>
      <c r="AT185" s="1"/>
      <c r="AU185" s="1"/>
    </row>
    <row r="186" spans="1:47" x14ac:dyDescent="0.3">
      <c r="A186" s="1"/>
      <c r="C186" s="2"/>
      <c r="D186" s="2">
        <v>-2.1656</v>
      </c>
      <c r="E186" s="2">
        <v>-13.316000000000001</v>
      </c>
      <c r="N186" s="5"/>
      <c r="O186" s="5"/>
      <c r="P186" s="5"/>
      <c r="Q186" s="5"/>
      <c r="R186" s="5"/>
      <c r="S186" s="5"/>
      <c r="T186" s="5"/>
      <c r="U186" s="5"/>
      <c r="V186" s="5"/>
      <c r="AQ186" s="1"/>
    </row>
    <row r="187" spans="1:47" x14ac:dyDescent="0.3">
      <c r="A187" s="1"/>
      <c r="C187" s="2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47" x14ac:dyDescent="0.3">
      <c r="A188" s="14" t="s">
        <v>42</v>
      </c>
      <c r="B188" s="14"/>
      <c r="C188" s="14"/>
    </row>
    <row r="189" spans="1:47" x14ac:dyDescent="0.3">
      <c r="A189" s="1" t="s">
        <v>38</v>
      </c>
      <c r="B189" s="1" t="s">
        <v>5</v>
      </c>
      <c r="C189" s="1" t="s">
        <v>43</v>
      </c>
    </row>
    <row r="190" spans="1:47" x14ac:dyDescent="0.3">
      <c r="A190" s="2">
        <v>-5.9551817097869275E-2</v>
      </c>
      <c r="B190" s="2">
        <f>1/9-0.5/9</f>
        <v>5.5555555555555552E-2</v>
      </c>
      <c r="C190" s="2">
        <f t="shared" ref="C190:C198" si="21">4.91*(B190^0.14-(1-B190)^0.14)</f>
        <v>-1.5948702548629692</v>
      </c>
    </row>
    <row r="191" spans="1:47" x14ac:dyDescent="0.3">
      <c r="A191" s="2">
        <v>-5.541818894949202E-2</v>
      </c>
      <c r="B191" s="2">
        <f t="shared" ref="B191:B197" si="22">B190+1/9</f>
        <v>0.16666666666666666</v>
      </c>
      <c r="C191" s="2">
        <f t="shared" si="21"/>
        <v>-0.96558119772402384</v>
      </c>
    </row>
    <row r="192" spans="1:47" x14ac:dyDescent="0.3">
      <c r="A192" s="2">
        <v>-4.6978139366023797E-2</v>
      </c>
      <c r="B192" s="2">
        <f t="shared" si="22"/>
        <v>0.27777777777777779</v>
      </c>
      <c r="C192" s="2">
        <f t="shared" si="21"/>
        <v>-0.58740139704861805</v>
      </c>
    </row>
    <row r="193" spans="1:3" x14ac:dyDescent="0.3">
      <c r="A193" s="2">
        <v>-3.451624237643891E-2</v>
      </c>
      <c r="B193" s="2">
        <f t="shared" si="22"/>
        <v>0.3888888888888889</v>
      </c>
      <c r="C193" s="2">
        <f t="shared" si="21"/>
        <v>-0.28101035460789436</v>
      </c>
    </row>
    <row r="194" spans="1:3" x14ac:dyDescent="0.3">
      <c r="A194" s="2">
        <v>-5.0956048069235038E-3</v>
      </c>
      <c r="B194" s="2">
        <f t="shared" si="22"/>
        <v>0.5</v>
      </c>
      <c r="C194" s="2">
        <f t="shared" si="21"/>
        <v>0</v>
      </c>
    </row>
    <row r="195" spans="1:3" x14ac:dyDescent="0.3">
      <c r="A195" s="2">
        <v>2.9880921851930253E-3</v>
      </c>
      <c r="B195" s="2">
        <f t="shared" si="22"/>
        <v>0.61111111111111116</v>
      </c>
      <c r="C195" s="2">
        <f t="shared" si="21"/>
        <v>0.28101035460789436</v>
      </c>
    </row>
    <row r="196" spans="1:3" x14ac:dyDescent="0.3">
      <c r="A196" s="2">
        <v>3.1154962995421087E-2</v>
      </c>
      <c r="B196" s="2">
        <f t="shared" si="22"/>
        <v>0.72222222222222232</v>
      </c>
      <c r="C196" s="2">
        <f t="shared" si="21"/>
        <v>0.5874013970486186</v>
      </c>
    </row>
    <row r="197" spans="1:3" x14ac:dyDescent="0.3">
      <c r="A197" s="2">
        <v>6.7665288349024522E-2</v>
      </c>
      <c r="B197" s="2">
        <f t="shared" si="22"/>
        <v>0.83333333333333348</v>
      </c>
      <c r="C197" s="2">
        <f t="shared" si="21"/>
        <v>0.96558119772402384</v>
      </c>
    </row>
    <row r="198" spans="1:3" x14ac:dyDescent="0.3">
      <c r="A198" s="2">
        <v>0.10026510627084501</v>
      </c>
      <c r="B198" s="2">
        <f>B197+1/9</f>
        <v>0.94444444444444464</v>
      </c>
      <c r="C198" s="2">
        <f t="shared" si="21"/>
        <v>1.5948702548629707</v>
      </c>
    </row>
    <row r="199" spans="1:3" x14ac:dyDescent="0.3">
      <c r="C199" s="2"/>
    </row>
    <row r="201" spans="1:3" x14ac:dyDescent="0.3">
      <c r="A201" s="14" t="s">
        <v>44</v>
      </c>
      <c r="B201" s="14"/>
    </row>
    <row r="202" spans="1:3" x14ac:dyDescent="0.3">
      <c r="A202" s="1" t="s">
        <v>38</v>
      </c>
      <c r="B202" s="1" t="s">
        <v>45</v>
      </c>
    </row>
    <row r="203" spans="1:3" x14ac:dyDescent="0.3">
      <c r="A203" s="2">
        <v>0.10026510627084484</v>
      </c>
      <c r="B203" s="2">
        <f t="shared" ref="B203:B211" si="23">C174*$D$186+$E$186</f>
        <v>-3.1148747125156007</v>
      </c>
    </row>
    <row r="204" spans="1:3" x14ac:dyDescent="0.3">
      <c r="A204" s="2">
        <v>2.9880921851930253E-3</v>
      </c>
      <c r="B204" s="2">
        <f t="shared" si="23"/>
        <v>-3.2319626868985107</v>
      </c>
    </row>
    <row r="205" spans="1:3" x14ac:dyDescent="0.3">
      <c r="A205" s="2">
        <v>-4.6978139366023797E-2</v>
      </c>
      <c r="B205" s="2">
        <f t="shared" si="23"/>
        <v>-3.3430434452241915</v>
      </c>
    </row>
    <row r="206" spans="1:3" x14ac:dyDescent="0.3">
      <c r="A206" s="2">
        <v>-5.9551817097869275E-2</v>
      </c>
      <c r="B206" s="2">
        <f t="shared" si="23"/>
        <v>-3.4487034247495121</v>
      </c>
    </row>
    <row r="207" spans="1:3" x14ac:dyDescent="0.3">
      <c r="A207" s="2">
        <v>-5.541818894949202E-2</v>
      </c>
      <c r="B207" s="2">
        <f t="shared" si="23"/>
        <v>-3.5494471706084365</v>
      </c>
    </row>
    <row r="208" spans="1:3" x14ac:dyDescent="0.3">
      <c r="A208" s="2">
        <v>-3.451624237643891E-2</v>
      </c>
      <c r="B208" s="2">
        <f t="shared" si="23"/>
        <v>-3.6457119076318349</v>
      </c>
    </row>
    <row r="209" spans="1:2" x14ac:dyDescent="0.3">
      <c r="A209" s="2">
        <v>-5.0956048069235038E-3</v>
      </c>
      <c r="B209" s="2">
        <f t="shared" si="23"/>
        <v>-3.7378790086171776</v>
      </c>
    </row>
    <row r="210" spans="1:2" x14ac:dyDescent="0.3">
      <c r="A210" s="2">
        <v>3.1154962995421087E-2</v>
      </c>
      <c r="B210" s="2">
        <f t="shared" si="23"/>
        <v>-3.8262831199502436</v>
      </c>
    </row>
    <row r="211" spans="1:2" x14ac:dyDescent="0.3">
      <c r="A211" s="2">
        <v>6.7665288349024522E-2</v>
      </c>
      <c r="B211" s="2">
        <f t="shared" si="23"/>
        <v>-3.9112194963549882</v>
      </c>
    </row>
    <row r="214" spans="1:2" x14ac:dyDescent="0.3">
      <c r="A214" s="14" t="s">
        <v>46</v>
      </c>
      <c r="B214" s="14"/>
    </row>
    <row r="215" spans="1:2" x14ac:dyDescent="0.3">
      <c r="A215" s="1" t="s">
        <v>38</v>
      </c>
      <c r="B215" s="1" t="s">
        <v>47</v>
      </c>
    </row>
    <row r="216" spans="1:2" x14ac:dyDescent="0.3">
      <c r="A216" s="2">
        <v>0.10026510627084484</v>
      </c>
      <c r="B216" s="2">
        <v>1</v>
      </c>
    </row>
    <row r="217" spans="1:2" x14ac:dyDescent="0.3">
      <c r="A217" s="2">
        <v>2.9880921851930253E-3</v>
      </c>
      <c r="B217" s="2">
        <v>2</v>
      </c>
    </row>
    <row r="218" spans="1:2" x14ac:dyDescent="0.3">
      <c r="A218" s="2">
        <v>-4.6978139366023797E-2</v>
      </c>
      <c r="B218" s="2">
        <v>3</v>
      </c>
    </row>
    <row r="219" spans="1:2" x14ac:dyDescent="0.3">
      <c r="A219" s="2">
        <v>-5.9551817097869275E-2</v>
      </c>
      <c r="B219" s="2">
        <v>4</v>
      </c>
    </row>
    <row r="220" spans="1:2" x14ac:dyDescent="0.3">
      <c r="A220" s="2">
        <v>-5.541818894949202E-2</v>
      </c>
      <c r="B220" s="2">
        <v>5</v>
      </c>
    </row>
    <row r="221" spans="1:2" x14ac:dyDescent="0.3">
      <c r="A221" s="2">
        <v>-3.451624237643891E-2</v>
      </c>
      <c r="B221" s="2">
        <v>6</v>
      </c>
    </row>
    <row r="222" spans="1:2" x14ac:dyDescent="0.3">
      <c r="A222" s="2">
        <v>-5.0956048069235038E-3</v>
      </c>
      <c r="B222" s="2">
        <v>7</v>
      </c>
    </row>
    <row r="223" spans="1:2" x14ac:dyDescent="0.3">
      <c r="A223" s="2">
        <v>3.1154962995421087E-2</v>
      </c>
      <c r="B223" s="2">
        <v>8</v>
      </c>
    </row>
    <row r="224" spans="1:2" x14ac:dyDescent="0.3">
      <c r="A224" s="2">
        <v>6.7665288349024522E-2</v>
      </c>
      <c r="B224" s="2">
        <v>9</v>
      </c>
    </row>
    <row r="228" spans="1:12" ht="14.4" customHeight="1" x14ac:dyDescent="0.3">
      <c r="A228" s="14" t="s">
        <v>48</v>
      </c>
      <c r="B228" s="14"/>
      <c r="C228" s="14"/>
      <c r="E228" s="1" t="s">
        <v>49</v>
      </c>
      <c r="F228" s="1" t="s">
        <v>50</v>
      </c>
      <c r="G228" s="1" t="s">
        <v>51</v>
      </c>
      <c r="H228" s="1" t="s">
        <v>52</v>
      </c>
      <c r="L228" s="1" t="s">
        <v>53</v>
      </c>
    </row>
    <row r="229" spans="1:12" x14ac:dyDescent="0.3">
      <c r="A229" s="1"/>
      <c r="B229" s="1" t="s">
        <v>40</v>
      </c>
      <c r="C229" s="1" t="s">
        <v>41</v>
      </c>
      <c r="E229" s="2">
        <v>2.3650000000000002</v>
      </c>
      <c r="F229" s="2">
        <f>SUM(E174*E174, E175*E175,E176*E176,E177*E177,E178*E178,E179*E179,E180*E180,E181*E181,E182*E182)</f>
        <v>2.5653119537544358E-2</v>
      </c>
      <c r="G229" s="2">
        <f>SUM(D174:D182)/9</f>
        <v>-3.5342901683718622</v>
      </c>
      <c r="H229" s="2">
        <f>SUM(D174*D174,D175*D175,D176*D176,D177*D177,D178*D178,D179*D179,D180*D180,D181*D181,D182*D182)-9*G229*G229</f>
        <v>0.61828538003732092</v>
      </c>
      <c r="L229" s="2">
        <f>(D174-$G$229)^2</f>
        <v>0.27006788665274428</v>
      </c>
    </row>
    <row r="230" spans="1:12" x14ac:dyDescent="0.3">
      <c r="A230" s="1" t="s">
        <v>54</v>
      </c>
      <c r="B230" s="2">
        <f>$D$186+$E$229*SQRT(($F$229/7)*(1/$H$229))</f>
        <v>-1.9835218932876559</v>
      </c>
      <c r="C230" s="2">
        <f>$E$186+$E$229*SQRT(($F$229/(9*7))*(($G$229^2)/$H$229))</f>
        <v>-13.101494379190267</v>
      </c>
      <c r="L230" s="2">
        <f t="shared" ref="L230:L237" si="24">(D175-$G$229)^2</f>
        <v>9.3217599518446076E-2</v>
      </c>
    </row>
    <row r="231" spans="1:12" x14ac:dyDescent="0.3">
      <c r="A231" s="1" t="s">
        <v>55</v>
      </c>
      <c r="B231" s="2">
        <f>$D$186-$E$229*SQRT(($F$229/7)*(1/$H$229))</f>
        <v>-2.347678106712344</v>
      </c>
      <c r="C231" s="2">
        <f>$E$186-$E$229*SQRT(($F$229/(9*7))*(($G$229^2)/$H$229))</f>
        <v>-13.530505620809734</v>
      </c>
      <c r="E231" s="1" t="s">
        <v>56</v>
      </c>
      <c r="F231" s="1" t="s">
        <v>57</v>
      </c>
      <c r="L231" s="2">
        <f t="shared" si="24"/>
        <v>2.0813424266362318E-2</v>
      </c>
    </row>
    <row r="232" spans="1:12" x14ac:dyDescent="0.3">
      <c r="E232" s="2">
        <f>SUM(L229:L237)</f>
        <v>0.61828538003731581</v>
      </c>
      <c r="F232" s="2">
        <f>($E$232-$F$229)/$E$232</f>
        <v>0.95850925743061222</v>
      </c>
      <c r="L232" s="2">
        <f t="shared" si="24"/>
        <v>6.7781739913513731E-4</v>
      </c>
    </row>
    <row r="233" spans="1:12" ht="14.4" customHeight="1" x14ac:dyDescent="0.3">
      <c r="A233" s="14" t="s">
        <v>58</v>
      </c>
      <c r="B233" s="14"/>
      <c r="C233" s="14"/>
      <c r="L233" s="2">
        <f t="shared" si="24"/>
        <v>4.9808576109498194E-3</v>
      </c>
    </row>
    <row r="234" spans="1:12" x14ac:dyDescent="0.3">
      <c r="A234" s="1" t="s">
        <v>45</v>
      </c>
      <c r="B234" s="1" t="s">
        <v>11</v>
      </c>
      <c r="C234" s="1" t="s">
        <v>10</v>
      </c>
      <c r="L234" s="2">
        <f t="shared" si="24"/>
        <v>2.1297894484109636E-2</v>
      </c>
    </row>
    <row r="235" spans="1:12" x14ac:dyDescent="0.3">
      <c r="C235" s="2"/>
      <c r="L235" s="2">
        <f t="shared" si="24"/>
        <v>4.3549197606760556E-2</v>
      </c>
    </row>
    <row r="236" spans="1:12" x14ac:dyDescent="0.3">
      <c r="A236" s="2">
        <f t="shared" ref="A236:A244" si="25">C174*$D$186+$E$186</f>
        <v>-3.1148747125156007</v>
      </c>
      <c r="B236" s="2">
        <f>$A236-$E$229*SQRT(($F$229/7)*(1 +1/9+((C174-$G$229)^2)/$H$229))</f>
        <v>-3.3768727423964089</v>
      </c>
      <c r="C236" s="2">
        <f t="shared" ref="C236:C244" si="26">$A236+$E$229*SQRT(($F$229/7)*(1 + 1/9+((C174-$G$229)^2)/$H$229))</f>
        <v>-2.8528766826347924</v>
      </c>
      <c r="L236" s="2">
        <f t="shared" si="24"/>
        <v>6.803645628800456E-2</v>
      </c>
    </row>
    <row r="237" spans="1:12" x14ac:dyDescent="0.3">
      <c r="A237" s="2">
        <f t="shared" si="25"/>
        <v>-3.2319626868985107</v>
      </c>
      <c r="B237" s="2">
        <f t="shared" ref="B237:B244" si="27">$A237-$E$229*SQRT(($F$229/7)*(1 +1/9+((C175-$G$229)^2)/$H$229))</f>
        <v>-3.485976766133466</v>
      </c>
      <c r="C237" s="2">
        <f t="shared" si="26"/>
        <v>-2.9779486076635555</v>
      </c>
      <c r="L237" s="2">
        <f t="shared" si="24"/>
        <v>9.5644246210803405E-2</v>
      </c>
    </row>
    <row r="238" spans="1:12" x14ac:dyDescent="0.3">
      <c r="A238" s="2">
        <f t="shared" si="25"/>
        <v>-3.3430434452241915</v>
      </c>
      <c r="B238" s="2">
        <f t="shared" si="27"/>
        <v>-3.5896075754001204</v>
      </c>
      <c r="C238" s="2">
        <f t="shared" si="26"/>
        <v>-3.0964793150482626</v>
      </c>
    </row>
    <row r="239" spans="1:12" x14ac:dyDescent="0.3">
      <c r="A239" s="2">
        <f t="shared" si="25"/>
        <v>-3.4487034247495121</v>
      </c>
      <c r="B239" s="2">
        <f t="shared" si="27"/>
        <v>-3.6883040604892932</v>
      </c>
      <c r="C239" s="2">
        <f t="shared" si="26"/>
        <v>-3.209102789009731</v>
      </c>
    </row>
    <row r="240" spans="1:12" x14ac:dyDescent="0.3">
      <c r="A240" s="2">
        <f t="shared" si="25"/>
        <v>-3.5494471706084365</v>
      </c>
      <c r="B240" s="2">
        <f t="shared" si="27"/>
        <v>-3.7825299246305648</v>
      </c>
      <c r="C240" s="2">
        <f t="shared" si="26"/>
        <v>-3.3163644165863082</v>
      </c>
    </row>
    <row r="241" spans="1:3" x14ac:dyDescent="0.3">
      <c r="A241" s="2">
        <f t="shared" si="25"/>
        <v>-3.6457119076318349</v>
      </c>
      <c r="B241" s="2">
        <f t="shared" si="27"/>
        <v>-3.8726870478225264</v>
      </c>
      <c r="C241" s="2">
        <f t="shared" si="26"/>
        <v>-3.4187367674411435</v>
      </c>
    </row>
    <row r="242" spans="1:3" x14ac:dyDescent="0.3">
      <c r="A242" s="2">
        <f t="shared" si="25"/>
        <v>-3.7378790086171776</v>
      </c>
      <c r="B242" s="2">
        <f t="shared" si="27"/>
        <v>-3.9591260033512827</v>
      </c>
      <c r="C242" s="2">
        <f t="shared" si="26"/>
        <v>-3.5166320138830724</v>
      </c>
    </row>
    <row r="243" spans="1:3" x14ac:dyDescent="0.3">
      <c r="A243" s="2">
        <f t="shared" si="25"/>
        <v>-3.8262831199502436</v>
      </c>
      <c r="B243" s="2">
        <f t="shared" si="27"/>
        <v>-4.0421544250636119</v>
      </c>
      <c r="C243" s="2">
        <f t="shared" si="26"/>
        <v>-3.6104118148368753</v>
      </c>
    </row>
    <row r="244" spans="1:3" x14ac:dyDescent="0.3">
      <c r="A244" s="2">
        <f t="shared" si="25"/>
        <v>-3.9112194963549882</v>
      </c>
      <c r="B244" s="2">
        <f t="shared" si="27"/>
        <v>-4.1220437316413623</v>
      </c>
      <c r="C244" s="2">
        <f t="shared" si="26"/>
        <v>-3.7003952610686137</v>
      </c>
    </row>
  </sheetData>
  <sortState xmlns:xlrd2="http://schemas.microsoft.com/office/spreadsheetml/2017/richdata2" ref="A190:A198">
    <sortCondition ref="A190:A198"/>
  </sortState>
  <mergeCells count="9">
    <mergeCell ref="A228:C228"/>
    <mergeCell ref="A233:C233"/>
    <mergeCell ref="A214:B214"/>
    <mergeCell ref="A156:C156"/>
    <mergeCell ref="A188:C188"/>
    <mergeCell ref="A201:B201"/>
    <mergeCell ref="A171:E171"/>
    <mergeCell ref="A172:E172"/>
    <mergeCell ref="D184:E184"/>
  </mergeCells>
  <pageMargins left="0.7" right="0.7" top="0.75" bottom="0.75" header="0.3" footer="0.3"/>
  <pageSetup paperSize="9" orientation="portrait" horizontalDpi="144" verticalDpi="14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D0175-820F-404A-9A13-367A2F405E9A}">
  <dimension ref="A1:L244"/>
  <sheetViews>
    <sheetView topLeftCell="B151" workbookViewId="0">
      <selection activeCell="I163" sqref="I163"/>
    </sheetView>
  </sheetViews>
  <sheetFormatPr defaultColWidth="9.109375" defaultRowHeight="14.4" x14ac:dyDescent="0.3"/>
  <cols>
    <col min="1" max="1" width="29.109375" style="2" customWidth="1"/>
    <col min="2" max="2" width="17.33203125" style="2" customWidth="1"/>
    <col min="3" max="3" width="17" style="5" customWidth="1"/>
    <col min="4" max="4" width="28" style="2" customWidth="1"/>
    <col min="5" max="5" width="16.88671875" style="2" customWidth="1"/>
    <col min="6" max="6" width="24.5546875" style="2" customWidth="1"/>
    <col min="7" max="7" width="9.109375" style="2"/>
    <col min="8" max="8" width="21" style="2" customWidth="1"/>
    <col min="9" max="9" width="15.6640625" style="2" customWidth="1"/>
    <col min="10" max="10" width="15.88671875" style="2" customWidth="1"/>
    <col min="11" max="11" width="14.5546875" style="2" customWidth="1"/>
    <col min="12" max="12" width="13.44140625" style="2" customWidth="1"/>
    <col min="13" max="16384" width="9.109375" style="2"/>
  </cols>
  <sheetData>
    <row r="1" spans="1:11" x14ac:dyDescent="0.3">
      <c r="A1" s="1" t="s">
        <v>59</v>
      </c>
      <c r="C1" s="3" t="s">
        <v>1</v>
      </c>
      <c r="D1" s="1" t="s">
        <v>2</v>
      </c>
      <c r="E1" s="1" t="s">
        <v>3</v>
      </c>
      <c r="H1" s="1" t="s">
        <v>4</v>
      </c>
      <c r="I1" s="1" t="s">
        <v>5</v>
      </c>
      <c r="J1" s="1" t="s">
        <v>6</v>
      </c>
      <c r="K1" s="1"/>
    </row>
    <row r="2" spans="1:11" x14ac:dyDescent="0.3">
      <c r="A2" s="4">
        <v>9.7660398783830996E-3</v>
      </c>
      <c r="C2" s="5">
        <f>AVERAGE(A2:A16)</f>
        <v>9.8113817342714797E-3</v>
      </c>
      <c r="D2" s="2">
        <f>_xlfn.VAR.S(A2:A16)</f>
        <v>2.5834892583744484E-9</v>
      </c>
      <c r="E2" s="2">
        <f>SQRT(D2)/C2</f>
        <v>5.1805176397961812E-3</v>
      </c>
      <c r="H2" s="4">
        <v>9.6953091888462E-3</v>
      </c>
      <c r="I2" s="2">
        <f>1/15 - 0.5/15</f>
        <v>3.3333333333333333E-2</v>
      </c>
      <c r="J2" s="2">
        <f t="shared" ref="J2:J16" si="0">4.91*(I2^0.14-(1-I2)^0.14)</f>
        <v>-1.836858897688687</v>
      </c>
    </row>
    <row r="3" spans="1:11" x14ac:dyDescent="0.3">
      <c r="A3" s="4">
        <v>9.913994332902E-3</v>
      </c>
      <c r="H3" s="4">
        <v>9.7660398783830996E-3</v>
      </c>
      <c r="I3" s="2">
        <f>I2+1/15</f>
        <v>0.1</v>
      </c>
      <c r="J3" s="2">
        <f t="shared" si="0"/>
        <v>-1.2811261510381207</v>
      </c>
    </row>
    <row r="4" spans="1:11" x14ac:dyDescent="0.3">
      <c r="A4" s="4">
        <v>9.8032706727616999E-3</v>
      </c>
      <c r="C4" s="3" t="s">
        <v>7</v>
      </c>
      <c r="E4" s="1" t="s">
        <v>8</v>
      </c>
      <c r="H4" s="4">
        <v>9.7739862057435994E-3</v>
      </c>
      <c r="I4" s="2">
        <f t="shared" ref="I4:I16" si="1">I3+1/15</f>
        <v>0.16666666666666669</v>
      </c>
      <c r="J4" s="2">
        <f t="shared" si="0"/>
        <v>-0.96558119772402384</v>
      </c>
    </row>
    <row r="5" spans="1:11" x14ac:dyDescent="0.3">
      <c r="A5" s="4">
        <v>9.7870077611414003E-3</v>
      </c>
      <c r="C5" s="5">
        <f>MEDIAN(A2:A16)</f>
        <v>9.8106652524677998E-3</v>
      </c>
      <c r="E5" s="2">
        <v>2.145</v>
      </c>
      <c r="H5" s="4">
        <v>9.7857580250463004E-3</v>
      </c>
      <c r="I5" s="2">
        <f t="shared" si="1"/>
        <v>0.23333333333333334</v>
      </c>
      <c r="J5" s="2">
        <f t="shared" si="0"/>
        <v>-0.72575040815577163</v>
      </c>
    </row>
    <row r="6" spans="1:11" x14ac:dyDescent="0.3">
      <c r="A6" s="4">
        <v>9.8326104295244996E-3</v>
      </c>
      <c r="H6" s="4">
        <v>9.7870077611414003E-3</v>
      </c>
      <c r="I6" s="2">
        <f t="shared" si="1"/>
        <v>0.3</v>
      </c>
      <c r="J6" s="2">
        <f t="shared" si="0"/>
        <v>-0.52246305252576009</v>
      </c>
    </row>
    <row r="7" spans="1:11" x14ac:dyDescent="0.3">
      <c r="A7" s="4">
        <v>9.7969382111840995E-3</v>
      </c>
      <c r="C7" s="3"/>
      <c r="D7" s="1" t="s">
        <v>9</v>
      </c>
      <c r="H7" s="4">
        <v>9.7969382111840995E-3</v>
      </c>
      <c r="I7" s="2">
        <f t="shared" si="1"/>
        <v>0.36666666666666664</v>
      </c>
      <c r="J7" s="2">
        <f t="shared" si="0"/>
        <v>-0.33927638280750583</v>
      </c>
    </row>
    <row r="8" spans="1:11" x14ac:dyDescent="0.3">
      <c r="A8" s="4">
        <v>9.8106652524677998E-3</v>
      </c>
      <c r="C8" s="3" t="s">
        <v>10</v>
      </c>
      <c r="D8" s="2">
        <f>C2+E5*SQRT(D2)/(SQRT(15))</f>
        <v>9.8395321619355047E-3</v>
      </c>
      <c r="H8" s="4">
        <v>9.8032706727616999E-3</v>
      </c>
      <c r="I8" s="2">
        <f t="shared" si="1"/>
        <v>0.43333333333333329</v>
      </c>
      <c r="J8" s="2">
        <f t="shared" si="0"/>
        <v>-0.16715058832373922</v>
      </c>
    </row>
    <row r="9" spans="1:11" x14ac:dyDescent="0.3">
      <c r="A9" s="4">
        <v>9.8801281724421007E-3</v>
      </c>
      <c r="C9" s="3" t="s">
        <v>11</v>
      </c>
      <c r="D9" s="2">
        <f>C2-E5*SQRT(D2)/(SQRT(15))</f>
        <v>9.7832313066074546E-3</v>
      </c>
      <c r="H9" s="4">
        <v>9.8106652524677998E-3</v>
      </c>
      <c r="I9" s="2">
        <f t="shared" si="1"/>
        <v>0.49999999999999994</v>
      </c>
      <c r="J9" s="2">
        <f t="shared" si="0"/>
        <v>0</v>
      </c>
    </row>
    <row r="10" spans="1:11" x14ac:dyDescent="0.3">
      <c r="A10" s="4">
        <v>9.8187001124904003E-3</v>
      </c>
      <c r="H10" s="4">
        <v>9.8187001124904003E-3</v>
      </c>
      <c r="I10" s="2">
        <f t="shared" si="1"/>
        <v>0.56666666666666665</v>
      </c>
      <c r="J10" s="2">
        <f t="shared" si="0"/>
        <v>0.16715058832373922</v>
      </c>
    </row>
    <row r="11" spans="1:11" x14ac:dyDescent="0.3">
      <c r="A11" s="4">
        <v>9.8368871064311997E-3</v>
      </c>
      <c r="H11" s="4">
        <v>9.8242978141037992E-3</v>
      </c>
      <c r="I11" s="2">
        <f t="shared" si="1"/>
        <v>0.6333333333333333</v>
      </c>
      <c r="J11" s="2">
        <f t="shared" si="0"/>
        <v>0.33927638280750583</v>
      </c>
    </row>
    <row r="12" spans="1:11" x14ac:dyDescent="0.3">
      <c r="A12" s="4">
        <v>9.6953091888462E-3</v>
      </c>
      <c r="H12" s="4">
        <v>9.8326104295244996E-3</v>
      </c>
      <c r="I12" s="2">
        <f t="shared" si="1"/>
        <v>0.7</v>
      </c>
      <c r="J12" s="2">
        <f t="shared" si="0"/>
        <v>0.52246305252576009</v>
      </c>
    </row>
    <row r="13" spans="1:11" x14ac:dyDescent="0.3">
      <c r="A13" s="4">
        <v>9.8451328506039999E-3</v>
      </c>
      <c r="H13" s="4">
        <v>9.8368871064311997E-3</v>
      </c>
      <c r="I13" s="2">
        <f t="shared" si="1"/>
        <v>0.76666666666666661</v>
      </c>
      <c r="J13" s="2">
        <f t="shared" si="0"/>
        <v>0.72575040815577163</v>
      </c>
    </row>
    <row r="14" spans="1:11" x14ac:dyDescent="0.3">
      <c r="A14" s="4">
        <v>9.7739862057435994E-3</v>
      </c>
      <c r="H14" s="4">
        <v>9.8451328506039999E-3</v>
      </c>
      <c r="I14" s="2">
        <f t="shared" si="1"/>
        <v>0.83333333333333326</v>
      </c>
      <c r="J14" s="2">
        <f t="shared" si="0"/>
        <v>0.96558119772402329</v>
      </c>
    </row>
    <row r="15" spans="1:11" x14ac:dyDescent="0.3">
      <c r="A15" s="4">
        <v>9.7857580250463004E-3</v>
      </c>
      <c r="H15" s="4">
        <v>9.8801281724421007E-3</v>
      </c>
      <c r="I15" s="2">
        <f t="shared" si="1"/>
        <v>0.89999999999999991</v>
      </c>
      <c r="J15" s="2">
        <f t="shared" si="0"/>
        <v>1.2811261510381207</v>
      </c>
    </row>
    <row r="16" spans="1:11" x14ac:dyDescent="0.3">
      <c r="A16" s="4">
        <v>9.8242978141037992E-3</v>
      </c>
      <c r="H16" s="4">
        <v>9.913994332902E-3</v>
      </c>
      <c r="I16" s="2">
        <f t="shared" si="1"/>
        <v>0.96666666666666656</v>
      </c>
      <c r="J16" s="2">
        <f t="shared" si="0"/>
        <v>1.8368588976886859</v>
      </c>
    </row>
    <row r="17" spans="1:10" s="6" customFormat="1" ht="3.75" customHeight="1" x14ac:dyDescent="0.3">
      <c r="C17" s="7"/>
    </row>
    <row r="18" spans="1:10" x14ac:dyDescent="0.3">
      <c r="A18" s="1" t="s">
        <v>60</v>
      </c>
      <c r="C18" s="3" t="s">
        <v>1</v>
      </c>
      <c r="D18" s="1" t="s">
        <v>2</v>
      </c>
      <c r="E18" s="1" t="s">
        <v>3</v>
      </c>
      <c r="F18" s="1"/>
      <c r="G18" s="1"/>
      <c r="H18" s="1" t="s">
        <v>4</v>
      </c>
      <c r="I18" s="1" t="s">
        <v>5</v>
      </c>
      <c r="J18" s="1" t="s">
        <v>6</v>
      </c>
    </row>
    <row r="19" spans="1:10" x14ac:dyDescent="0.3">
      <c r="A19" s="8">
        <v>1.1131344891676E-2</v>
      </c>
      <c r="C19" s="5">
        <f>AVERAGE(A19:A33)</f>
        <v>1.1214488604233267E-2</v>
      </c>
      <c r="D19" s="2">
        <f>_xlfn.VAR.S(A19:A33)</f>
        <v>4.8055247983556063E-9</v>
      </c>
      <c r="E19" s="2">
        <f>SQRT(D19)/C19</f>
        <v>6.181458208250514E-3</v>
      </c>
      <c r="H19" s="8">
        <v>1.1106471523832999E-2</v>
      </c>
      <c r="I19" s="2">
        <f>1/15 - 0.5/15</f>
        <v>3.3333333333333333E-2</v>
      </c>
      <c r="J19" s="2">
        <f t="shared" ref="J19:J33" si="2">4.91*(I19^0.14-(1-I19)^0.14)</f>
        <v>-1.836858897688687</v>
      </c>
    </row>
    <row r="20" spans="1:10" x14ac:dyDescent="0.3">
      <c r="A20" s="8">
        <v>1.1259865191052E-2</v>
      </c>
      <c r="H20" s="8">
        <v>1.1131344891676E-2</v>
      </c>
      <c r="I20" s="2">
        <f>I19+1/15</f>
        <v>0.1</v>
      </c>
      <c r="J20" s="2">
        <f t="shared" si="2"/>
        <v>-1.2811261510381207</v>
      </c>
    </row>
    <row r="21" spans="1:10" x14ac:dyDescent="0.3">
      <c r="A21" s="8">
        <v>1.1269772864453E-2</v>
      </c>
      <c r="C21" s="3" t="s">
        <v>7</v>
      </c>
      <c r="E21" s="1" t="s">
        <v>8</v>
      </c>
      <c r="H21" s="8">
        <v>1.1138160640148E-2</v>
      </c>
      <c r="I21" s="2">
        <f t="shared" ref="I21:I33" si="3">I20+1/15</f>
        <v>0.16666666666666669</v>
      </c>
      <c r="J21" s="2">
        <f t="shared" si="2"/>
        <v>-0.96558119772402384</v>
      </c>
    </row>
    <row r="22" spans="1:10" x14ac:dyDescent="0.3">
      <c r="A22" s="8">
        <v>1.1174331599446001E-2</v>
      </c>
      <c r="C22" s="5">
        <f>MEDIAN(A19:A33)</f>
        <v>1.1202155669665001E-2</v>
      </c>
      <c r="E22" s="2">
        <v>2.145</v>
      </c>
      <c r="H22" s="8">
        <v>1.1158926267964E-2</v>
      </c>
      <c r="I22" s="2">
        <f t="shared" si="3"/>
        <v>0.23333333333333334</v>
      </c>
      <c r="J22" s="2">
        <f t="shared" si="2"/>
        <v>-0.72575040815577163</v>
      </c>
    </row>
    <row r="23" spans="1:10" ht="14.25" customHeight="1" x14ac:dyDescent="0.3">
      <c r="A23" s="8">
        <v>1.1202155669665001E-2</v>
      </c>
      <c r="H23" s="8">
        <v>1.1172402690792E-2</v>
      </c>
      <c r="I23" s="2">
        <f t="shared" si="3"/>
        <v>0.3</v>
      </c>
      <c r="J23" s="2">
        <f t="shared" si="2"/>
        <v>-0.52246305252576009</v>
      </c>
    </row>
    <row r="24" spans="1:10" x14ac:dyDescent="0.3">
      <c r="A24" s="8">
        <v>1.1194105930996999E-2</v>
      </c>
      <c r="C24" s="3"/>
      <c r="D24" s="1" t="s">
        <v>9</v>
      </c>
      <c r="H24" s="8">
        <v>1.1174331599446001E-2</v>
      </c>
      <c r="I24" s="2">
        <f t="shared" si="3"/>
        <v>0.36666666666666664</v>
      </c>
      <c r="J24" s="2">
        <f t="shared" si="2"/>
        <v>-0.33927638280750583</v>
      </c>
    </row>
    <row r="25" spans="1:10" x14ac:dyDescent="0.3">
      <c r="A25" s="8">
        <v>1.1172402690792E-2</v>
      </c>
      <c r="C25" s="3" t="s">
        <v>10</v>
      </c>
      <c r="D25" s="2">
        <f>C19+E22*SQRT(D19)/(SQRT(15))</f>
        <v>1.1252881606838216E-2</v>
      </c>
      <c r="H25" s="8">
        <v>1.1194105930996999E-2</v>
      </c>
      <c r="I25" s="2">
        <f t="shared" si="3"/>
        <v>0.43333333333333329</v>
      </c>
      <c r="J25" s="2">
        <f t="shared" si="2"/>
        <v>-0.16715058832373922</v>
      </c>
    </row>
    <row r="26" spans="1:10" x14ac:dyDescent="0.3">
      <c r="A26" s="8">
        <v>1.1297017654502001E-2</v>
      </c>
      <c r="C26" s="3" t="s">
        <v>11</v>
      </c>
      <c r="D26" s="2">
        <f>C19-E22*SQRT(D19)/(SQRT(15))</f>
        <v>1.1176095601628319E-2</v>
      </c>
      <c r="H26" s="8">
        <v>1.1202155669665001E-2</v>
      </c>
      <c r="I26" s="2">
        <f t="shared" si="3"/>
        <v>0.49999999999999994</v>
      </c>
      <c r="J26" s="2">
        <f t="shared" si="2"/>
        <v>0</v>
      </c>
    </row>
    <row r="27" spans="1:10" x14ac:dyDescent="0.3">
      <c r="A27" s="8">
        <v>1.1232807244462999E-2</v>
      </c>
      <c r="H27" s="8">
        <v>1.1232807244462999E-2</v>
      </c>
      <c r="I27" s="2">
        <f t="shared" si="3"/>
        <v>0.56666666666666665</v>
      </c>
      <c r="J27" s="2">
        <f t="shared" si="2"/>
        <v>0.16715058832373922</v>
      </c>
    </row>
    <row r="28" spans="1:10" ht="16.5" customHeight="1" x14ac:dyDescent="0.3">
      <c r="A28" s="8">
        <v>1.1325900531557E-2</v>
      </c>
      <c r="H28" s="8">
        <v>1.1236204154616E-2</v>
      </c>
      <c r="I28" s="2">
        <f t="shared" si="3"/>
        <v>0.6333333333333333</v>
      </c>
      <c r="J28" s="2">
        <f t="shared" si="2"/>
        <v>0.33927638280750583</v>
      </c>
    </row>
    <row r="29" spans="1:10" ht="16.5" customHeight="1" x14ac:dyDescent="0.3">
      <c r="A29" s="8">
        <v>1.1138160640148E-2</v>
      </c>
      <c r="H29" s="8">
        <v>1.1259865191052E-2</v>
      </c>
      <c r="I29" s="2">
        <f t="shared" si="3"/>
        <v>0.7</v>
      </c>
      <c r="J29" s="2">
        <f t="shared" si="2"/>
        <v>0.52246305252576009</v>
      </c>
    </row>
    <row r="30" spans="1:10" ht="16.5" customHeight="1" x14ac:dyDescent="0.3">
      <c r="A30" s="8">
        <v>1.1317862208335E-2</v>
      </c>
      <c r="H30" s="8">
        <v>1.1269772864453E-2</v>
      </c>
      <c r="I30" s="2">
        <f t="shared" si="3"/>
        <v>0.76666666666666661</v>
      </c>
      <c r="J30" s="2">
        <f t="shared" si="2"/>
        <v>0.72575040815577163</v>
      </c>
    </row>
    <row r="31" spans="1:10" ht="16.5" customHeight="1" x14ac:dyDescent="0.3">
      <c r="A31" s="8">
        <v>1.1158926267964E-2</v>
      </c>
      <c r="H31" s="8">
        <v>1.1297017654502001E-2</v>
      </c>
      <c r="I31" s="2">
        <f t="shared" si="3"/>
        <v>0.83333333333333326</v>
      </c>
      <c r="J31" s="2">
        <f t="shared" si="2"/>
        <v>0.96558119772402329</v>
      </c>
    </row>
    <row r="32" spans="1:10" ht="16.5" customHeight="1" x14ac:dyDescent="0.3">
      <c r="A32" s="8">
        <v>1.1106471523832999E-2</v>
      </c>
      <c r="H32" s="8">
        <v>1.1317862208335E-2</v>
      </c>
      <c r="I32" s="2">
        <f t="shared" si="3"/>
        <v>0.89999999999999991</v>
      </c>
      <c r="J32" s="2">
        <f t="shared" si="2"/>
        <v>1.2811261510381207</v>
      </c>
    </row>
    <row r="33" spans="1:10" ht="16.5" customHeight="1" x14ac:dyDescent="0.3">
      <c r="A33" s="8">
        <v>1.1236204154616E-2</v>
      </c>
      <c r="H33" s="8">
        <v>1.1325900531557E-2</v>
      </c>
      <c r="I33" s="2">
        <f t="shared" si="3"/>
        <v>0.96666666666666656</v>
      </c>
      <c r="J33" s="2">
        <f t="shared" si="2"/>
        <v>1.8368588976886859</v>
      </c>
    </row>
    <row r="34" spans="1:10" s="6" customFormat="1" ht="3.75" customHeight="1" x14ac:dyDescent="0.3">
      <c r="C34" s="7"/>
    </row>
    <row r="35" spans="1:10" x14ac:dyDescent="0.3">
      <c r="A35" s="1" t="s">
        <v>61</v>
      </c>
      <c r="C35" s="3" t="s">
        <v>1</v>
      </c>
      <c r="D35" s="1" t="s">
        <v>2</v>
      </c>
      <c r="E35" s="1" t="s">
        <v>3</v>
      </c>
      <c r="F35" s="1"/>
      <c r="H35" s="1" t="s">
        <v>4</v>
      </c>
      <c r="I35" s="1" t="s">
        <v>5</v>
      </c>
      <c r="J35" s="1" t="s">
        <v>6</v>
      </c>
    </row>
    <row r="36" spans="1:10" x14ac:dyDescent="0.3">
      <c r="A36" s="9">
        <v>1.2871783377291999E-2</v>
      </c>
      <c r="C36" s="5">
        <f>AVERAGE(A36:A50)</f>
        <v>1.2948571300472731E-2</v>
      </c>
      <c r="D36" s="2">
        <f>_xlfn.VAR.S(A36:A50)</f>
        <v>6.3888312894942083E-9</v>
      </c>
      <c r="E36" s="2">
        <f>SQRT(D36)/C36</f>
        <v>6.1728945397778482E-3</v>
      </c>
      <c r="H36" s="9">
        <v>1.2828443102954E-2</v>
      </c>
      <c r="I36" s="2">
        <f>1/15 - 0.5/15</f>
        <v>3.3333333333333333E-2</v>
      </c>
      <c r="J36" s="2">
        <f t="shared" ref="J36:J50" si="4">4.91*(I36^0.14-(1-I36)^0.14)</f>
        <v>-1.836858897688687</v>
      </c>
    </row>
    <row r="37" spans="1:10" x14ac:dyDescent="0.3">
      <c r="A37" s="9">
        <v>1.3028803209622001E-2</v>
      </c>
      <c r="H37" s="9">
        <v>1.2854701060384E-2</v>
      </c>
      <c r="I37" s="2">
        <f>I36+1/15</f>
        <v>0.1</v>
      </c>
      <c r="J37" s="2">
        <f t="shared" si="4"/>
        <v>-1.2811261510381207</v>
      </c>
    </row>
    <row r="38" spans="1:10" x14ac:dyDescent="0.3">
      <c r="A38" s="9">
        <v>1.3026254308484E-2</v>
      </c>
      <c r="C38" s="3" t="s">
        <v>7</v>
      </c>
      <c r="E38" s="1" t="s">
        <v>8</v>
      </c>
      <c r="H38" s="9">
        <v>1.2854842403286999E-2</v>
      </c>
      <c r="I38" s="2">
        <f t="shared" ref="I38:I50" si="5">I37+1/15</f>
        <v>0.16666666666666669</v>
      </c>
      <c r="J38" s="2">
        <f t="shared" si="4"/>
        <v>-0.96558119772402384</v>
      </c>
    </row>
    <row r="39" spans="1:10" x14ac:dyDescent="0.3">
      <c r="A39" s="9">
        <v>1.2854701060384E-2</v>
      </c>
      <c r="C39" s="5">
        <f>MEDIAN(A36:A50)</f>
        <v>1.2932048108786001E-2</v>
      </c>
      <c r="E39" s="2">
        <v>2.145</v>
      </c>
      <c r="H39" s="9">
        <v>1.2871783377291999E-2</v>
      </c>
      <c r="I39" s="2">
        <f t="shared" si="5"/>
        <v>0.23333333333333334</v>
      </c>
      <c r="J39" s="2">
        <f t="shared" si="4"/>
        <v>-0.72575040815577163</v>
      </c>
    </row>
    <row r="40" spans="1:10" x14ac:dyDescent="0.3">
      <c r="A40" s="9">
        <v>1.2932048108786001E-2</v>
      </c>
      <c r="H40" s="9">
        <v>1.2874919079826999E-2</v>
      </c>
      <c r="I40" s="2">
        <f t="shared" si="5"/>
        <v>0.3</v>
      </c>
      <c r="J40" s="2">
        <f t="shared" si="4"/>
        <v>-0.52246305252576009</v>
      </c>
    </row>
    <row r="41" spans="1:10" x14ac:dyDescent="0.3">
      <c r="A41" s="9">
        <v>1.2922676502639001E-2</v>
      </c>
      <c r="C41" s="3"/>
      <c r="D41" s="1" t="s">
        <v>9</v>
      </c>
      <c r="H41" s="9">
        <v>1.2908311061363999E-2</v>
      </c>
      <c r="I41" s="2">
        <f t="shared" si="5"/>
        <v>0.36666666666666664</v>
      </c>
      <c r="J41" s="2">
        <f t="shared" si="4"/>
        <v>-0.33927638280750583</v>
      </c>
    </row>
    <row r="42" spans="1:10" x14ac:dyDescent="0.3">
      <c r="A42" s="9">
        <v>1.2908311061363999E-2</v>
      </c>
      <c r="C42" s="3" t="s">
        <v>10</v>
      </c>
      <c r="D42" s="2">
        <f>C36+E39*SQRT(D36)/(SQRT(15))</f>
        <v>1.2992839552816628E-2</v>
      </c>
      <c r="H42" s="9">
        <v>1.2922676502639001E-2</v>
      </c>
      <c r="I42" s="2">
        <f t="shared" si="5"/>
        <v>0.43333333333333329</v>
      </c>
      <c r="J42" s="2">
        <f t="shared" si="4"/>
        <v>-0.16715058832373922</v>
      </c>
    </row>
    <row r="43" spans="1:10" x14ac:dyDescent="0.3">
      <c r="A43" s="9">
        <v>1.3048991065972E-2</v>
      </c>
      <c r="C43" s="3" t="s">
        <v>11</v>
      </c>
      <c r="D43" s="2">
        <f>C36-E39*SQRT(D36)/(SQRT(15))</f>
        <v>1.2904303048128833E-2</v>
      </c>
      <c r="H43" s="9">
        <v>1.2932048108786001E-2</v>
      </c>
      <c r="I43" s="2">
        <f t="shared" si="5"/>
        <v>0.49999999999999994</v>
      </c>
      <c r="J43" s="2">
        <f t="shared" si="4"/>
        <v>0</v>
      </c>
    </row>
    <row r="44" spans="1:10" x14ac:dyDescent="0.3">
      <c r="A44" s="9">
        <v>1.3019364238455001E-2</v>
      </c>
      <c r="H44" s="9">
        <v>1.2995542127655E-2</v>
      </c>
      <c r="I44" s="2">
        <f t="shared" si="5"/>
        <v>0.56666666666666665</v>
      </c>
      <c r="J44" s="2">
        <f t="shared" si="4"/>
        <v>0.16715058832373922</v>
      </c>
    </row>
    <row r="45" spans="1:10" x14ac:dyDescent="0.3">
      <c r="A45" s="9">
        <v>1.3021301762985001E-2</v>
      </c>
      <c r="H45" s="9">
        <v>1.3019364238455001E-2</v>
      </c>
      <c r="I45" s="2">
        <f t="shared" si="5"/>
        <v>0.6333333333333333</v>
      </c>
      <c r="J45" s="2">
        <f t="shared" si="4"/>
        <v>0.33927638280750583</v>
      </c>
    </row>
    <row r="46" spans="1:10" x14ac:dyDescent="0.3">
      <c r="A46" s="9">
        <v>1.2854842403286999E-2</v>
      </c>
      <c r="H46" s="9">
        <v>1.3021301762985001E-2</v>
      </c>
      <c r="I46" s="2">
        <f t="shared" si="5"/>
        <v>0.7</v>
      </c>
      <c r="J46" s="2">
        <f t="shared" si="4"/>
        <v>0.52246305252576009</v>
      </c>
    </row>
    <row r="47" spans="1:10" x14ac:dyDescent="0.3">
      <c r="A47" s="9">
        <v>1.3040588097385E-2</v>
      </c>
      <c r="H47" s="9">
        <v>1.3026254308484E-2</v>
      </c>
      <c r="I47" s="2">
        <f t="shared" si="5"/>
        <v>0.76666666666666661</v>
      </c>
      <c r="J47" s="2">
        <f t="shared" si="4"/>
        <v>0.72575040815577163</v>
      </c>
    </row>
    <row r="48" spans="1:10" x14ac:dyDescent="0.3">
      <c r="A48" s="9">
        <v>1.2874919079826999E-2</v>
      </c>
      <c r="H48" s="9">
        <v>1.3028803209622001E-2</v>
      </c>
      <c r="I48" s="2">
        <f t="shared" si="5"/>
        <v>0.83333333333333326</v>
      </c>
      <c r="J48" s="2">
        <f t="shared" si="4"/>
        <v>0.96558119772402329</v>
      </c>
    </row>
    <row r="49" spans="1:10" x14ac:dyDescent="0.3">
      <c r="A49" s="9">
        <v>1.2828443102954E-2</v>
      </c>
      <c r="H49" s="9">
        <v>1.3040588097385E-2</v>
      </c>
      <c r="I49" s="2">
        <f t="shared" si="5"/>
        <v>0.89999999999999991</v>
      </c>
      <c r="J49" s="2">
        <f t="shared" si="4"/>
        <v>1.2811261510381207</v>
      </c>
    </row>
    <row r="50" spans="1:10" x14ac:dyDescent="0.3">
      <c r="A50" s="9">
        <v>1.2995542127655E-2</v>
      </c>
      <c r="H50" s="9">
        <v>1.3048991065972E-2</v>
      </c>
      <c r="I50" s="2">
        <f t="shared" si="5"/>
        <v>0.96666666666666656</v>
      </c>
      <c r="J50" s="2">
        <f t="shared" si="4"/>
        <v>1.8368588976886859</v>
      </c>
    </row>
    <row r="51" spans="1:10" s="6" customFormat="1" ht="4.5" customHeight="1" x14ac:dyDescent="0.3">
      <c r="C51" s="7"/>
    </row>
    <row r="52" spans="1:10" x14ac:dyDescent="0.3">
      <c r="A52" s="1" t="s">
        <v>62</v>
      </c>
      <c r="C52" s="3" t="s">
        <v>1</v>
      </c>
      <c r="D52" s="1" t="s">
        <v>2</v>
      </c>
      <c r="E52" s="1" t="s">
        <v>3</v>
      </c>
      <c r="F52" s="1"/>
      <c r="H52" s="1" t="s">
        <v>4</v>
      </c>
      <c r="I52" s="1" t="s">
        <v>5</v>
      </c>
      <c r="J52" s="1" t="s">
        <v>6</v>
      </c>
    </row>
    <row r="53" spans="1:10" x14ac:dyDescent="0.3">
      <c r="A53" s="9">
        <v>1.5063212162217E-2</v>
      </c>
      <c r="C53" s="5">
        <f>AVERAGE(A53:A67)</f>
        <v>1.5123924365465603E-2</v>
      </c>
      <c r="D53" s="2">
        <f>_xlfn.VAR.S(A53:A67)</f>
        <v>1.001821075602986E-8</v>
      </c>
      <c r="E53" s="2">
        <f>SQRT(D53)/C53</f>
        <v>6.6180582463403505E-3</v>
      </c>
      <c r="H53" s="9">
        <v>1.4901209321055001E-2</v>
      </c>
      <c r="I53" s="2">
        <f>1/15 - 0.5/15</f>
        <v>3.3333333333333333E-2</v>
      </c>
      <c r="J53" s="2">
        <f t="shared" ref="J53:J67" si="6">4.91*(I53^0.14-(1-I53)^0.14)</f>
        <v>-1.836858897688687</v>
      </c>
    </row>
    <row r="54" spans="1:10" x14ac:dyDescent="0.3">
      <c r="A54" s="9">
        <v>1.5120649032933999E-2</v>
      </c>
      <c r="H54" s="9">
        <v>1.4985016879917001E-2</v>
      </c>
      <c r="I54" s="2">
        <f t="shared" ref="I54:I67" si="7">I53+1/15</f>
        <v>0.1</v>
      </c>
      <c r="J54" s="2">
        <f t="shared" si="6"/>
        <v>-1.2811261510381207</v>
      </c>
    </row>
    <row r="55" spans="1:10" x14ac:dyDescent="0.3">
      <c r="A55" s="9">
        <v>1.5118384572918E-2</v>
      </c>
      <c r="C55" s="3" t="s">
        <v>7</v>
      </c>
      <c r="E55" s="1" t="s">
        <v>8</v>
      </c>
      <c r="H55" s="9">
        <v>1.5060430660473001E-2</v>
      </c>
      <c r="I55" s="2">
        <f t="shared" si="7"/>
        <v>0.16666666666666669</v>
      </c>
      <c r="J55" s="2">
        <f t="shared" si="6"/>
        <v>-0.96558119772402384</v>
      </c>
    </row>
    <row r="56" spans="1:10" x14ac:dyDescent="0.3">
      <c r="A56" s="9">
        <v>1.4985016879917001E-2</v>
      </c>
      <c r="C56" s="5">
        <f>MEDIAN(A53:A67)</f>
        <v>1.5120649032933999E-2</v>
      </c>
      <c r="E56" s="2">
        <v>2.145</v>
      </c>
      <c r="H56" s="9">
        <v>1.5063212162217E-2</v>
      </c>
      <c r="I56" s="2">
        <f t="shared" si="7"/>
        <v>0.23333333333333334</v>
      </c>
      <c r="J56" s="2">
        <f t="shared" si="6"/>
        <v>-0.72575040815577163</v>
      </c>
    </row>
    <row r="57" spans="1:10" x14ac:dyDescent="0.3">
      <c r="A57" s="9">
        <v>1.5115982708461999E-2</v>
      </c>
      <c r="H57" s="9">
        <v>1.5077388658489999E-2</v>
      </c>
      <c r="I57" s="2">
        <f t="shared" si="7"/>
        <v>0.3</v>
      </c>
      <c r="J57" s="2">
        <f t="shared" si="6"/>
        <v>-0.52246305252576009</v>
      </c>
    </row>
    <row r="58" spans="1:10" x14ac:dyDescent="0.3">
      <c r="A58" s="9">
        <v>1.5157950100373E-2</v>
      </c>
      <c r="C58" s="3"/>
      <c r="D58" s="1" t="s">
        <v>9</v>
      </c>
      <c r="H58" s="9">
        <v>1.5115982708461999E-2</v>
      </c>
      <c r="I58" s="2">
        <f t="shared" si="7"/>
        <v>0.36666666666666664</v>
      </c>
      <c r="J58" s="2">
        <f t="shared" si="6"/>
        <v>-0.33927638280750583</v>
      </c>
    </row>
    <row r="59" spans="1:10" x14ac:dyDescent="0.3">
      <c r="A59" s="9">
        <v>1.5211950411461001E-2</v>
      </c>
      <c r="C59" s="3" t="s">
        <v>10</v>
      </c>
      <c r="D59" s="2">
        <f>C53+E56*SQRT(D53)/(SQRT(15))</f>
        <v>1.5179358433296233E-2</v>
      </c>
      <c r="H59" s="9">
        <v>1.5118384572918E-2</v>
      </c>
      <c r="I59" s="2">
        <f t="shared" si="7"/>
        <v>0.43333333333333329</v>
      </c>
      <c r="J59" s="2">
        <f t="shared" si="6"/>
        <v>-0.16715058832373922</v>
      </c>
    </row>
    <row r="60" spans="1:10" x14ac:dyDescent="0.3">
      <c r="A60" s="9">
        <v>1.5310732511535001E-2</v>
      </c>
      <c r="C60" s="3" t="s">
        <v>11</v>
      </c>
      <c r="D60" s="2">
        <f>C53-E56*SQRT(D53)/(SQRT(15))</f>
        <v>1.5068490297634973E-2</v>
      </c>
      <c r="H60" s="9">
        <v>1.5120649032933999E-2</v>
      </c>
      <c r="I60" s="2">
        <f t="shared" si="7"/>
        <v>0.49999999999999994</v>
      </c>
      <c r="J60" s="2">
        <f t="shared" si="6"/>
        <v>0</v>
      </c>
    </row>
    <row r="61" spans="1:10" x14ac:dyDescent="0.3">
      <c r="A61" s="9">
        <v>1.5198050707429999E-2</v>
      </c>
      <c r="H61" s="9">
        <v>1.5150945900026001E-2</v>
      </c>
      <c r="I61" s="2">
        <f t="shared" si="7"/>
        <v>0.56666666666666665</v>
      </c>
      <c r="J61" s="2">
        <f t="shared" si="6"/>
        <v>0.16715058832373922</v>
      </c>
    </row>
    <row r="62" spans="1:10" x14ac:dyDescent="0.3">
      <c r="A62" s="9">
        <v>1.5164623853318E-2</v>
      </c>
      <c r="H62" s="9">
        <v>1.5157950100373E-2</v>
      </c>
      <c r="I62" s="2">
        <f t="shared" si="7"/>
        <v>0.6333333333333333</v>
      </c>
      <c r="J62" s="2">
        <f t="shared" si="6"/>
        <v>0.33927638280750583</v>
      </c>
    </row>
    <row r="63" spans="1:10" x14ac:dyDescent="0.3">
      <c r="A63" s="9">
        <v>1.5060430660473001E-2</v>
      </c>
      <c r="H63" s="9">
        <v>1.5164623853318E-2</v>
      </c>
      <c r="I63" s="2">
        <f t="shared" si="7"/>
        <v>0.7</v>
      </c>
      <c r="J63" s="2">
        <f t="shared" si="6"/>
        <v>0.52246305252576009</v>
      </c>
    </row>
    <row r="64" spans="1:10" x14ac:dyDescent="0.3">
      <c r="A64" s="9">
        <v>1.5150945900026001E-2</v>
      </c>
      <c r="H64" s="9">
        <v>1.5198050707429999E-2</v>
      </c>
      <c r="I64" s="2">
        <f t="shared" si="7"/>
        <v>0.76666666666666661</v>
      </c>
      <c r="J64" s="2">
        <f t="shared" si="6"/>
        <v>0.72575040815577163</v>
      </c>
    </row>
    <row r="65" spans="1:10" x14ac:dyDescent="0.3">
      <c r="A65" s="9">
        <v>1.5077388658489999E-2</v>
      </c>
      <c r="H65" s="9">
        <v>1.5211950411461001E-2</v>
      </c>
      <c r="I65" s="2">
        <f t="shared" si="7"/>
        <v>0.83333333333333326</v>
      </c>
      <c r="J65" s="2">
        <f t="shared" si="6"/>
        <v>0.96558119772402329</v>
      </c>
    </row>
    <row r="66" spans="1:10" x14ac:dyDescent="0.3">
      <c r="A66" s="9">
        <v>1.4901209321055001E-2</v>
      </c>
      <c r="H66" s="9">
        <v>1.5222338001374999E-2</v>
      </c>
      <c r="I66" s="2">
        <f t="shared" si="7"/>
        <v>0.89999999999999991</v>
      </c>
      <c r="J66" s="2">
        <f t="shared" si="6"/>
        <v>1.2811261510381207</v>
      </c>
    </row>
    <row r="67" spans="1:10" x14ac:dyDescent="0.3">
      <c r="A67" s="9">
        <v>1.5222338001374999E-2</v>
      </c>
      <c r="H67" s="9">
        <v>1.5310732511535001E-2</v>
      </c>
      <c r="I67" s="2">
        <f t="shared" si="7"/>
        <v>0.96666666666666656</v>
      </c>
      <c r="J67" s="2">
        <f t="shared" si="6"/>
        <v>1.8368588976886859</v>
      </c>
    </row>
    <row r="68" spans="1:10" s="6" customFormat="1" ht="4.5" customHeight="1" x14ac:dyDescent="0.3">
      <c r="C68" s="7"/>
    </row>
    <row r="69" spans="1:10" x14ac:dyDescent="0.3">
      <c r="A69" s="1" t="s">
        <v>63</v>
      </c>
      <c r="C69" s="3" t="s">
        <v>1</v>
      </c>
      <c r="D69" s="1" t="s">
        <v>2</v>
      </c>
      <c r="E69" s="1" t="s">
        <v>3</v>
      </c>
      <c r="F69" s="1"/>
      <c r="H69" s="1" t="s">
        <v>4</v>
      </c>
      <c r="I69" s="1" t="s">
        <v>5</v>
      </c>
      <c r="J69" s="1" t="s">
        <v>6</v>
      </c>
    </row>
    <row r="70" spans="1:10" x14ac:dyDescent="0.3">
      <c r="A70" s="4">
        <v>1.7803716569733001E-2</v>
      </c>
      <c r="C70" s="5">
        <f>AVERAGE(A70:A84)</f>
        <v>1.7943952069189133E-2</v>
      </c>
      <c r="D70" s="2">
        <f>_xlfn.VAR.S(A70:A84)</f>
        <v>3.1661487840813788E-8</v>
      </c>
      <c r="E70" s="2">
        <f>SQRT(D70)/C70</f>
        <v>9.9162520984785573E-3</v>
      </c>
      <c r="H70" s="4">
        <v>1.7625084095299001E-2</v>
      </c>
      <c r="I70" s="2">
        <f>1/15 - 0.5/15</f>
        <v>3.3333333333333333E-2</v>
      </c>
      <c r="J70" s="2">
        <f t="shared" ref="J70:J84" si="8">4.91*(I70^0.14-(1-I70)^0.14)</f>
        <v>-1.836858897688687</v>
      </c>
    </row>
    <row r="71" spans="1:10" x14ac:dyDescent="0.3">
      <c r="A71" s="4">
        <v>1.8133909084723E-2</v>
      </c>
      <c r="H71" s="4">
        <v>1.7690053119862999E-2</v>
      </c>
      <c r="I71" s="2">
        <f t="shared" ref="I71:I84" si="9">I70+1/15</f>
        <v>0.1</v>
      </c>
      <c r="J71" s="2">
        <f t="shared" si="8"/>
        <v>-1.2811261510381207</v>
      </c>
    </row>
    <row r="72" spans="1:10" x14ac:dyDescent="0.3">
      <c r="A72" s="4">
        <v>1.8087433786473001E-2</v>
      </c>
      <c r="C72" s="3" t="s">
        <v>7</v>
      </c>
      <c r="E72" s="1" t="s">
        <v>8</v>
      </c>
      <c r="H72" s="4">
        <v>1.7697887540654999E-2</v>
      </c>
      <c r="I72" s="2">
        <f t="shared" si="9"/>
        <v>0.16666666666666669</v>
      </c>
      <c r="J72" s="2">
        <f t="shared" si="8"/>
        <v>-0.96558119772402384</v>
      </c>
    </row>
    <row r="73" spans="1:10" x14ac:dyDescent="0.3">
      <c r="A73" s="4">
        <v>1.7690053119862999E-2</v>
      </c>
      <c r="C73" s="5">
        <f>MEDIAN(A70:A84)</f>
        <v>1.7975913437066001E-2</v>
      </c>
      <c r="E73" s="2">
        <v>2.145</v>
      </c>
      <c r="H73" s="4">
        <v>1.7803716569733001E-2</v>
      </c>
      <c r="I73" s="2">
        <f t="shared" si="9"/>
        <v>0.23333333333333334</v>
      </c>
      <c r="J73" s="2">
        <f t="shared" si="8"/>
        <v>-0.72575040815577163</v>
      </c>
    </row>
    <row r="74" spans="1:10" x14ac:dyDescent="0.3">
      <c r="A74" s="4">
        <v>1.7975913437066001E-2</v>
      </c>
      <c r="H74" s="4">
        <v>1.7833923165826999E-2</v>
      </c>
      <c r="I74" s="2">
        <f t="shared" si="9"/>
        <v>0.3</v>
      </c>
      <c r="J74" s="2">
        <f t="shared" si="8"/>
        <v>-0.52246305252576009</v>
      </c>
    </row>
    <row r="75" spans="1:10" x14ac:dyDescent="0.3">
      <c r="A75" s="4">
        <v>1.7946515049430001E-2</v>
      </c>
      <c r="C75" s="3"/>
      <c r="D75" s="1" t="s">
        <v>9</v>
      </c>
      <c r="H75" s="4">
        <v>1.7899238881330999E-2</v>
      </c>
      <c r="I75" s="2">
        <f t="shared" si="9"/>
        <v>0.36666666666666664</v>
      </c>
      <c r="J75" s="2">
        <f t="shared" si="8"/>
        <v>-0.33927638280750583</v>
      </c>
    </row>
    <row r="76" spans="1:10" x14ac:dyDescent="0.3">
      <c r="A76" s="4">
        <v>1.7833923165826999E-2</v>
      </c>
      <c r="C76" s="3" t="s">
        <v>10</v>
      </c>
      <c r="D76" s="2">
        <f>C70+E73*SQRT(D70)/(SQRT(15))</f>
        <v>1.8042499958425037E-2</v>
      </c>
      <c r="H76" s="4">
        <v>1.7946515049430001E-2</v>
      </c>
      <c r="I76" s="2">
        <f t="shared" si="9"/>
        <v>0.43333333333333329</v>
      </c>
      <c r="J76" s="2">
        <f t="shared" si="8"/>
        <v>-0.16715058832373922</v>
      </c>
    </row>
    <row r="77" spans="1:10" x14ac:dyDescent="0.3">
      <c r="A77" s="4">
        <v>1.8145704673862999E-2</v>
      </c>
      <c r="C77" s="3" t="s">
        <v>11</v>
      </c>
      <c r="D77" s="2">
        <f>C70-E73*SQRT(D70)/(SQRT(15))</f>
        <v>1.7845404179953228E-2</v>
      </c>
      <c r="H77" s="4">
        <v>1.7975913437066001E-2</v>
      </c>
      <c r="I77" s="2">
        <f t="shared" si="9"/>
        <v>0.49999999999999994</v>
      </c>
      <c r="J77" s="2">
        <f t="shared" si="8"/>
        <v>0</v>
      </c>
    </row>
    <row r="78" spans="1:10" x14ac:dyDescent="0.3">
      <c r="A78" s="4">
        <v>1.8128837803102999E-2</v>
      </c>
      <c r="H78" s="4">
        <v>1.7997210715159001E-2</v>
      </c>
      <c r="I78" s="2">
        <f t="shared" si="9"/>
        <v>0.56666666666666665</v>
      </c>
      <c r="J78" s="2">
        <f t="shared" si="8"/>
        <v>0.16715058832373922</v>
      </c>
    </row>
    <row r="79" spans="1:10" x14ac:dyDescent="0.3">
      <c r="A79" s="4">
        <v>1.7997210715159001E-2</v>
      </c>
      <c r="H79" s="4">
        <v>1.8079963307455999E-2</v>
      </c>
      <c r="I79" s="2">
        <f t="shared" si="9"/>
        <v>0.6333333333333333</v>
      </c>
      <c r="J79" s="2">
        <f t="shared" si="8"/>
        <v>0.33927638280750583</v>
      </c>
    </row>
    <row r="80" spans="1:10" x14ac:dyDescent="0.3">
      <c r="A80" s="4">
        <v>1.7697887540654999E-2</v>
      </c>
      <c r="H80" s="4">
        <v>1.8087433786473001E-2</v>
      </c>
      <c r="I80" s="2">
        <f t="shared" si="9"/>
        <v>0.7</v>
      </c>
      <c r="J80" s="2">
        <f t="shared" si="8"/>
        <v>0.52246305252576009</v>
      </c>
    </row>
    <row r="81" spans="1:10" x14ac:dyDescent="0.3">
      <c r="A81" s="4">
        <v>1.8113889807855998E-2</v>
      </c>
      <c r="H81" s="4">
        <v>1.8113889807855998E-2</v>
      </c>
      <c r="I81" s="2">
        <f t="shared" si="9"/>
        <v>0.76666666666666661</v>
      </c>
      <c r="J81" s="2">
        <f t="shared" si="8"/>
        <v>0.72575040815577163</v>
      </c>
    </row>
    <row r="82" spans="1:10" x14ac:dyDescent="0.3">
      <c r="A82" s="4">
        <v>1.7899238881330999E-2</v>
      </c>
      <c r="H82" s="4">
        <v>1.8128837803102999E-2</v>
      </c>
      <c r="I82" s="2">
        <f t="shared" si="9"/>
        <v>0.83333333333333326</v>
      </c>
      <c r="J82" s="2">
        <f t="shared" si="8"/>
        <v>0.96558119772402329</v>
      </c>
    </row>
    <row r="83" spans="1:10" x14ac:dyDescent="0.3">
      <c r="A83" s="4">
        <v>1.7625084095299001E-2</v>
      </c>
      <c r="H83" s="4">
        <v>1.8133909084723E-2</v>
      </c>
      <c r="I83" s="2">
        <f t="shared" si="9"/>
        <v>0.89999999999999991</v>
      </c>
      <c r="J83" s="2">
        <f t="shared" si="8"/>
        <v>1.2811261510381207</v>
      </c>
    </row>
    <row r="84" spans="1:10" x14ac:dyDescent="0.3">
      <c r="A84" s="4">
        <v>1.8079963307455999E-2</v>
      </c>
      <c r="H84" s="4">
        <v>1.8145704673862999E-2</v>
      </c>
      <c r="I84" s="2">
        <f t="shared" si="9"/>
        <v>0.96666666666666656</v>
      </c>
      <c r="J84" s="2">
        <f t="shared" si="8"/>
        <v>1.8368588976886859</v>
      </c>
    </row>
    <row r="85" spans="1:10" s="6" customFormat="1" ht="4.5" customHeight="1" x14ac:dyDescent="0.3">
      <c r="C85" s="7"/>
    </row>
    <row r="86" spans="1:10" x14ac:dyDescent="0.3">
      <c r="A86" s="1" t="s">
        <v>64</v>
      </c>
      <c r="C86" s="3" t="s">
        <v>1</v>
      </c>
      <c r="D86" s="1" t="s">
        <v>2</v>
      </c>
      <c r="E86" s="1" t="s">
        <v>3</v>
      </c>
      <c r="F86" s="1"/>
      <c r="H86" s="1" t="s">
        <v>4</v>
      </c>
      <c r="I86" s="1" t="s">
        <v>5</v>
      </c>
      <c r="J86" s="1" t="s">
        <v>6</v>
      </c>
    </row>
    <row r="87" spans="1:10" x14ac:dyDescent="0.3">
      <c r="A87" s="9">
        <v>2.1648798825419001E-2</v>
      </c>
      <c r="C87" s="5">
        <f>AVERAGE(A87:A101)</f>
        <v>2.176537957885567E-2</v>
      </c>
      <c r="D87" s="2">
        <f>_xlfn.VAR.S(A87:A101)</f>
        <v>5.6645927221895232E-8</v>
      </c>
      <c r="E87" s="2">
        <f>SQRT(D87)/C87</f>
        <v>1.0934982681499811E-2</v>
      </c>
      <c r="H87" s="9">
        <v>2.1251998746468999E-2</v>
      </c>
      <c r="I87" s="2">
        <f>1/15 - 0.5/15</f>
        <v>3.3333333333333333E-2</v>
      </c>
      <c r="J87" s="2">
        <f t="shared" ref="J87:J101" si="10">4.91*(I87^0.14-(1-I87)^0.14)</f>
        <v>-1.836858897688687</v>
      </c>
    </row>
    <row r="88" spans="1:10" x14ac:dyDescent="0.3">
      <c r="A88" s="9">
        <v>2.2011788534393999E-2</v>
      </c>
      <c r="H88" s="9">
        <v>2.1409546463821E-2</v>
      </c>
      <c r="I88" s="2">
        <f t="shared" ref="I88:I101" si="11">I87+1/15</f>
        <v>0.1</v>
      </c>
      <c r="J88" s="2">
        <f t="shared" si="10"/>
        <v>-1.2811261510381207</v>
      </c>
    </row>
    <row r="89" spans="1:10" x14ac:dyDescent="0.3">
      <c r="A89" s="9">
        <v>2.1964767734463E-2</v>
      </c>
      <c r="C89" s="3" t="s">
        <v>7</v>
      </c>
      <c r="E89" s="1" t="s">
        <v>8</v>
      </c>
      <c r="H89" s="9">
        <v>2.1507944528924999E-2</v>
      </c>
      <c r="I89" s="2">
        <f t="shared" si="11"/>
        <v>0.16666666666666669</v>
      </c>
      <c r="J89" s="2">
        <f t="shared" si="10"/>
        <v>-0.96558119772402384</v>
      </c>
    </row>
    <row r="90" spans="1:10" x14ac:dyDescent="0.3">
      <c r="A90" s="9">
        <v>2.1409546463821E-2</v>
      </c>
      <c r="C90" s="5">
        <f>MEDIAN(A87:A101)</f>
        <v>2.1827813050941999E-2</v>
      </c>
      <c r="E90" s="2">
        <v>2.145</v>
      </c>
      <c r="H90" s="9">
        <v>2.1631193049339002E-2</v>
      </c>
      <c r="I90" s="2">
        <f t="shared" si="11"/>
        <v>0.23333333333333334</v>
      </c>
      <c r="J90" s="2">
        <f t="shared" si="10"/>
        <v>-0.72575040815577163</v>
      </c>
    </row>
    <row r="91" spans="1:10" x14ac:dyDescent="0.3">
      <c r="A91" s="9">
        <v>2.1827813050941999E-2</v>
      </c>
      <c r="H91" s="9">
        <v>2.1648798825419001E-2</v>
      </c>
      <c r="I91" s="2">
        <f t="shared" si="11"/>
        <v>0.3</v>
      </c>
      <c r="J91" s="2">
        <f t="shared" si="10"/>
        <v>-0.52246305252576009</v>
      </c>
    </row>
    <row r="92" spans="1:10" x14ac:dyDescent="0.3">
      <c r="A92" s="9">
        <v>2.1892157452231002E-2</v>
      </c>
      <c r="C92" s="3"/>
      <c r="D92" s="1" t="s">
        <v>9</v>
      </c>
      <c r="H92" s="9">
        <v>2.1712692137426E-2</v>
      </c>
      <c r="I92" s="2">
        <f t="shared" si="11"/>
        <v>0.36666666666666664</v>
      </c>
      <c r="J92" s="2">
        <f t="shared" si="10"/>
        <v>-0.33927638280750583</v>
      </c>
    </row>
    <row r="93" spans="1:10" x14ac:dyDescent="0.3">
      <c r="A93" s="9">
        <v>2.1712692137426E-2</v>
      </c>
      <c r="C93" s="3" t="s">
        <v>10</v>
      </c>
      <c r="D93" s="2">
        <f>C87+E90*SQRT(D87)/(SQRT(15))</f>
        <v>2.1897194936407086E-2</v>
      </c>
      <c r="H93" s="9">
        <v>2.1763801425768999E-2</v>
      </c>
      <c r="I93" s="2">
        <f t="shared" si="11"/>
        <v>0.43333333333333329</v>
      </c>
      <c r="J93" s="2">
        <f t="shared" si="10"/>
        <v>-0.16715058832373922</v>
      </c>
    </row>
    <row r="94" spans="1:10" x14ac:dyDescent="0.3">
      <c r="A94" s="9">
        <v>2.1866520172719998E-2</v>
      </c>
      <c r="C94" s="3" t="s">
        <v>11</v>
      </c>
      <c r="D94" s="2">
        <f>C87-E90*SQRT(D87)/(SQRT(15))</f>
        <v>2.1633564221304254E-2</v>
      </c>
      <c r="H94" s="9">
        <v>2.1827813050941999E-2</v>
      </c>
      <c r="I94" s="2">
        <f t="shared" si="11"/>
        <v>0.49999999999999994</v>
      </c>
      <c r="J94" s="2">
        <f t="shared" si="10"/>
        <v>0</v>
      </c>
    </row>
    <row r="95" spans="1:10" x14ac:dyDescent="0.3">
      <c r="A95" s="9">
        <v>2.2051675111986999E-2</v>
      </c>
      <c r="H95" s="9">
        <v>2.1866520172719998E-2</v>
      </c>
      <c r="I95" s="2">
        <f t="shared" si="11"/>
        <v>0.56666666666666665</v>
      </c>
      <c r="J95" s="2">
        <f t="shared" si="10"/>
        <v>0.16715058832373922</v>
      </c>
    </row>
    <row r="96" spans="1:10" x14ac:dyDescent="0.3">
      <c r="A96" s="9">
        <v>2.1763801425768999E-2</v>
      </c>
      <c r="H96" s="9">
        <v>2.1892157452231002E-2</v>
      </c>
      <c r="I96" s="2">
        <f t="shared" si="11"/>
        <v>0.6333333333333333</v>
      </c>
      <c r="J96" s="2">
        <f t="shared" si="10"/>
        <v>0.33927638280750583</v>
      </c>
    </row>
    <row r="97" spans="1:10" x14ac:dyDescent="0.3">
      <c r="A97" s="9">
        <v>2.1507944528924999E-2</v>
      </c>
      <c r="H97" s="9">
        <v>2.191595274515E-2</v>
      </c>
      <c r="I97" s="2">
        <f t="shared" si="11"/>
        <v>0.7</v>
      </c>
      <c r="J97" s="2">
        <f t="shared" si="10"/>
        <v>0.52246305252576009</v>
      </c>
    </row>
    <row r="98" spans="1:10" x14ac:dyDescent="0.3">
      <c r="A98" s="9">
        <v>2.202404370378E-2</v>
      </c>
      <c r="H98" s="9">
        <v>2.1964767734463E-2</v>
      </c>
      <c r="I98" s="2">
        <f t="shared" si="11"/>
        <v>0.76666666666666661</v>
      </c>
      <c r="J98" s="2">
        <f t="shared" si="10"/>
        <v>0.72575040815577163</v>
      </c>
    </row>
    <row r="99" spans="1:10" x14ac:dyDescent="0.3">
      <c r="A99" s="9">
        <v>2.1631193049339002E-2</v>
      </c>
      <c r="H99" s="9">
        <v>2.2011788534393999E-2</v>
      </c>
      <c r="I99" s="2">
        <f t="shared" si="11"/>
        <v>0.83333333333333326</v>
      </c>
      <c r="J99" s="2">
        <f t="shared" si="10"/>
        <v>0.96558119772402329</v>
      </c>
    </row>
    <row r="100" spans="1:10" x14ac:dyDescent="0.3">
      <c r="A100" s="9">
        <v>2.1251998746468999E-2</v>
      </c>
      <c r="H100" s="9">
        <v>2.202404370378E-2</v>
      </c>
      <c r="I100" s="2">
        <f t="shared" si="11"/>
        <v>0.89999999999999991</v>
      </c>
      <c r="J100" s="2">
        <f t="shared" si="10"/>
        <v>1.2811261510381207</v>
      </c>
    </row>
    <row r="101" spans="1:10" x14ac:dyDescent="0.3">
      <c r="A101" s="9">
        <v>2.191595274515E-2</v>
      </c>
      <c r="H101" s="9">
        <v>2.2051675111986999E-2</v>
      </c>
      <c r="I101" s="2">
        <f t="shared" si="11"/>
        <v>0.96666666666666656</v>
      </c>
      <c r="J101" s="2">
        <f t="shared" si="10"/>
        <v>1.8368588976886859</v>
      </c>
    </row>
    <row r="102" spans="1:10" s="6" customFormat="1" ht="4.5" customHeight="1" x14ac:dyDescent="0.3">
      <c r="C102" s="7"/>
    </row>
    <row r="103" spans="1:10" x14ac:dyDescent="0.3">
      <c r="A103" s="1" t="s">
        <v>65</v>
      </c>
      <c r="C103" s="3" t="s">
        <v>1</v>
      </c>
      <c r="D103" s="1" t="s">
        <v>2</v>
      </c>
      <c r="E103" s="1" t="s">
        <v>3</v>
      </c>
      <c r="F103" s="1"/>
      <c r="H103" s="1" t="s">
        <v>4</v>
      </c>
      <c r="I103" s="1" t="s">
        <v>5</v>
      </c>
      <c r="J103" s="1" t="s">
        <v>6</v>
      </c>
    </row>
    <row r="104" spans="1:10" x14ac:dyDescent="0.3">
      <c r="A104" s="4">
        <v>2.696214821779E-2</v>
      </c>
      <c r="C104" s="5">
        <f>AVERAGE(A104:A118)</f>
        <v>2.7120278641667668E-2</v>
      </c>
      <c r="D104" s="2">
        <f>_xlfn.VAR.S(A104:A118)</f>
        <v>1.7278262295284954E-7</v>
      </c>
      <c r="E104" s="2">
        <f>SQRT(D104)/C104</f>
        <v>1.5326955059861614E-2</v>
      </c>
      <c r="H104" s="4">
        <v>2.6109488619915001E-2</v>
      </c>
      <c r="I104" s="2">
        <f>1/15 - 0.5/15</f>
        <v>3.3333333333333333E-2</v>
      </c>
      <c r="J104" s="2">
        <f t="shared" ref="J104:J118" si="12">4.91*(I104^0.14-(1-I104)^0.14)</f>
        <v>-1.836858897688687</v>
      </c>
    </row>
    <row r="105" spans="1:10" x14ac:dyDescent="0.3">
      <c r="A105" s="4">
        <v>2.7351342143787E-2</v>
      </c>
      <c r="H105" s="4">
        <v>2.6538231897573001E-2</v>
      </c>
      <c r="I105" s="2">
        <f t="shared" ref="I105:I118" si="13">I104+1/15</f>
        <v>0.1</v>
      </c>
      <c r="J105" s="2">
        <f t="shared" si="12"/>
        <v>-1.2811261510381207</v>
      </c>
    </row>
    <row r="106" spans="1:10" x14ac:dyDescent="0.3">
      <c r="A106" s="4">
        <v>2.7704495604266001E-2</v>
      </c>
      <c r="C106" s="3" t="s">
        <v>7</v>
      </c>
      <c r="E106" s="1" t="s">
        <v>8</v>
      </c>
      <c r="H106" s="4">
        <v>2.6931122765371001E-2</v>
      </c>
      <c r="I106" s="2">
        <f t="shared" si="13"/>
        <v>0.16666666666666669</v>
      </c>
      <c r="J106" s="2">
        <f t="shared" si="12"/>
        <v>-0.96558119772402384</v>
      </c>
    </row>
    <row r="107" spans="1:10" x14ac:dyDescent="0.3">
      <c r="A107" s="4">
        <v>2.6538231897573001E-2</v>
      </c>
      <c r="C107" s="5">
        <f>MEDIAN(A104:A118)</f>
        <v>2.7207548285167998E-2</v>
      </c>
      <c r="E107" s="2">
        <v>2.145</v>
      </c>
      <c r="H107" s="4">
        <v>2.6949400295111999E-2</v>
      </c>
      <c r="I107" s="2">
        <f t="shared" si="13"/>
        <v>0.23333333333333334</v>
      </c>
      <c r="J107" s="2">
        <f t="shared" si="12"/>
        <v>-0.72575040815577163</v>
      </c>
    </row>
    <row r="108" spans="1:10" x14ac:dyDescent="0.3">
      <c r="A108" s="4">
        <v>2.7358768686236001E-2</v>
      </c>
      <c r="H108" s="4">
        <v>2.6955938940508E-2</v>
      </c>
      <c r="I108" s="2">
        <f t="shared" si="13"/>
        <v>0.3</v>
      </c>
      <c r="J108" s="2">
        <f t="shared" si="12"/>
        <v>-0.52246305252576009</v>
      </c>
    </row>
    <row r="109" spans="1:10" x14ac:dyDescent="0.3">
      <c r="A109" s="4">
        <v>2.7207548285167998E-2</v>
      </c>
      <c r="C109" s="3"/>
      <c r="D109" s="1" t="s">
        <v>9</v>
      </c>
      <c r="H109" s="4">
        <v>2.696214821779E-2</v>
      </c>
      <c r="I109" s="2">
        <f t="shared" si="13"/>
        <v>0.36666666666666664</v>
      </c>
      <c r="J109" s="2">
        <f t="shared" si="12"/>
        <v>-0.33927638280750583</v>
      </c>
    </row>
    <row r="110" spans="1:10" x14ac:dyDescent="0.3">
      <c r="A110" s="4">
        <v>2.7063130655315001E-2</v>
      </c>
      <c r="C110" s="3" t="s">
        <v>10</v>
      </c>
      <c r="D110" s="2">
        <f>C104+E107*SQRT(D104)/(SQRT(15))</f>
        <v>2.7350492624412946E-2</v>
      </c>
      <c r="H110" s="4">
        <v>2.7063130655315001E-2</v>
      </c>
      <c r="I110" s="2">
        <f t="shared" si="13"/>
        <v>0.43333333333333329</v>
      </c>
      <c r="J110" s="2">
        <f t="shared" si="12"/>
        <v>-0.16715058832373922</v>
      </c>
    </row>
    <row r="111" spans="1:10" x14ac:dyDescent="0.3">
      <c r="A111" s="4">
        <v>2.7405593190374E-2</v>
      </c>
      <c r="C111" s="3" t="s">
        <v>11</v>
      </c>
      <c r="D111" s="2">
        <f>C104-E107*SQRT(D104)/(SQRT(15))</f>
        <v>2.6890064658922391E-2</v>
      </c>
      <c r="H111" s="4">
        <v>2.7207548285167998E-2</v>
      </c>
      <c r="I111" s="2">
        <f t="shared" si="13"/>
        <v>0.49999999999999994</v>
      </c>
      <c r="J111" s="2">
        <f t="shared" si="12"/>
        <v>0</v>
      </c>
    </row>
    <row r="112" spans="1:10" x14ac:dyDescent="0.3">
      <c r="A112" s="4">
        <v>2.7704813690875001E-2</v>
      </c>
      <c r="H112" s="4">
        <v>2.7235079154607999E-2</v>
      </c>
      <c r="I112" s="2">
        <f t="shared" si="13"/>
        <v>0.56666666666666665</v>
      </c>
      <c r="J112" s="2">
        <f t="shared" si="12"/>
        <v>0.16715058832373922</v>
      </c>
    </row>
    <row r="113" spans="1:10" x14ac:dyDescent="0.3">
      <c r="A113" s="4">
        <v>2.6955938940508E-2</v>
      </c>
      <c r="H113" s="4">
        <v>2.7327077478116999E-2</v>
      </c>
      <c r="I113" s="2">
        <f t="shared" si="13"/>
        <v>0.6333333333333333</v>
      </c>
      <c r="J113" s="2">
        <f t="shared" si="12"/>
        <v>0.33927638280750583</v>
      </c>
    </row>
    <row r="114" spans="1:10" x14ac:dyDescent="0.3">
      <c r="A114" s="4">
        <v>2.6931122765371001E-2</v>
      </c>
      <c r="H114" s="4">
        <v>2.7351342143787E-2</v>
      </c>
      <c r="I114" s="2">
        <f t="shared" si="13"/>
        <v>0.7</v>
      </c>
      <c r="J114" s="2">
        <f t="shared" si="12"/>
        <v>0.52246305252576009</v>
      </c>
    </row>
    <row r="115" spans="1:10" x14ac:dyDescent="0.3">
      <c r="A115" s="4">
        <v>2.7327077478116999E-2</v>
      </c>
      <c r="H115" s="4">
        <v>2.7358768686236001E-2</v>
      </c>
      <c r="I115" s="2">
        <f t="shared" si="13"/>
        <v>0.76666666666666661</v>
      </c>
      <c r="J115" s="2">
        <f t="shared" si="12"/>
        <v>0.72575040815577163</v>
      </c>
    </row>
    <row r="116" spans="1:10" x14ac:dyDescent="0.3">
      <c r="A116" s="4">
        <v>2.6949400295111999E-2</v>
      </c>
      <c r="H116" s="4">
        <v>2.7405593190374E-2</v>
      </c>
      <c r="I116" s="2">
        <f t="shared" si="13"/>
        <v>0.83333333333333326</v>
      </c>
      <c r="J116" s="2">
        <f t="shared" si="12"/>
        <v>0.96558119772402329</v>
      </c>
    </row>
    <row r="117" spans="1:10" x14ac:dyDescent="0.3">
      <c r="A117" s="4">
        <v>2.6109488619915001E-2</v>
      </c>
      <c r="H117" s="4">
        <v>2.7704495604266001E-2</v>
      </c>
      <c r="I117" s="2">
        <f t="shared" si="13"/>
        <v>0.89999999999999991</v>
      </c>
      <c r="J117" s="2">
        <f t="shared" si="12"/>
        <v>1.2811261510381207</v>
      </c>
    </row>
    <row r="118" spans="1:10" x14ac:dyDescent="0.3">
      <c r="A118" s="4">
        <v>2.7235079154607999E-2</v>
      </c>
      <c r="H118" s="4">
        <v>2.7704813690875001E-2</v>
      </c>
      <c r="I118" s="2">
        <f t="shared" si="13"/>
        <v>0.96666666666666656</v>
      </c>
      <c r="J118" s="2">
        <f t="shared" si="12"/>
        <v>1.8368588976886859</v>
      </c>
    </row>
    <row r="119" spans="1:10" s="6" customFormat="1" ht="3.75" customHeight="1" x14ac:dyDescent="0.3">
      <c r="C119" s="7"/>
    </row>
    <row r="120" spans="1:10" x14ac:dyDescent="0.3">
      <c r="A120" s="1" t="s">
        <v>66</v>
      </c>
      <c r="C120" s="3" t="s">
        <v>1</v>
      </c>
      <c r="D120" s="1" t="s">
        <v>2</v>
      </c>
      <c r="E120" s="1" t="s">
        <v>3</v>
      </c>
      <c r="F120" s="1"/>
      <c r="H120" s="1" t="s">
        <v>4</v>
      </c>
      <c r="I120" s="1" t="s">
        <v>5</v>
      </c>
      <c r="J120" s="1" t="s">
        <v>6</v>
      </c>
    </row>
    <row r="121" spans="1:10" x14ac:dyDescent="0.3">
      <c r="A121" s="4">
        <v>3.497719061764E-2</v>
      </c>
      <c r="C121" s="5">
        <f>AVERAGE(A121:A135)</f>
        <v>3.5399469001797468E-2</v>
      </c>
      <c r="D121" s="2">
        <f>_xlfn.VAR.S(A121:A135)</f>
        <v>5.4642894029585317E-7</v>
      </c>
      <c r="E121" s="2">
        <f>SQRT(D121)/C121</f>
        <v>2.0881904186781881E-2</v>
      </c>
      <c r="H121" s="4">
        <v>3.3859393341319002E-2</v>
      </c>
      <c r="I121" s="2">
        <f>1/15 - 0.5/15</f>
        <v>3.3333333333333333E-2</v>
      </c>
      <c r="J121" s="2">
        <f t="shared" ref="J121:J135" si="14">4.91*(I121^0.14-(1-I121)^0.14)</f>
        <v>-1.836858897688687</v>
      </c>
    </row>
    <row r="122" spans="1:10" x14ac:dyDescent="0.3">
      <c r="A122" s="4">
        <v>3.5419087297221E-2</v>
      </c>
      <c r="H122" s="4">
        <v>3.4149136811902001E-2</v>
      </c>
      <c r="I122" s="2">
        <f t="shared" ref="I122:I135" si="15">I121+1/15</f>
        <v>0.1</v>
      </c>
      <c r="J122" s="2">
        <f t="shared" si="14"/>
        <v>-1.2811261510381207</v>
      </c>
    </row>
    <row r="123" spans="1:10" x14ac:dyDescent="0.3">
      <c r="A123" s="4">
        <v>3.6101006375824002E-2</v>
      </c>
      <c r="C123" s="3" t="s">
        <v>7</v>
      </c>
      <c r="E123" s="1" t="s">
        <v>8</v>
      </c>
      <c r="H123" s="4">
        <v>3.4915524127656E-2</v>
      </c>
      <c r="I123" s="2">
        <f t="shared" si="15"/>
        <v>0.16666666666666669</v>
      </c>
      <c r="J123" s="2">
        <f t="shared" si="14"/>
        <v>-0.96558119772402384</v>
      </c>
    </row>
    <row r="124" spans="1:10" x14ac:dyDescent="0.3">
      <c r="A124" s="4">
        <v>3.4149136811902001E-2</v>
      </c>
      <c r="C124" s="5">
        <f>MEDIAN(A121:A135)</f>
        <v>3.5544195603271003E-2</v>
      </c>
      <c r="E124" s="2">
        <v>2.145</v>
      </c>
      <c r="H124" s="4">
        <v>3.497719061764E-2</v>
      </c>
      <c r="I124" s="2">
        <f t="shared" si="15"/>
        <v>0.23333333333333334</v>
      </c>
      <c r="J124" s="2">
        <f t="shared" si="14"/>
        <v>-0.72575040815577163</v>
      </c>
    </row>
    <row r="125" spans="1:10" x14ac:dyDescent="0.3">
      <c r="A125" s="4">
        <v>3.6116815042785001E-2</v>
      </c>
      <c r="H125" s="4">
        <v>3.5120605793951001E-2</v>
      </c>
      <c r="I125" s="2">
        <f t="shared" si="15"/>
        <v>0.3</v>
      </c>
      <c r="J125" s="2">
        <f t="shared" si="14"/>
        <v>-0.52246305252576009</v>
      </c>
    </row>
    <row r="126" spans="1:10" x14ac:dyDescent="0.3">
      <c r="A126" s="4">
        <v>3.5918680170513001E-2</v>
      </c>
      <c r="C126" s="3"/>
      <c r="D126" s="1" t="s">
        <v>9</v>
      </c>
      <c r="H126" s="4">
        <v>3.5254926646422997E-2</v>
      </c>
      <c r="I126" s="2">
        <f t="shared" si="15"/>
        <v>0.36666666666666664</v>
      </c>
      <c r="J126" s="2">
        <f t="shared" si="14"/>
        <v>-0.33927638280750583</v>
      </c>
    </row>
    <row r="127" spans="1:10" x14ac:dyDescent="0.3">
      <c r="A127" s="4">
        <v>3.5641804678815003E-2</v>
      </c>
      <c r="C127" s="3" t="s">
        <v>10</v>
      </c>
      <c r="D127" s="2">
        <f>C121+E124*SQRT(D121)/(SQRT(15))</f>
        <v>3.5808869638096007E-2</v>
      </c>
      <c r="H127" s="4">
        <v>3.5419087297221E-2</v>
      </c>
      <c r="I127" s="2">
        <f t="shared" si="15"/>
        <v>0.43333333333333329</v>
      </c>
      <c r="J127" s="2">
        <f t="shared" si="14"/>
        <v>-0.16715058832373922</v>
      </c>
    </row>
    <row r="128" spans="1:10" x14ac:dyDescent="0.3">
      <c r="A128" s="4">
        <v>3.5556424265639E-2</v>
      </c>
      <c r="C128" s="3" t="s">
        <v>11</v>
      </c>
      <c r="D128" s="2">
        <f>C121-E124*SQRT(D121)/(SQRT(15))</f>
        <v>3.4990068365498929E-2</v>
      </c>
      <c r="H128" s="4">
        <v>3.5544195603271003E-2</v>
      </c>
      <c r="I128" s="2">
        <f t="shared" si="15"/>
        <v>0.49999999999999994</v>
      </c>
      <c r="J128" s="2">
        <f t="shared" si="14"/>
        <v>0</v>
      </c>
    </row>
    <row r="129" spans="1:10" x14ac:dyDescent="0.3">
      <c r="A129" s="4">
        <v>3.6715175507007002E-2</v>
      </c>
      <c r="H129" s="4">
        <v>3.5556424265639E-2</v>
      </c>
      <c r="I129" s="2">
        <f t="shared" si="15"/>
        <v>0.56666666666666665</v>
      </c>
      <c r="J129" s="2">
        <f t="shared" si="14"/>
        <v>0.16715058832373922</v>
      </c>
    </row>
    <row r="130" spans="1:10" x14ac:dyDescent="0.3">
      <c r="A130" s="4">
        <v>3.5254926646422997E-2</v>
      </c>
      <c r="H130" s="4">
        <v>3.5641804678815003E-2</v>
      </c>
      <c r="I130" s="2">
        <f t="shared" si="15"/>
        <v>0.6333333333333333</v>
      </c>
      <c r="J130" s="2">
        <f t="shared" si="14"/>
        <v>0.33927638280750583</v>
      </c>
    </row>
    <row r="131" spans="1:10" x14ac:dyDescent="0.3">
      <c r="A131" s="4">
        <v>3.4915524127656E-2</v>
      </c>
      <c r="H131" s="4">
        <v>3.5702068746996003E-2</v>
      </c>
      <c r="I131" s="2">
        <f t="shared" si="15"/>
        <v>0.7</v>
      </c>
      <c r="J131" s="2">
        <f t="shared" si="14"/>
        <v>0.52246305252576009</v>
      </c>
    </row>
    <row r="132" spans="1:10" x14ac:dyDescent="0.3">
      <c r="A132" s="4">
        <v>3.5702068746996003E-2</v>
      </c>
      <c r="H132" s="4">
        <v>3.5918680170513001E-2</v>
      </c>
      <c r="I132" s="2">
        <f t="shared" si="15"/>
        <v>0.76666666666666661</v>
      </c>
      <c r="J132" s="2">
        <f t="shared" si="14"/>
        <v>0.72575040815577163</v>
      </c>
    </row>
    <row r="133" spans="1:10" x14ac:dyDescent="0.3">
      <c r="A133" s="4">
        <v>3.5544195603271003E-2</v>
      </c>
      <c r="H133" s="4">
        <v>3.6101006375824002E-2</v>
      </c>
      <c r="I133" s="2">
        <f t="shared" si="15"/>
        <v>0.83333333333333326</v>
      </c>
      <c r="J133" s="2">
        <f t="shared" si="14"/>
        <v>0.96558119772402329</v>
      </c>
    </row>
    <row r="134" spans="1:10" x14ac:dyDescent="0.3">
      <c r="A134" s="4">
        <v>3.3859393341319002E-2</v>
      </c>
      <c r="H134" s="4">
        <v>3.6116815042785001E-2</v>
      </c>
      <c r="I134" s="2">
        <f t="shared" si="15"/>
        <v>0.89999999999999991</v>
      </c>
      <c r="J134" s="2">
        <f t="shared" si="14"/>
        <v>1.2811261510381207</v>
      </c>
    </row>
    <row r="135" spans="1:10" x14ac:dyDescent="0.3">
      <c r="A135" s="4">
        <v>3.5120605793951001E-2</v>
      </c>
      <c r="H135" s="4">
        <v>3.6715175507007002E-2</v>
      </c>
      <c r="I135" s="2">
        <f t="shared" si="15"/>
        <v>0.96666666666666656</v>
      </c>
      <c r="J135" s="2">
        <f t="shared" si="14"/>
        <v>1.8368588976886859</v>
      </c>
    </row>
    <row r="136" spans="1:10" s="6" customFormat="1" ht="4.5" customHeight="1" x14ac:dyDescent="0.3">
      <c r="C136" s="7"/>
    </row>
    <row r="137" spans="1:10" x14ac:dyDescent="0.3">
      <c r="A137" s="1" t="s">
        <v>0</v>
      </c>
      <c r="C137" s="3" t="s">
        <v>1</v>
      </c>
      <c r="D137" s="1" t="s">
        <v>2</v>
      </c>
      <c r="E137" s="1" t="s">
        <v>3</v>
      </c>
      <c r="F137" s="1"/>
      <c r="H137" s="1" t="s">
        <v>4</v>
      </c>
      <c r="I137" s="1" t="s">
        <v>5</v>
      </c>
      <c r="J137" s="1" t="s">
        <v>6</v>
      </c>
    </row>
    <row r="138" spans="1:10" x14ac:dyDescent="0.3">
      <c r="A138" s="4">
        <v>4.7570472295978002E-2</v>
      </c>
      <c r="C138" s="5">
        <f>AVERAGE(A138:A152)</f>
        <v>4.9064986412869258E-2</v>
      </c>
      <c r="D138" s="2">
        <f>_xlfn.VAR.S(A138:A152)</f>
        <v>2.2041698176750693E-6</v>
      </c>
      <c r="E138" s="2">
        <f>SQRT(D138)/C138</f>
        <v>3.0258740209426746E-2</v>
      </c>
      <c r="H138" s="4">
        <v>4.6367373720597002E-2</v>
      </c>
      <c r="I138" s="2">
        <f>1/15 - 0.5/15</f>
        <v>3.3333333333333333E-2</v>
      </c>
      <c r="J138" s="2">
        <f t="shared" ref="J138:J152" si="16">4.91*(I138^0.14-(1-I138)^0.14)</f>
        <v>-1.836858897688687</v>
      </c>
    </row>
    <row r="139" spans="1:10" x14ac:dyDescent="0.3">
      <c r="A139" s="4">
        <v>4.8396561820179998E-2</v>
      </c>
      <c r="H139" s="4">
        <v>4.6969923720914998E-2</v>
      </c>
      <c r="I139" s="2">
        <f t="shared" ref="I139:I152" si="17">I138+1/15</f>
        <v>0.1</v>
      </c>
      <c r="J139" s="2">
        <f t="shared" si="16"/>
        <v>-1.2811261510381207</v>
      </c>
    </row>
    <row r="140" spans="1:10" x14ac:dyDescent="0.3">
      <c r="A140" s="4">
        <v>5.1241979461282998E-2</v>
      </c>
      <c r="C140" s="3" t="s">
        <v>7</v>
      </c>
      <c r="E140" s="1" t="s">
        <v>8</v>
      </c>
      <c r="H140" s="4">
        <v>4.7570472295978002E-2</v>
      </c>
      <c r="I140" s="2">
        <f t="shared" si="17"/>
        <v>0.16666666666666669</v>
      </c>
      <c r="J140" s="2">
        <f t="shared" si="16"/>
        <v>-0.96558119772402384</v>
      </c>
    </row>
    <row r="141" spans="1:10" x14ac:dyDescent="0.3">
      <c r="A141" s="4">
        <v>4.6969923720914998E-2</v>
      </c>
      <c r="C141" s="5">
        <f>MEDIAN(A138:A152)</f>
        <v>4.8905881375489998E-2</v>
      </c>
      <c r="E141" s="2">
        <v>2.145</v>
      </c>
      <c r="H141" s="4">
        <v>4.7953518445475997E-2</v>
      </c>
      <c r="I141" s="2">
        <f t="shared" si="17"/>
        <v>0.23333333333333334</v>
      </c>
      <c r="J141" s="2">
        <f t="shared" si="16"/>
        <v>-0.72575040815577163</v>
      </c>
    </row>
    <row r="142" spans="1:10" x14ac:dyDescent="0.3">
      <c r="A142" s="4">
        <v>5.0698412247793999E-2</v>
      </c>
      <c r="H142" s="4">
        <v>4.8391054084948003E-2</v>
      </c>
      <c r="I142" s="2">
        <f t="shared" si="17"/>
        <v>0.3</v>
      </c>
      <c r="J142" s="2">
        <f t="shared" si="16"/>
        <v>-0.52246305252576009</v>
      </c>
    </row>
    <row r="143" spans="1:10" x14ac:dyDescent="0.3">
      <c r="A143" s="4">
        <v>5.0001310925120002E-2</v>
      </c>
      <c r="C143" s="3"/>
      <c r="D143" s="1" t="s">
        <v>9</v>
      </c>
      <c r="H143" s="4">
        <v>4.8396561820179998E-2</v>
      </c>
      <c r="I143" s="2">
        <f t="shared" si="17"/>
        <v>0.36666666666666664</v>
      </c>
      <c r="J143" s="2">
        <f t="shared" si="16"/>
        <v>-0.33927638280750583</v>
      </c>
    </row>
    <row r="144" spans="1:10" x14ac:dyDescent="0.3">
      <c r="A144" s="4">
        <v>4.9902057698127E-2</v>
      </c>
      <c r="C144" s="3" t="s">
        <v>10</v>
      </c>
      <c r="D144" s="2">
        <f>C138+E141*SQRT(D138)/(SQRT(15))</f>
        <v>4.9887237000600618E-2</v>
      </c>
      <c r="H144" s="4">
        <v>4.8435904095052003E-2</v>
      </c>
      <c r="I144" s="2">
        <f t="shared" si="17"/>
        <v>0.43333333333333329</v>
      </c>
      <c r="J144" s="2">
        <f t="shared" si="16"/>
        <v>-0.16715058832373922</v>
      </c>
    </row>
    <row r="145" spans="1:10" x14ac:dyDescent="0.3">
      <c r="A145" s="4">
        <v>4.8435904095052003E-2</v>
      </c>
      <c r="C145" s="3" t="s">
        <v>11</v>
      </c>
      <c r="D145" s="2">
        <f>C138-E141*SQRT(D138)/(SQRT(15))</f>
        <v>4.8242735825137897E-2</v>
      </c>
      <c r="H145" s="4">
        <v>4.8905881375489998E-2</v>
      </c>
      <c r="I145" s="2">
        <f t="shared" si="17"/>
        <v>0.49999999999999994</v>
      </c>
      <c r="J145" s="2">
        <f t="shared" si="16"/>
        <v>0</v>
      </c>
    </row>
    <row r="146" spans="1:10" x14ac:dyDescent="0.3">
      <c r="A146" s="4">
        <v>5.0758645099396003E-2</v>
      </c>
      <c r="H146" s="4">
        <v>4.9902057698127E-2</v>
      </c>
      <c r="I146" s="2">
        <f t="shared" si="17"/>
        <v>0.56666666666666665</v>
      </c>
      <c r="J146" s="2">
        <f t="shared" si="16"/>
        <v>0.16715058832373922</v>
      </c>
    </row>
    <row r="147" spans="1:10" x14ac:dyDescent="0.3">
      <c r="A147" s="4">
        <v>4.8391054084948003E-2</v>
      </c>
      <c r="H147" s="4">
        <v>5.0001310925120002E-2</v>
      </c>
      <c r="I147" s="2">
        <f t="shared" si="17"/>
        <v>0.6333333333333333</v>
      </c>
      <c r="J147" s="2">
        <f t="shared" si="16"/>
        <v>0.33927638280750583</v>
      </c>
    </row>
    <row r="148" spans="1:10" x14ac:dyDescent="0.3">
      <c r="A148" s="4">
        <v>4.7953518445475997E-2</v>
      </c>
      <c r="H148" s="4">
        <v>5.0111427253846999E-2</v>
      </c>
      <c r="I148" s="2">
        <f t="shared" si="17"/>
        <v>0.7</v>
      </c>
      <c r="J148" s="2">
        <f t="shared" si="16"/>
        <v>0.52246305252576009</v>
      </c>
    </row>
    <row r="149" spans="1:10" x14ac:dyDescent="0.3">
      <c r="A149" s="4">
        <v>5.0111427253846999E-2</v>
      </c>
      <c r="H149" s="4">
        <v>5.0270273948836E-2</v>
      </c>
      <c r="I149" s="2">
        <f t="shared" si="17"/>
        <v>0.76666666666666661</v>
      </c>
      <c r="J149" s="2">
        <f t="shared" si="16"/>
        <v>0.72575040815577163</v>
      </c>
    </row>
    <row r="150" spans="1:10" x14ac:dyDescent="0.3">
      <c r="A150" s="4">
        <v>5.0270273948836E-2</v>
      </c>
      <c r="H150" s="4">
        <v>5.0698412247793999E-2</v>
      </c>
      <c r="I150" s="2">
        <f t="shared" si="17"/>
        <v>0.83333333333333326</v>
      </c>
      <c r="J150" s="2">
        <f t="shared" si="16"/>
        <v>0.96558119772402329</v>
      </c>
    </row>
    <row r="151" spans="1:10" x14ac:dyDescent="0.3">
      <c r="A151" s="4">
        <v>4.6367373720597002E-2</v>
      </c>
      <c r="H151" s="4">
        <v>5.0758645099396003E-2</v>
      </c>
      <c r="I151" s="2">
        <f t="shared" si="17"/>
        <v>0.89999999999999991</v>
      </c>
      <c r="J151" s="2">
        <f t="shared" si="16"/>
        <v>1.2811261510381207</v>
      </c>
    </row>
    <row r="152" spans="1:10" x14ac:dyDescent="0.3">
      <c r="A152" s="4">
        <v>4.8905881375489998E-2</v>
      </c>
      <c r="H152" s="4">
        <v>5.1241979461282998E-2</v>
      </c>
      <c r="I152" s="2">
        <f t="shared" si="17"/>
        <v>0.96666666666666656</v>
      </c>
      <c r="J152" s="2">
        <f t="shared" si="16"/>
        <v>1.8368588976886859</v>
      </c>
    </row>
    <row r="153" spans="1:10" s="6" customFormat="1" ht="5.25" customHeight="1" x14ac:dyDescent="0.3">
      <c r="C153" s="7"/>
    </row>
    <row r="155" spans="1:10" x14ac:dyDescent="0.3">
      <c r="A155" s="1"/>
      <c r="C155" s="1"/>
      <c r="D155" s="1"/>
      <c r="E155" s="1"/>
    </row>
    <row r="156" spans="1:10" x14ac:dyDescent="0.3">
      <c r="A156" s="14" t="s">
        <v>67</v>
      </c>
      <c r="B156" s="14"/>
      <c r="C156" s="14"/>
    </row>
    <row r="157" spans="1:10" x14ac:dyDescent="0.3">
      <c r="A157" s="1" t="s">
        <v>21</v>
      </c>
      <c r="B157" s="1" t="s">
        <v>68</v>
      </c>
      <c r="C157" s="1" t="s">
        <v>23</v>
      </c>
    </row>
    <row r="158" spans="1:10" x14ac:dyDescent="0.3">
      <c r="A158" s="1" t="s">
        <v>59</v>
      </c>
      <c r="B158" s="2">
        <f>3*0.001</f>
        <v>3.0000000000000001E-3</v>
      </c>
      <c r="C158" s="2">
        <f>C2</f>
        <v>9.8113817342714797E-3</v>
      </c>
    </row>
    <row r="159" spans="1:10" x14ac:dyDescent="0.3">
      <c r="A159" s="1" t="s">
        <v>60</v>
      </c>
      <c r="B159" s="2">
        <f>3.5*0.001</f>
        <v>3.5000000000000001E-3</v>
      </c>
      <c r="C159" s="2">
        <f>C19</f>
        <v>1.1214488604233267E-2</v>
      </c>
    </row>
    <row r="160" spans="1:10" x14ac:dyDescent="0.3">
      <c r="A160" s="1" t="s">
        <v>61</v>
      </c>
      <c r="B160" s="2">
        <f>4*0.001</f>
        <v>4.0000000000000001E-3</v>
      </c>
      <c r="C160" s="2">
        <f>C36</f>
        <v>1.2948571300472731E-2</v>
      </c>
    </row>
    <row r="161" spans="1:7" x14ac:dyDescent="0.3">
      <c r="A161" s="1" t="s">
        <v>62</v>
      </c>
      <c r="B161" s="2">
        <f>4.5*0.001</f>
        <v>4.5000000000000005E-3</v>
      </c>
      <c r="C161" s="2">
        <f>C53</f>
        <v>1.5123924365465603E-2</v>
      </c>
    </row>
    <row r="162" spans="1:7" x14ac:dyDescent="0.3">
      <c r="A162" s="1" t="s">
        <v>63</v>
      </c>
      <c r="B162" s="2">
        <f>5*0.001</f>
        <v>5.0000000000000001E-3</v>
      </c>
      <c r="C162" s="2">
        <f>C70</f>
        <v>1.7943952069189133E-2</v>
      </c>
    </row>
    <row r="163" spans="1:7" x14ac:dyDescent="0.3">
      <c r="A163" s="1" t="s">
        <v>64</v>
      </c>
      <c r="B163" s="2">
        <f>5.5*0.001</f>
        <v>5.4999999999999997E-3</v>
      </c>
      <c r="C163" s="2">
        <f>C87</f>
        <v>2.176537957885567E-2</v>
      </c>
    </row>
    <row r="164" spans="1:7" x14ac:dyDescent="0.3">
      <c r="A164" s="1" t="s">
        <v>65</v>
      </c>
      <c r="B164" s="2">
        <f>6*0.001</f>
        <v>6.0000000000000001E-3</v>
      </c>
      <c r="C164" s="2">
        <f>C104</f>
        <v>2.7120278641667668E-2</v>
      </c>
    </row>
    <row r="165" spans="1:7" x14ac:dyDescent="0.3">
      <c r="A165" s="1" t="s">
        <v>66</v>
      </c>
      <c r="B165" s="2">
        <f>6.5*0.001</f>
        <v>6.5000000000000006E-3</v>
      </c>
      <c r="C165" s="2">
        <f>C121</f>
        <v>3.5399469001797468E-2</v>
      </c>
    </row>
    <row r="166" spans="1:7" x14ac:dyDescent="0.3">
      <c r="A166" s="1" t="s">
        <v>0</v>
      </c>
      <c r="B166" s="2">
        <f>7*0.001</f>
        <v>7.0000000000000001E-3</v>
      </c>
      <c r="C166" s="2">
        <f>C138</f>
        <v>4.9064986412869258E-2</v>
      </c>
    </row>
    <row r="171" spans="1:7" x14ac:dyDescent="0.3">
      <c r="A171" s="14" t="s">
        <v>69</v>
      </c>
      <c r="B171" s="14"/>
      <c r="C171" s="14"/>
      <c r="D171" s="14"/>
    </row>
    <row r="172" spans="1:7" x14ac:dyDescent="0.3">
      <c r="A172" s="1" t="s">
        <v>21</v>
      </c>
      <c r="B172" s="1" t="s">
        <v>70</v>
      </c>
      <c r="C172" s="1" t="s">
        <v>71</v>
      </c>
      <c r="D172" s="1" t="s">
        <v>38</v>
      </c>
      <c r="F172" s="3"/>
      <c r="G172" s="3"/>
    </row>
    <row r="173" spans="1:7" x14ac:dyDescent="0.3">
      <c r="A173" s="1"/>
      <c r="C173" s="2"/>
      <c r="F173" s="1"/>
      <c r="G173" s="1"/>
    </row>
    <row r="174" spans="1:7" x14ac:dyDescent="0.3">
      <c r="A174" s="1" t="s">
        <v>59</v>
      </c>
      <c r="B174" s="2">
        <f>3*0.001</f>
        <v>3.0000000000000001E-3</v>
      </c>
      <c r="C174" s="2">
        <f t="shared" ref="C174:C182" si="18">LN(C158)</f>
        <v>-4.6242121657542761</v>
      </c>
      <c r="D174" s="2">
        <f t="shared" ref="D174:D182" si="19">C174-B174*$C$186-$D$186</f>
        <v>9.8247834245723809E-2</v>
      </c>
    </row>
    <row r="175" spans="1:7" x14ac:dyDescent="0.3">
      <c r="A175" s="1" t="s">
        <v>60</v>
      </c>
      <c r="B175" s="2">
        <f>3.5*0.001</f>
        <v>3.5000000000000001E-3</v>
      </c>
      <c r="C175" s="2">
        <f t="shared" si="18"/>
        <v>-4.4905487113155136</v>
      </c>
      <c r="D175" s="2">
        <f t="shared" si="19"/>
        <v>3.6421288684486797E-2</v>
      </c>
    </row>
    <row r="176" spans="1:7" x14ac:dyDescent="0.3">
      <c r="A176" s="1" t="s">
        <v>61</v>
      </c>
      <c r="B176" s="2">
        <f>4*0.001</f>
        <v>4.0000000000000001E-3</v>
      </c>
      <c r="C176" s="2">
        <f t="shared" si="18"/>
        <v>-4.3467698212105823</v>
      </c>
      <c r="D176" s="2">
        <f t="shared" si="19"/>
        <v>-1.5289821210582311E-2</v>
      </c>
    </row>
    <row r="177" spans="1:4" x14ac:dyDescent="0.3">
      <c r="A177" s="1" t="s">
        <v>62</v>
      </c>
      <c r="B177" s="2">
        <f>4.5*0.001</f>
        <v>4.5000000000000005E-3</v>
      </c>
      <c r="C177" s="2">
        <f t="shared" si="18"/>
        <v>-4.1914773939269709</v>
      </c>
      <c r="D177" s="2">
        <f t="shared" si="19"/>
        <v>-5.5487393926970441E-2</v>
      </c>
    </row>
    <row r="178" spans="1:4" x14ac:dyDescent="0.3">
      <c r="A178" s="1" t="s">
        <v>63</v>
      </c>
      <c r="B178" s="2">
        <f>5*0.001</f>
        <v>5.0000000000000001E-3</v>
      </c>
      <c r="C178" s="2">
        <f t="shared" si="18"/>
        <v>-4.0205021529008151</v>
      </c>
      <c r="D178" s="2">
        <f t="shared" si="19"/>
        <v>-8.0002152900815027E-2</v>
      </c>
    </row>
    <row r="179" spans="1:4" x14ac:dyDescent="0.3">
      <c r="A179" s="1" t="s">
        <v>64</v>
      </c>
      <c r="B179" s="2">
        <f>5.5*0.001</f>
        <v>5.4999999999999997E-3</v>
      </c>
      <c r="C179" s="2">
        <f t="shared" si="18"/>
        <v>-3.827434664256038</v>
      </c>
      <c r="D179" s="2">
        <f t="shared" si="19"/>
        <v>-8.2424664256037339E-2</v>
      </c>
    </row>
    <row r="180" spans="1:4" x14ac:dyDescent="0.3">
      <c r="A180" s="1" t="s">
        <v>65</v>
      </c>
      <c r="B180" s="2">
        <f>6*0.001</f>
        <v>6.0000000000000001E-3</v>
      </c>
      <c r="C180" s="2">
        <f t="shared" si="18"/>
        <v>-3.6074735415649481</v>
      </c>
      <c r="D180" s="2">
        <f t="shared" si="19"/>
        <v>-5.7953541564947919E-2</v>
      </c>
    </row>
    <row r="181" spans="1:4" x14ac:dyDescent="0.3">
      <c r="A181" s="1" t="s">
        <v>66</v>
      </c>
      <c r="B181" s="2">
        <f>6.5*0.001</f>
        <v>6.5000000000000006E-3</v>
      </c>
      <c r="C181" s="2">
        <f t="shared" si="18"/>
        <v>-3.3410584589041328</v>
      </c>
      <c r="D181" s="2">
        <f t="shared" si="19"/>
        <v>1.2971541095867067E-2</v>
      </c>
    </row>
    <row r="182" spans="1:4" x14ac:dyDescent="0.3">
      <c r="A182" s="1" t="s">
        <v>0</v>
      </c>
      <c r="B182" s="2">
        <f>7*0.001</f>
        <v>7.0000000000000001E-3</v>
      </c>
      <c r="C182" s="2">
        <f t="shared" si="18"/>
        <v>-3.0146096062447567</v>
      </c>
      <c r="D182" s="2">
        <f t="shared" si="19"/>
        <v>0.14393039375524364</v>
      </c>
    </row>
    <row r="183" spans="1:4" x14ac:dyDescent="0.3">
      <c r="A183" s="1"/>
      <c r="C183" s="2"/>
    </row>
    <row r="184" spans="1:4" x14ac:dyDescent="0.3">
      <c r="A184" s="1"/>
      <c r="C184" s="14" t="s">
        <v>39</v>
      </c>
      <c r="D184" s="14"/>
    </row>
    <row r="185" spans="1:4" x14ac:dyDescent="0.3">
      <c r="A185" s="1"/>
      <c r="C185" s="1" t="s">
        <v>40</v>
      </c>
      <c r="D185" s="1" t="s">
        <v>41</v>
      </c>
    </row>
    <row r="186" spans="1:4" x14ac:dyDescent="0.3">
      <c r="A186" s="1"/>
      <c r="C186" s="2">
        <v>390.98</v>
      </c>
      <c r="D186" s="2">
        <v>-5.8954000000000004</v>
      </c>
    </row>
    <row r="187" spans="1:4" x14ac:dyDescent="0.3">
      <c r="A187" s="1"/>
      <c r="C187" s="2"/>
    </row>
    <row r="188" spans="1:4" x14ac:dyDescent="0.3">
      <c r="A188" s="14" t="s">
        <v>42</v>
      </c>
      <c r="B188" s="14"/>
      <c r="C188" s="14"/>
    </row>
    <row r="189" spans="1:4" x14ac:dyDescent="0.3">
      <c r="A189" s="1" t="s">
        <v>38</v>
      </c>
      <c r="B189" s="1" t="s">
        <v>5</v>
      </c>
      <c r="C189" s="1" t="s">
        <v>43</v>
      </c>
    </row>
    <row r="190" spans="1:4" x14ac:dyDescent="0.3">
      <c r="A190" s="2">
        <v>-8.2424664256037339E-2</v>
      </c>
      <c r="B190" s="2">
        <f>1/9-0.5/9</f>
        <v>5.5555555555555552E-2</v>
      </c>
      <c r="C190" s="2">
        <f t="shared" ref="C190:C198" si="20">4.91*(B190^0.14-(1-B190)^0.14)</f>
        <v>-1.5948702548629692</v>
      </c>
    </row>
    <row r="191" spans="1:4" x14ac:dyDescent="0.3">
      <c r="A191" s="2">
        <v>-8.0002152900815027E-2</v>
      </c>
      <c r="B191" s="2">
        <f>B190+1/9</f>
        <v>0.16666666666666666</v>
      </c>
      <c r="C191" s="2">
        <f t="shared" si="20"/>
        <v>-0.96558119772402384</v>
      </c>
    </row>
    <row r="192" spans="1:4" x14ac:dyDescent="0.3">
      <c r="A192" s="2">
        <v>-5.7953541564947919E-2</v>
      </c>
      <c r="B192" s="2">
        <f t="shared" ref="B192:B198" si="21">B191+1/9</f>
        <v>0.27777777777777779</v>
      </c>
      <c r="C192" s="2">
        <f t="shared" si="20"/>
        <v>-0.58740139704861805</v>
      </c>
    </row>
    <row r="193" spans="1:3" x14ac:dyDescent="0.3">
      <c r="A193" s="2">
        <v>-5.5487393926970441E-2</v>
      </c>
      <c r="B193" s="2">
        <f t="shared" si="21"/>
        <v>0.3888888888888889</v>
      </c>
      <c r="C193" s="2">
        <f t="shared" si="20"/>
        <v>-0.28101035460789436</v>
      </c>
    </row>
    <row r="194" spans="1:3" x14ac:dyDescent="0.3">
      <c r="A194" s="2">
        <v>-1.5289821210582311E-2</v>
      </c>
      <c r="B194" s="2">
        <f t="shared" si="21"/>
        <v>0.5</v>
      </c>
      <c r="C194" s="2">
        <f t="shared" si="20"/>
        <v>0</v>
      </c>
    </row>
    <row r="195" spans="1:3" x14ac:dyDescent="0.3">
      <c r="A195" s="2">
        <v>1.2971541095867067E-2</v>
      </c>
      <c r="B195" s="2">
        <f t="shared" si="21"/>
        <v>0.61111111111111116</v>
      </c>
      <c r="C195" s="2">
        <f t="shared" si="20"/>
        <v>0.28101035460789436</v>
      </c>
    </row>
    <row r="196" spans="1:3" x14ac:dyDescent="0.3">
      <c r="A196" s="2">
        <v>3.6421288684486797E-2</v>
      </c>
      <c r="B196" s="2">
        <f t="shared" si="21"/>
        <v>0.72222222222222232</v>
      </c>
      <c r="C196" s="2">
        <f t="shared" si="20"/>
        <v>0.5874013970486186</v>
      </c>
    </row>
    <row r="197" spans="1:3" x14ac:dyDescent="0.3">
      <c r="A197" s="2">
        <v>9.8247834245723809E-2</v>
      </c>
      <c r="B197" s="2">
        <f t="shared" si="21"/>
        <v>0.83333333333333348</v>
      </c>
      <c r="C197" s="2">
        <f t="shared" si="20"/>
        <v>0.96558119772402384</v>
      </c>
    </row>
    <row r="198" spans="1:3" x14ac:dyDescent="0.3">
      <c r="A198" s="2">
        <v>0.14393039375524364</v>
      </c>
      <c r="B198" s="2">
        <f t="shared" si="21"/>
        <v>0.94444444444444464</v>
      </c>
      <c r="C198" s="2">
        <f t="shared" si="20"/>
        <v>1.5948702548629707</v>
      </c>
    </row>
    <row r="199" spans="1:3" x14ac:dyDescent="0.3">
      <c r="C199" s="2"/>
    </row>
    <row r="201" spans="1:3" x14ac:dyDescent="0.3">
      <c r="A201" s="14" t="s">
        <v>44</v>
      </c>
      <c r="B201" s="14"/>
    </row>
    <row r="202" spans="1:3" x14ac:dyDescent="0.3">
      <c r="A202" s="1" t="s">
        <v>38</v>
      </c>
      <c r="B202" s="1" t="s">
        <v>45</v>
      </c>
    </row>
    <row r="203" spans="1:3" x14ac:dyDescent="0.3">
      <c r="A203" s="2">
        <v>9.8247834245723809E-2</v>
      </c>
      <c r="B203" s="2">
        <f>B174*$C$186+$D$186</f>
        <v>-4.7224599999999999</v>
      </c>
    </row>
    <row r="204" spans="1:3" x14ac:dyDescent="0.3">
      <c r="A204" s="2">
        <v>3.6421288684486797E-2</v>
      </c>
      <c r="B204" s="2">
        <f t="shared" ref="B204:B211" si="22">B175*$C$186+$D$186</f>
        <v>-4.5269700000000004</v>
      </c>
    </row>
    <row r="205" spans="1:3" x14ac:dyDescent="0.3">
      <c r="A205" s="2">
        <v>-1.5289821210582311E-2</v>
      </c>
      <c r="B205" s="2">
        <f t="shared" si="22"/>
        <v>-4.33148</v>
      </c>
    </row>
    <row r="206" spans="1:3" x14ac:dyDescent="0.3">
      <c r="A206" s="2">
        <v>-5.5487393926970441E-2</v>
      </c>
      <c r="B206" s="2">
        <f t="shared" si="22"/>
        <v>-4.1359899999999996</v>
      </c>
    </row>
    <row r="207" spans="1:3" x14ac:dyDescent="0.3">
      <c r="A207" s="2">
        <v>-8.0002152900815027E-2</v>
      </c>
      <c r="B207" s="2">
        <f t="shared" si="22"/>
        <v>-3.9405000000000001</v>
      </c>
    </row>
    <row r="208" spans="1:3" x14ac:dyDescent="0.3">
      <c r="A208" s="2">
        <v>-8.2424664256037339E-2</v>
      </c>
      <c r="B208" s="2">
        <f t="shared" si="22"/>
        <v>-3.7450100000000006</v>
      </c>
    </row>
    <row r="209" spans="1:2" x14ac:dyDescent="0.3">
      <c r="A209" s="2">
        <v>-5.7953541564947919E-2</v>
      </c>
      <c r="B209" s="2">
        <f t="shared" si="22"/>
        <v>-3.5495200000000002</v>
      </c>
    </row>
    <row r="210" spans="1:2" x14ac:dyDescent="0.3">
      <c r="A210" s="2">
        <v>1.2971541095867067E-2</v>
      </c>
      <c r="B210" s="2">
        <f t="shared" si="22"/>
        <v>-3.3540300000000003</v>
      </c>
    </row>
    <row r="211" spans="1:2" x14ac:dyDescent="0.3">
      <c r="A211" s="2">
        <v>0.14393039375524364</v>
      </c>
      <c r="B211" s="2">
        <f t="shared" si="22"/>
        <v>-3.1585400000000003</v>
      </c>
    </row>
    <row r="214" spans="1:2" x14ac:dyDescent="0.3">
      <c r="A214" s="14" t="s">
        <v>46</v>
      </c>
      <c r="B214" s="14"/>
    </row>
    <row r="215" spans="1:2" x14ac:dyDescent="0.3">
      <c r="A215" s="1" t="s">
        <v>38</v>
      </c>
      <c r="B215" s="1" t="s">
        <v>47</v>
      </c>
    </row>
    <row r="216" spans="1:2" x14ac:dyDescent="0.3">
      <c r="A216" s="2">
        <v>9.8247834245723809E-2</v>
      </c>
      <c r="B216" s="2">
        <v>1</v>
      </c>
    </row>
    <row r="217" spans="1:2" x14ac:dyDescent="0.3">
      <c r="A217" s="2">
        <v>3.6421288684486797E-2</v>
      </c>
      <c r="B217" s="2">
        <v>2</v>
      </c>
    </row>
    <row r="218" spans="1:2" x14ac:dyDescent="0.3">
      <c r="A218" s="2">
        <v>-1.5289821210582311E-2</v>
      </c>
      <c r="B218" s="2">
        <v>3</v>
      </c>
    </row>
    <row r="219" spans="1:2" x14ac:dyDescent="0.3">
      <c r="A219" s="2">
        <v>-5.5487393926970441E-2</v>
      </c>
      <c r="B219" s="2">
        <v>4</v>
      </c>
    </row>
    <row r="220" spans="1:2" x14ac:dyDescent="0.3">
      <c r="A220" s="2">
        <v>-8.0002152900815027E-2</v>
      </c>
      <c r="B220" s="2">
        <v>5</v>
      </c>
    </row>
    <row r="221" spans="1:2" x14ac:dyDescent="0.3">
      <c r="A221" s="2">
        <v>-8.2424664256037339E-2</v>
      </c>
      <c r="B221" s="2">
        <v>6</v>
      </c>
    </row>
    <row r="222" spans="1:2" x14ac:dyDescent="0.3">
      <c r="A222" s="2">
        <v>-5.7953541564947919E-2</v>
      </c>
      <c r="B222" s="2">
        <v>7</v>
      </c>
    </row>
    <row r="223" spans="1:2" x14ac:dyDescent="0.3">
      <c r="A223" s="2">
        <v>1.2971541095867067E-2</v>
      </c>
      <c r="B223" s="2">
        <v>8</v>
      </c>
    </row>
    <row r="224" spans="1:2" x14ac:dyDescent="0.3">
      <c r="A224" s="2">
        <v>0.14393039375524364</v>
      </c>
      <c r="B224" s="2">
        <v>9</v>
      </c>
    </row>
    <row r="228" spans="1:12" x14ac:dyDescent="0.3">
      <c r="A228" s="14" t="s">
        <v>48</v>
      </c>
      <c r="B228" s="14"/>
      <c r="C228" s="14"/>
      <c r="E228" s="1" t="s">
        <v>49</v>
      </c>
      <c r="F228" s="1" t="s">
        <v>50</v>
      </c>
      <c r="G228" s="1" t="s">
        <v>51</v>
      </c>
      <c r="H228" s="1" t="s">
        <v>52</v>
      </c>
      <c r="L228" s="1" t="s">
        <v>53</v>
      </c>
    </row>
    <row r="229" spans="1:12" x14ac:dyDescent="0.3">
      <c r="A229" s="1"/>
      <c r="B229" s="1" t="s">
        <v>40</v>
      </c>
      <c r="C229" s="1" t="s">
        <v>41</v>
      </c>
      <c r="E229" s="2">
        <v>2.3650000000000002</v>
      </c>
      <c r="F229" s="2">
        <f>SUM(D174*D174, D175*D175,D176*D176,D177*D177,D178*D178,D179*D179,D180*D180,D181*D181,D182*D182)</f>
        <v>5.1728778572219566E-2</v>
      </c>
      <c r="G229" s="2">
        <f>SUM(C174:C182)/9</f>
        <v>-3.9404540573420039</v>
      </c>
      <c r="H229" s="2">
        <f>SUM(C173*C173,C174*C174,C175*C175,C176*C176,C177*C177,C178*C178,C179*C179,C180*C180,C181*C181,C182*C182)-9*G229*G229</f>
        <v>2.3447546303856086</v>
      </c>
      <c r="L229" s="2">
        <f t="shared" ref="L229:L237" si="23">(C174-G$229)^2</f>
        <v>0.4675251508195285</v>
      </c>
    </row>
    <row r="230" spans="1:12" x14ac:dyDescent="0.3">
      <c r="A230" s="1" t="s">
        <v>54</v>
      </c>
      <c r="B230" s="2">
        <f>$C$186+$E$229*SQRT(($F$229/7)*(1/$H$229))</f>
        <v>391.11276987180719</v>
      </c>
      <c r="C230" s="2">
        <f>$D$186+$E$229*SQRT(($F$229/(9*7))*(($G$229^2)/$H$229))</f>
        <v>-5.7210088066482445</v>
      </c>
      <c r="L230" s="2">
        <f t="shared" si="23"/>
        <v>0.30260412833023531</v>
      </c>
    </row>
    <row r="231" spans="1:12" x14ac:dyDescent="0.3">
      <c r="A231" s="1" t="s">
        <v>55</v>
      </c>
      <c r="B231" s="2">
        <f>$C$186-$E$229*SQRT(($F$229/7)*(1/$H$229))</f>
        <v>390.84723012819285</v>
      </c>
      <c r="C231" s="2">
        <f>$D$186-$E$229*SQRT(($F$229/(9*7))*(($G$229^2)/$H$229))</f>
        <v>-6.0697911933517563</v>
      </c>
      <c r="E231" s="1" t="s">
        <v>56</v>
      </c>
      <c r="F231" s="1" t="s">
        <v>57</v>
      </c>
      <c r="L231" s="2">
        <f t="shared" si="23"/>
        <v>0.16509249996810635</v>
      </c>
    </row>
    <row r="232" spans="1:12" x14ac:dyDescent="0.3">
      <c r="E232" s="2">
        <f>SUM(L229:L237)</f>
        <v>2.3447546303856432</v>
      </c>
      <c r="F232" s="2">
        <f>(E232-F229)/E232</f>
        <v>0.97793851096320839</v>
      </c>
      <c r="L232" s="2">
        <f t="shared" si="23"/>
        <v>6.3012715510249631E-2</v>
      </c>
    </row>
    <row r="233" spans="1:12" x14ac:dyDescent="0.3">
      <c r="A233" s="14" t="s">
        <v>58</v>
      </c>
      <c r="B233" s="14"/>
      <c r="C233" s="14"/>
      <c r="L233" s="2">
        <f t="shared" si="23"/>
        <v>6.40769760259257E-3</v>
      </c>
    </row>
    <row r="234" spans="1:12" x14ac:dyDescent="0.3">
      <c r="A234" s="1" t="s">
        <v>45</v>
      </c>
      <c r="B234" s="1" t="s">
        <v>11</v>
      </c>
      <c r="C234" s="1" t="s">
        <v>10</v>
      </c>
      <c r="L234" s="2">
        <f t="shared" si="23"/>
        <v>1.2773383213520095E-2</v>
      </c>
    </row>
    <row r="235" spans="1:12" x14ac:dyDescent="0.3">
      <c r="C235" s="2"/>
      <c r="L235" s="2">
        <f t="shared" si="23"/>
        <v>0.11087602388715409</v>
      </c>
    </row>
    <row r="236" spans="1:12" x14ac:dyDescent="0.3">
      <c r="A236" s="2">
        <f>B174*$C$186+$D$186</f>
        <v>-4.7224599999999999</v>
      </c>
      <c r="B236" s="2">
        <f>$A236-$E$229*SQRT(($F$229/7)*(1 +1/9+((B174-$G$229)^2)/$H$229))</f>
        <v>-5.2881922964068044</v>
      </c>
      <c r="C236" s="2">
        <f t="shared" ref="C236:C244" si="24">$A236+$E$229*SQRT(($F$229/7)*(1 + 1/9+((C174-$G$229)^2)/$H$229))</f>
        <v>-4.4897220237995548</v>
      </c>
      <c r="L236" s="2">
        <f t="shared" si="23"/>
        <v>0.35927508342669368</v>
      </c>
    </row>
    <row r="237" spans="1:12" x14ac:dyDescent="0.3">
      <c r="A237" s="2">
        <f>B175*$C$186+$D$186</f>
        <v>-4.5269700000000004</v>
      </c>
      <c r="B237" s="2">
        <f t="shared" ref="B237:B244" si="25">$A237-$E$229*SQRT(($F$229/7)*(1 +1/9+((B175-$G$229)^2)/$H$229))</f>
        <v>-5.0927637346572068</v>
      </c>
      <c r="C237" s="2">
        <f t="shared" si="24"/>
        <v>-4.3005638067170802</v>
      </c>
      <c r="L237" s="2">
        <f t="shared" si="23"/>
        <v>0.85718794762756301</v>
      </c>
    </row>
    <row r="238" spans="1:12" x14ac:dyDescent="0.3">
      <c r="A238" s="2">
        <f t="shared" ref="A238:A244" si="26">B176*$C$186+$D$186</f>
        <v>-4.33148</v>
      </c>
      <c r="B238" s="2">
        <f t="shared" si="25"/>
        <v>-4.8973351740250344</v>
      </c>
      <c r="C238" s="2">
        <f t="shared" si="24"/>
        <v>-4.1104919199351198</v>
      </c>
    </row>
    <row r="239" spans="1:12" x14ac:dyDescent="0.3">
      <c r="A239" s="2">
        <f t="shared" si="26"/>
        <v>-4.1359899999999996</v>
      </c>
      <c r="B239" s="2">
        <f t="shared" si="25"/>
        <v>-4.701906614509924</v>
      </c>
      <c r="C239" s="2">
        <f t="shared" si="24"/>
        <v>-3.9191114959026425</v>
      </c>
    </row>
    <row r="240" spans="1:12" x14ac:dyDescent="0.3">
      <c r="A240" s="2">
        <f t="shared" si="26"/>
        <v>-3.9405000000000001</v>
      </c>
      <c r="B240" s="2">
        <f t="shared" si="25"/>
        <v>-4.5064780561115114</v>
      </c>
      <c r="C240" s="2">
        <f t="shared" si="24"/>
        <v>-3.725934249226067</v>
      </c>
    </row>
    <row r="241" spans="1:3" x14ac:dyDescent="0.3">
      <c r="A241" s="2">
        <f t="shared" si="26"/>
        <v>-3.7450100000000006</v>
      </c>
      <c r="B241" s="2">
        <f t="shared" si="25"/>
        <v>-4.3110494988294343</v>
      </c>
      <c r="C241" s="2">
        <f t="shared" si="24"/>
        <v>-3.5301829191061747</v>
      </c>
    </row>
    <row r="242" spans="1:3" x14ac:dyDescent="0.3">
      <c r="A242" s="2">
        <f t="shared" si="26"/>
        <v>-3.5495200000000002</v>
      </c>
      <c r="B242" s="2">
        <f t="shared" si="25"/>
        <v>-4.1156209426633268</v>
      </c>
      <c r="C242" s="2">
        <f t="shared" si="24"/>
        <v>-3.3307049817154524</v>
      </c>
    </row>
    <row r="243" spans="1:3" x14ac:dyDescent="0.3">
      <c r="A243" s="2">
        <f t="shared" si="26"/>
        <v>-3.3540300000000003</v>
      </c>
      <c r="B243" s="2">
        <f t="shared" si="25"/>
        <v>-3.9201923876128264</v>
      </c>
      <c r="C243" s="2">
        <f t="shared" si="24"/>
        <v>-3.1254282703011027</v>
      </c>
    </row>
    <row r="244" spans="1:3" x14ac:dyDescent="0.3">
      <c r="A244" s="2">
        <f t="shared" si="26"/>
        <v>-3.1585400000000003</v>
      </c>
      <c r="B244" s="2">
        <f t="shared" si="25"/>
        <v>-3.7247638336775712</v>
      </c>
      <c r="C244" s="2">
        <f t="shared" si="24"/>
        <v>-2.9114855959558179</v>
      </c>
    </row>
  </sheetData>
  <sortState xmlns:xlrd2="http://schemas.microsoft.com/office/spreadsheetml/2017/richdata2" ref="A190:A198">
    <sortCondition ref="A190:A198"/>
  </sortState>
  <mergeCells count="8">
    <mergeCell ref="A228:C228"/>
    <mergeCell ref="A233:C233"/>
    <mergeCell ref="A156:C156"/>
    <mergeCell ref="A171:D171"/>
    <mergeCell ref="C184:D184"/>
    <mergeCell ref="A188:C188"/>
    <mergeCell ref="A201:B201"/>
    <mergeCell ref="A214:B2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AB0E-5F70-4F9B-920D-6FE764622937}">
  <dimension ref="A1:L402"/>
  <sheetViews>
    <sheetView tabSelected="1" topLeftCell="C291" zoomScaleNormal="100" workbookViewId="0">
      <selection activeCell="I283" sqref="I283"/>
    </sheetView>
  </sheetViews>
  <sheetFormatPr defaultColWidth="9.109375" defaultRowHeight="14.4" x14ac:dyDescent="0.3"/>
  <cols>
    <col min="1" max="1" width="29.109375" style="2" customWidth="1"/>
    <col min="2" max="2" width="17.33203125" style="2" customWidth="1"/>
    <col min="3" max="3" width="17" style="5" customWidth="1"/>
    <col min="4" max="4" width="28" style="2" customWidth="1"/>
    <col min="5" max="5" width="16.88671875" style="2" customWidth="1"/>
    <col min="6" max="6" width="25.109375" style="2" customWidth="1"/>
    <col min="7" max="7" width="9.109375" style="2" bestFit="1"/>
    <col min="8" max="8" width="21" style="2" customWidth="1"/>
    <col min="9" max="9" width="15.6640625" style="2" customWidth="1"/>
    <col min="10" max="10" width="15.88671875" style="2" customWidth="1"/>
    <col min="11" max="11" width="14.5546875" style="2" customWidth="1"/>
    <col min="12" max="12" width="14.109375" style="2" customWidth="1"/>
    <col min="13" max="16384" width="9.109375" style="2"/>
  </cols>
  <sheetData>
    <row r="1" spans="1:11" x14ac:dyDescent="0.3">
      <c r="A1" s="1" t="s">
        <v>72</v>
      </c>
      <c r="C1" s="3" t="s">
        <v>1</v>
      </c>
      <c r="D1" s="1" t="s">
        <v>2</v>
      </c>
      <c r="E1" s="1" t="s">
        <v>3</v>
      </c>
      <c r="H1" s="1" t="s">
        <v>4</v>
      </c>
      <c r="I1" s="1" t="s">
        <v>5</v>
      </c>
      <c r="J1" s="1" t="s">
        <v>6</v>
      </c>
      <c r="K1" s="1"/>
    </row>
    <row r="2" spans="1:11" x14ac:dyDescent="0.3">
      <c r="A2" s="12">
        <v>9.7870077611414003E-3</v>
      </c>
      <c r="C2" s="5">
        <f>AVERAGE(A2:A16)</f>
        <v>9.8113817342714797E-3</v>
      </c>
      <c r="D2" s="2">
        <f>_xlfn.VAR.S(A2:A16)</f>
        <v>2.583489258374448E-9</v>
      </c>
      <c r="E2" s="2">
        <f>SQRT(D2)/C2</f>
        <v>5.1805176397961804E-3</v>
      </c>
      <c r="H2" s="12">
        <v>9.6953091888462E-3</v>
      </c>
      <c r="I2" s="2">
        <f>1/15 - 0.5/15</f>
        <v>3.3333333333333333E-2</v>
      </c>
      <c r="J2" s="2">
        <f>4.91*(I2^0.14-(1-I2)^0.14)</f>
        <v>-1.836858897688687</v>
      </c>
    </row>
    <row r="3" spans="1:11" x14ac:dyDescent="0.3">
      <c r="A3" s="12">
        <v>9.8032706727616999E-3</v>
      </c>
      <c r="H3" s="12">
        <v>9.7660398783830996E-3</v>
      </c>
      <c r="I3" s="2">
        <f>I2+1/15</f>
        <v>0.1</v>
      </c>
      <c r="J3" s="2">
        <f>4.91*(I3^0.14-(1-I3)^0.14)</f>
        <v>-1.2811261510381207</v>
      </c>
    </row>
    <row r="4" spans="1:11" x14ac:dyDescent="0.3">
      <c r="A4" s="12">
        <v>9.913994332902E-3</v>
      </c>
      <c r="C4" s="3" t="s">
        <v>7</v>
      </c>
      <c r="E4" s="1" t="s">
        <v>8</v>
      </c>
      <c r="H4" s="12">
        <v>9.7739862057435994E-3</v>
      </c>
      <c r="I4" s="2">
        <f>I3+1/15</f>
        <v>0.16666666666666669</v>
      </c>
      <c r="J4" s="2">
        <f>4.91*(I4^0.14-(1-I4)^0.14)</f>
        <v>-0.96558119772402384</v>
      </c>
    </row>
    <row r="5" spans="1:11" x14ac:dyDescent="0.3">
      <c r="A5" s="12">
        <v>9.7660398783830996E-3</v>
      </c>
      <c r="C5" s="5">
        <f>MEDIAN(A2:A16)</f>
        <v>9.8106652524677998E-3</v>
      </c>
      <c r="E5" s="2">
        <v>2.145</v>
      </c>
      <c r="H5" s="12">
        <v>9.7857580250463004E-3</v>
      </c>
      <c r="I5" s="2">
        <f>I4+1/15</f>
        <v>0.23333333333333334</v>
      </c>
      <c r="J5" s="2">
        <f>4.91*(I5^0.14-(1-I5)^0.14)</f>
        <v>-0.72575040815577163</v>
      </c>
    </row>
    <row r="6" spans="1:11" x14ac:dyDescent="0.3">
      <c r="A6" s="12">
        <v>9.8242978141037992E-3</v>
      </c>
      <c r="H6" s="12">
        <v>9.7870077611414003E-3</v>
      </c>
      <c r="I6" s="2">
        <f>I5+1/15</f>
        <v>0.3</v>
      </c>
      <c r="J6" s="2">
        <f>4.91*(I6^0.14-(1-I6)^0.14)</f>
        <v>-0.52246305252576009</v>
      </c>
    </row>
    <row r="7" spans="1:11" x14ac:dyDescent="0.3">
      <c r="A7" s="12">
        <v>9.7857580250463004E-3</v>
      </c>
      <c r="C7" s="3"/>
      <c r="D7" s="1" t="s">
        <v>9</v>
      </c>
      <c r="H7" s="12">
        <v>9.7969382111840995E-3</v>
      </c>
      <c r="I7" s="2">
        <f>I6+1/15</f>
        <v>0.36666666666666664</v>
      </c>
      <c r="J7" s="2">
        <f>4.91*(I7^0.14-(1-I7)^0.14)</f>
        <v>-0.33927638280750583</v>
      </c>
    </row>
    <row r="8" spans="1:11" x14ac:dyDescent="0.3">
      <c r="A8" s="12">
        <v>9.7739862057435994E-3</v>
      </c>
      <c r="C8" s="3" t="s">
        <v>10</v>
      </c>
      <c r="D8" s="2">
        <f>C2+E5*SQRT(D2)/(SQRT(15))</f>
        <v>9.8395321619355047E-3</v>
      </c>
      <c r="H8" s="12">
        <v>9.8032706727616999E-3</v>
      </c>
      <c r="I8" s="2">
        <f>I7+1/15</f>
        <v>0.43333333333333329</v>
      </c>
      <c r="J8" s="2">
        <f>4.91*(I8^0.14-(1-I8)^0.14)</f>
        <v>-0.16715058832373922</v>
      </c>
    </row>
    <row r="9" spans="1:11" x14ac:dyDescent="0.3">
      <c r="A9" s="12">
        <v>9.8451328506039999E-3</v>
      </c>
      <c r="C9" s="3" t="s">
        <v>11</v>
      </c>
      <c r="D9" s="2">
        <f>C2-E5*SQRT(D2)/(SQRT(15))</f>
        <v>9.7832313066074546E-3</v>
      </c>
      <c r="H9" s="12">
        <v>9.8106652524677998E-3</v>
      </c>
      <c r="I9" s="2">
        <f>I8+1/15</f>
        <v>0.49999999999999994</v>
      </c>
      <c r="J9" s="2">
        <f>4.91*(I9^0.14-(1-I9)^0.14)</f>
        <v>0</v>
      </c>
    </row>
    <row r="10" spans="1:11" x14ac:dyDescent="0.3">
      <c r="A10" s="12">
        <v>9.6953091888462E-3</v>
      </c>
      <c r="H10" s="12">
        <v>9.8187001124904003E-3</v>
      </c>
      <c r="I10" s="2">
        <f>I9+1/15</f>
        <v>0.56666666666666665</v>
      </c>
      <c r="J10" s="2">
        <f>4.91*(I10^0.14-(1-I10)^0.14)</f>
        <v>0.16715058832373922</v>
      </c>
    </row>
    <row r="11" spans="1:11" x14ac:dyDescent="0.3">
      <c r="A11" s="12">
        <v>9.8368871064311997E-3</v>
      </c>
      <c r="H11" s="12">
        <v>9.8242978141037992E-3</v>
      </c>
      <c r="I11" s="2">
        <f>I10+1/15</f>
        <v>0.6333333333333333</v>
      </c>
      <c r="J11" s="2">
        <f>4.91*(I11^0.14-(1-I11)^0.14)</f>
        <v>0.33927638280750583</v>
      </c>
    </row>
    <row r="12" spans="1:11" x14ac:dyDescent="0.3">
      <c r="A12" s="12">
        <v>9.8187001124904003E-3</v>
      </c>
      <c r="H12" s="12">
        <v>9.8326104295244996E-3</v>
      </c>
      <c r="I12" s="2">
        <f>I11+1/15</f>
        <v>0.7</v>
      </c>
      <c r="J12" s="2">
        <f>4.91*(I12^0.14-(1-I12)^0.14)</f>
        <v>0.52246305252576009</v>
      </c>
    </row>
    <row r="13" spans="1:11" x14ac:dyDescent="0.3">
      <c r="A13" s="12">
        <v>9.8801281724421007E-3</v>
      </c>
      <c r="H13" s="12">
        <v>9.8368871064311997E-3</v>
      </c>
      <c r="I13" s="2">
        <f>I12+1/15</f>
        <v>0.76666666666666661</v>
      </c>
      <c r="J13" s="2">
        <f>4.91*(I13^0.14-(1-I13)^0.14)</f>
        <v>0.72575040815577163</v>
      </c>
    </row>
    <row r="14" spans="1:11" x14ac:dyDescent="0.3">
      <c r="A14" s="12">
        <v>9.8106652524677998E-3</v>
      </c>
      <c r="H14" s="12">
        <v>9.8451328506039999E-3</v>
      </c>
      <c r="I14" s="2">
        <f>I13+1/15</f>
        <v>0.83333333333333326</v>
      </c>
      <c r="J14" s="2">
        <f>4.91*(I14^0.14-(1-I14)^0.14)</f>
        <v>0.96558119772402329</v>
      </c>
    </row>
    <row r="15" spans="1:11" x14ac:dyDescent="0.3">
      <c r="A15" s="12">
        <v>9.7969382111840995E-3</v>
      </c>
      <c r="H15" s="12">
        <v>9.8801281724421007E-3</v>
      </c>
      <c r="I15" s="2">
        <f>I14+1/15</f>
        <v>0.89999999999999991</v>
      </c>
      <c r="J15" s="2">
        <f>4.91*(I15^0.14-(1-I15)^0.14)</f>
        <v>1.2811261510381207</v>
      </c>
    </row>
    <row r="16" spans="1:11" x14ac:dyDescent="0.3">
      <c r="A16" s="12">
        <v>9.8326104295244996E-3</v>
      </c>
      <c r="H16" s="12">
        <v>9.913994332902E-3</v>
      </c>
      <c r="I16" s="2">
        <f>I15+1/15</f>
        <v>0.96666666666666656</v>
      </c>
      <c r="J16" s="2">
        <f>4.91*(I16^0.14-(1-I16)^0.14)</f>
        <v>1.8368588976886859</v>
      </c>
    </row>
    <row r="17" spans="1:10" s="6" customFormat="1" ht="3.75" customHeight="1" x14ac:dyDescent="0.3">
      <c r="C17" s="7"/>
    </row>
    <row r="18" spans="1:10" x14ac:dyDescent="0.3">
      <c r="A18" s="1" t="s">
        <v>73</v>
      </c>
      <c r="C18" s="3" t="s">
        <v>1</v>
      </c>
      <c r="D18" s="1" t="s">
        <v>2</v>
      </c>
      <c r="E18" s="1" t="s">
        <v>3</v>
      </c>
      <c r="F18" s="1"/>
      <c r="G18" s="1"/>
      <c r="H18" s="1" t="s">
        <v>4</v>
      </c>
      <c r="I18" s="1" t="s">
        <v>5</v>
      </c>
      <c r="J18" s="1" t="s">
        <v>6</v>
      </c>
    </row>
    <row r="19" spans="1:10" x14ac:dyDescent="0.3">
      <c r="A19" s="8">
        <v>1.2854701060384E-2</v>
      </c>
      <c r="C19" s="5">
        <f>AVERAGE(A19:A33)</f>
        <v>1.2948571300472732E-2</v>
      </c>
      <c r="D19" s="2">
        <f>_xlfn.VAR.S(A19:A33)</f>
        <v>6.3888312894942092E-9</v>
      </c>
      <c r="E19" s="2">
        <f>SQRT(D19)/C19</f>
        <v>6.1728945397778482E-3</v>
      </c>
      <c r="H19" s="8">
        <v>1.2828443102954E-2</v>
      </c>
      <c r="I19" s="2">
        <f>1/15 - 0.5/15</f>
        <v>3.3333333333333333E-2</v>
      </c>
      <c r="J19" s="2">
        <f>4.91*(I19^0.14-(1-I19)^0.14)</f>
        <v>-1.836858897688687</v>
      </c>
    </row>
    <row r="20" spans="1:10" x14ac:dyDescent="0.3">
      <c r="A20" s="8">
        <v>1.2922676502639001E-2</v>
      </c>
      <c r="H20" s="8">
        <v>1.2854701060384E-2</v>
      </c>
      <c r="I20" s="2">
        <f>I19+1/15</f>
        <v>0.1</v>
      </c>
      <c r="J20" s="2">
        <f>4.91*(I20^0.14-(1-I20)^0.14)</f>
        <v>-1.2811261510381207</v>
      </c>
    </row>
    <row r="21" spans="1:10" x14ac:dyDescent="0.3">
      <c r="A21" s="8">
        <v>1.2932048108786001E-2</v>
      </c>
      <c r="C21" s="3" t="s">
        <v>7</v>
      </c>
      <c r="E21" s="1" t="s">
        <v>8</v>
      </c>
      <c r="H21" s="8">
        <v>1.2854842403286999E-2</v>
      </c>
      <c r="I21" s="2">
        <f>I20+1/15</f>
        <v>0.16666666666666669</v>
      </c>
      <c r="J21" s="2">
        <f>4.91*(I21^0.14-(1-I21)^0.14)</f>
        <v>-0.96558119772402384</v>
      </c>
    </row>
    <row r="22" spans="1:10" x14ac:dyDescent="0.3">
      <c r="A22" s="8">
        <v>1.2995542127655E-2</v>
      </c>
      <c r="C22" s="5">
        <f>MEDIAN(A19:A33)</f>
        <v>1.2932048108786001E-2</v>
      </c>
      <c r="E22" s="2">
        <v>2.145</v>
      </c>
      <c r="H22" s="8">
        <v>1.2871783377291999E-2</v>
      </c>
      <c r="I22" s="2">
        <f>I21+1/15</f>
        <v>0.23333333333333334</v>
      </c>
      <c r="J22" s="2">
        <f>4.91*(I22^0.14-(1-I22)^0.14)</f>
        <v>-0.72575040815577163</v>
      </c>
    </row>
    <row r="23" spans="1:10" ht="14.25" customHeight="1" x14ac:dyDescent="0.3">
      <c r="A23" s="8">
        <v>1.2828443102954E-2</v>
      </c>
      <c r="H23" s="8">
        <v>1.2874919079826999E-2</v>
      </c>
      <c r="I23" s="2">
        <f>I22+1/15</f>
        <v>0.3</v>
      </c>
      <c r="J23" s="2">
        <f>4.91*(I23^0.14-(1-I23)^0.14)</f>
        <v>-0.52246305252576009</v>
      </c>
    </row>
    <row r="24" spans="1:10" x14ac:dyDescent="0.3">
      <c r="A24" s="8">
        <v>1.2874919079826999E-2</v>
      </c>
      <c r="C24" s="3"/>
      <c r="D24" s="1" t="s">
        <v>9</v>
      </c>
      <c r="H24" s="8">
        <v>1.2908311061363999E-2</v>
      </c>
      <c r="I24" s="2">
        <f>I23+1/15</f>
        <v>0.36666666666666664</v>
      </c>
      <c r="J24" s="2">
        <f>4.91*(I24^0.14-(1-I24)^0.14)</f>
        <v>-0.33927638280750583</v>
      </c>
    </row>
    <row r="25" spans="1:10" x14ac:dyDescent="0.3">
      <c r="A25" s="8">
        <v>1.3040588097385E-2</v>
      </c>
      <c r="C25" s="3" t="s">
        <v>10</v>
      </c>
      <c r="D25" s="2">
        <f>C19+E22*SQRT(D19)/(SQRT(15))</f>
        <v>1.299283955281663E-2</v>
      </c>
      <c r="H25" s="8">
        <v>1.2922676502639001E-2</v>
      </c>
      <c r="I25" s="2">
        <f>I24+1/15</f>
        <v>0.43333333333333329</v>
      </c>
      <c r="J25" s="2">
        <f>4.91*(I25^0.14-(1-I25)^0.14)</f>
        <v>-0.16715058832373922</v>
      </c>
    </row>
    <row r="26" spans="1:10" x14ac:dyDescent="0.3">
      <c r="A26" s="8">
        <v>1.3021301762985001E-2</v>
      </c>
      <c r="C26" s="3" t="s">
        <v>11</v>
      </c>
      <c r="D26" s="2">
        <f>C19-E22*SQRT(D19)/(SQRT(15))</f>
        <v>1.2904303048128835E-2</v>
      </c>
      <c r="H26" s="8">
        <v>1.2932048108786001E-2</v>
      </c>
      <c r="I26" s="2">
        <f>I25+1/15</f>
        <v>0.49999999999999994</v>
      </c>
      <c r="J26" s="2">
        <f>4.91*(I26^0.14-(1-I26)^0.14)</f>
        <v>0</v>
      </c>
    </row>
    <row r="27" spans="1:10" x14ac:dyDescent="0.3">
      <c r="A27" s="8">
        <v>1.2854842403286999E-2</v>
      </c>
      <c r="H27" s="8">
        <v>1.2995542127655E-2</v>
      </c>
      <c r="I27" s="2">
        <f>I26+1/15</f>
        <v>0.56666666666666665</v>
      </c>
      <c r="J27" s="2">
        <f>4.91*(I27^0.14-(1-I27)^0.14)</f>
        <v>0.16715058832373922</v>
      </c>
    </row>
    <row r="28" spans="1:10" ht="16.5" customHeight="1" x14ac:dyDescent="0.3">
      <c r="A28" s="8">
        <v>1.3048991065972E-2</v>
      </c>
      <c r="H28" s="8">
        <v>1.3019364238455001E-2</v>
      </c>
      <c r="I28" s="2">
        <f>I27+1/15</f>
        <v>0.6333333333333333</v>
      </c>
      <c r="J28" s="2">
        <f>4.91*(I28^0.14-(1-I28)^0.14)</f>
        <v>0.33927638280750583</v>
      </c>
    </row>
    <row r="29" spans="1:10" ht="16.5" customHeight="1" x14ac:dyDescent="0.3">
      <c r="A29" s="8">
        <v>1.2908311061363999E-2</v>
      </c>
      <c r="H29" s="8">
        <v>1.3021301762985001E-2</v>
      </c>
      <c r="I29" s="2">
        <f>I28+1/15</f>
        <v>0.7</v>
      </c>
      <c r="J29" s="2">
        <f>4.91*(I29^0.14-(1-I29)^0.14)</f>
        <v>0.52246305252576009</v>
      </c>
    </row>
    <row r="30" spans="1:10" ht="16.5" customHeight="1" x14ac:dyDescent="0.3">
      <c r="A30" s="8">
        <v>1.3026254308484E-2</v>
      </c>
      <c r="H30" s="8">
        <v>1.3026254308484E-2</v>
      </c>
      <c r="I30" s="2">
        <f>I29+1/15</f>
        <v>0.76666666666666661</v>
      </c>
      <c r="J30" s="2">
        <f>4.91*(I30^0.14-(1-I30)^0.14)</f>
        <v>0.72575040815577163</v>
      </c>
    </row>
    <row r="31" spans="1:10" ht="16.5" customHeight="1" x14ac:dyDescent="0.3">
      <c r="A31" s="8">
        <v>1.3028803209622001E-2</v>
      </c>
      <c r="H31" s="8">
        <v>1.3028803209622001E-2</v>
      </c>
      <c r="I31" s="2">
        <f>I30+1/15</f>
        <v>0.83333333333333326</v>
      </c>
      <c r="J31" s="2">
        <f>4.91*(I31^0.14-(1-I31)^0.14)</f>
        <v>0.96558119772402329</v>
      </c>
    </row>
    <row r="32" spans="1:10" ht="16.5" customHeight="1" x14ac:dyDescent="0.3">
      <c r="A32" s="8">
        <v>1.2871783377291999E-2</v>
      </c>
      <c r="H32" s="8">
        <v>1.3040588097385E-2</v>
      </c>
      <c r="I32" s="2">
        <f>I31+1/15</f>
        <v>0.89999999999999991</v>
      </c>
      <c r="J32" s="2">
        <f>4.91*(I32^0.14-(1-I32)^0.14)</f>
        <v>1.2811261510381207</v>
      </c>
    </row>
    <row r="33" spans="1:10" ht="16.5" customHeight="1" x14ac:dyDescent="0.3">
      <c r="A33" s="8">
        <v>1.3019364238455001E-2</v>
      </c>
      <c r="H33" s="8">
        <v>1.3048991065972E-2</v>
      </c>
      <c r="I33" s="2">
        <f>I32+1/15</f>
        <v>0.96666666666666656</v>
      </c>
      <c r="J33" s="2">
        <f>4.91*(I33^0.14-(1-I33)^0.14)</f>
        <v>1.8368588976886859</v>
      </c>
    </row>
    <row r="34" spans="1:10" s="6" customFormat="1" ht="3.75" customHeight="1" x14ac:dyDescent="0.3">
      <c r="C34" s="7"/>
    </row>
    <row r="35" spans="1:10" x14ac:dyDescent="0.3">
      <c r="A35" s="1" t="s">
        <v>74</v>
      </c>
      <c r="C35" s="3" t="s">
        <v>1</v>
      </c>
      <c r="D35" s="1" t="s">
        <v>2</v>
      </c>
      <c r="E35" s="1" t="s">
        <v>3</v>
      </c>
      <c r="F35" s="1"/>
      <c r="H35" s="1" t="s">
        <v>4</v>
      </c>
      <c r="I35" s="1" t="s">
        <v>5</v>
      </c>
      <c r="J35" s="1" t="s">
        <v>6</v>
      </c>
    </row>
    <row r="36" spans="1:10" x14ac:dyDescent="0.3">
      <c r="A36" s="9">
        <v>2.696214821779E-2</v>
      </c>
      <c r="C36" s="5">
        <f>AVERAGE(A36:A50)</f>
        <v>2.7120278641667668E-2</v>
      </c>
      <c r="D36" s="2">
        <f>_xlfn.VAR.S(A36:A50)</f>
        <v>1.7278262295284954E-7</v>
      </c>
      <c r="E36" s="2">
        <f>SQRT(D36)/C36</f>
        <v>1.5326955059861614E-2</v>
      </c>
      <c r="H36" s="9">
        <v>2.6109488619915001E-2</v>
      </c>
      <c r="I36" s="2">
        <f>1/15 - 0.5/15</f>
        <v>3.3333333333333333E-2</v>
      </c>
      <c r="J36" s="2">
        <f>4.91*(I36^0.14-(1-I36)^0.14)</f>
        <v>-1.836858897688687</v>
      </c>
    </row>
    <row r="37" spans="1:10" x14ac:dyDescent="0.3">
      <c r="A37" s="9">
        <v>2.6955938940508E-2</v>
      </c>
      <c r="H37" s="9">
        <v>2.6538231897573001E-2</v>
      </c>
      <c r="I37" s="2">
        <f>I36+1/15</f>
        <v>0.1</v>
      </c>
      <c r="J37" s="2">
        <f>4.91*(I37^0.14-(1-I37)^0.14)</f>
        <v>-1.2811261510381207</v>
      </c>
    </row>
    <row r="38" spans="1:10" x14ac:dyDescent="0.3">
      <c r="A38" s="9">
        <v>2.7358768686236001E-2</v>
      </c>
      <c r="C38" s="3" t="s">
        <v>7</v>
      </c>
      <c r="E38" s="1" t="s">
        <v>8</v>
      </c>
      <c r="H38" s="9">
        <v>2.6931122765371001E-2</v>
      </c>
      <c r="I38" s="2">
        <f>I37+1/15</f>
        <v>0.16666666666666669</v>
      </c>
      <c r="J38" s="2">
        <f>4.91*(I38^0.14-(1-I38)^0.14)</f>
        <v>-0.96558119772402384</v>
      </c>
    </row>
    <row r="39" spans="1:10" x14ac:dyDescent="0.3">
      <c r="A39" s="9">
        <v>2.7235079154607999E-2</v>
      </c>
      <c r="C39" s="5">
        <f>MEDIAN(A36:A50)</f>
        <v>2.7207548285167998E-2</v>
      </c>
      <c r="E39" s="2">
        <v>2.145</v>
      </c>
      <c r="H39" s="9">
        <v>2.6949400295111999E-2</v>
      </c>
      <c r="I39" s="2">
        <f>I38+1/15</f>
        <v>0.23333333333333334</v>
      </c>
      <c r="J39" s="2">
        <f>4.91*(I39^0.14-(1-I39)^0.14)</f>
        <v>-0.72575040815577163</v>
      </c>
    </row>
    <row r="40" spans="1:10" x14ac:dyDescent="0.3">
      <c r="A40" s="9">
        <v>2.6109488619915001E-2</v>
      </c>
      <c r="H40" s="9">
        <v>2.6955938940508E-2</v>
      </c>
      <c r="I40" s="2">
        <f>I39+1/15</f>
        <v>0.3</v>
      </c>
      <c r="J40" s="2">
        <f>4.91*(I40^0.14-(1-I40)^0.14)</f>
        <v>-0.52246305252576009</v>
      </c>
    </row>
    <row r="41" spans="1:10" x14ac:dyDescent="0.3">
      <c r="A41" s="9">
        <v>2.6949400295111999E-2</v>
      </c>
      <c r="C41" s="3"/>
      <c r="D41" s="1" t="s">
        <v>9</v>
      </c>
      <c r="H41" s="9">
        <v>2.696214821779E-2</v>
      </c>
      <c r="I41" s="2">
        <f>I40+1/15</f>
        <v>0.36666666666666664</v>
      </c>
      <c r="J41" s="2">
        <f>4.91*(I41^0.14-(1-I41)^0.14)</f>
        <v>-0.33927638280750583</v>
      </c>
    </row>
    <row r="42" spans="1:10" x14ac:dyDescent="0.3">
      <c r="A42" s="9">
        <v>2.7327077478116999E-2</v>
      </c>
      <c r="C42" s="3" t="s">
        <v>10</v>
      </c>
      <c r="D42" s="2">
        <f>C36+E39*SQRT(D36)/(SQRT(15))</f>
        <v>2.7350492624412946E-2</v>
      </c>
      <c r="H42" s="9">
        <v>2.7063130655315001E-2</v>
      </c>
      <c r="I42" s="2">
        <f>I41+1/15</f>
        <v>0.43333333333333329</v>
      </c>
      <c r="J42" s="2">
        <f>4.91*(I42^0.14-(1-I42)^0.14)</f>
        <v>-0.16715058832373922</v>
      </c>
    </row>
    <row r="43" spans="1:10" x14ac:dyDescent="0.3">
      <c r="A43" s="9">
        <v>2.6931122765371001E-2</v>
      </c>
      <c r="C43" s="3" t="s">
        <v>11</v>
      </c>
      <c r="D43" s="2">
        <f>C36-E39*SQRT(D36)/(SQRT(15))</f>
        <v>2.6890064658922391E-2</v>
      </c>
      <c r="H43" s="9">
        <v>2.7207548285167998E-2</v>
      </c>
      <c r="I43" s="2">
        <f>I42+1/15</f>
        <v>0.49999999999999994</v>
      </c>
      <c r="J43" s="2">
        <f>4.91*(I43^0.14-(1-I43)^0.14)</f>
        <v>0</v>
      </c>
    </row>
    <row r="44" spans="1:10" x14ac:dyDescent="0.3">
      <c r="A44" s="9">
        <v>2.7063130655315001E-2</v>
      </c>
      <c r="H44" s="9">
        <v>2.7235079154607999E-2</v>
      </c>
      <c r="I44" s="2">
        <f>I43+1/15</f>
        <v>0.56666666666666665</v>
      </c>
      <c r="J44" s="2">
        <f>4.91*(I44^0.14-(1-I44)^0.14)</f>
        <v>0.16715058832373922</v>
      </c>
    </row>
    <row r="45" spans="1:10" x14ac:dyDescent="0.3">
      <c r="A45" s="9">
        <v>2.7207548285167998E-2</v>
      </c>
      <c r="H45" s="9">
        <v>2.7327077478116999E-2</v>
      </c>
      <c r="I45" s="2">
        <f>I44+1/15</f>
        <v>0.6333333333333333</v>
      </c>
      <c r="J45" s="2">
        <f>4.91*(I45^0.14-(1-I45)^0.14)</f>
        <v>0.33927638280750583</v>
      </c>
    </row>
    <row r="46" spans="1:10" x14ac:dyDescent="0.3">
      <c r="A46" s="9">
        <v>2.7405593190374E-2</v>
      </c>
      <c r="H46" s="9">
        <v>2.7351342143787E-2</v>
      </c>
      <c r="I46" s="2">
        <f>I45+1/15</f>
        <v>0.7</v>
      </c>
      <c r="J46" s="2">
        <f>4.91*(I46^0.14-(1-I46)^0.14)</f>
        <v>0.52246305252576009</v>
      </c>
    </row>
    <row r="47" spans="1:10" x14ac:dyDescent="0.3">
      <c r="A47" s="9">
        <v>2.6538231897573001E-2</v>
      </c>
      <c r="H47" s="9">
        <v>2.7358768686236001E-2</v>
      </c>
      <c r="I47" s="2">
        <f>I46+1/15</f>
        <v>0.76666666666666661</v>
      </c>
      <c r="J47" s="2">
        <f>4.91*(I47^0.14-(1-I47)^0.14)</f>
        <v>0.72575040815577163</v>
      </c>
    </row>
    <row r="48" spans="1:10" x14ac:dyDescent="0.3">
      <c r="A48" s="9">
        <v>2.7704495604266001E-2</v>
      </c>
      <c r="H48" s="9">
        <v>2.7405593190374E-2</v>
      </c>
      <c r="I48" s="2">
        <f>I47+1/15</f>
        <v>0.83333333333333326</v>
      </c>
      <c r="J48" s="2">
        <f>4.91*(I48^0.14-(1-I48)^0.14)</f>
        <v>0.96558119772402329</v>
      </c>
    </row>
    <row r="49" spans="1:10" x14ac:dyDescent="0.3">
      <c r="A49" s="9">
        <v>2.7351342143787E-2</v>
      </c>
      <c r="H49" s="9">
        <v>2.7704495604266001E-2</v>
      </c>
      <c r="I49" s="2">
        <f>I48+1/15</f>
        <v>0.89999999999999991</v>
      </c>
      <c r="J49" s="2">
        <f>4.91*(I49^0.14-(1-I49)^0.14)</f>
        <v>1.2811261510381207</v>
      </c>
    </row>
    <row r="50" spans="1:10" x14ac:dyDescent="0.3">
      <c r="A50" s="9">
        <v>2.7704813690875001E-2</v>
      </c>
      <c r="H50" s="9">
        <v>2.7704813690875001E-2</v>
      </c>
      <c r="I50" s="2">
        <f>I49+1/15</f>
        <v>0.96666666666666656</v>
      </c>
      <c r="J50" s="2">
        <f>4.91*(I50^0.14-(1-I50)^0.14)</f>
        <v>1.8368588976886859</v>
      </c>
    </row>
    <row r="51" spans="1:10" s="6" customFormat="1" ht="4.5" customHeight="1" x14ac:dyDescent="0.3">
      <c r="C51" s="7"/>
    </row>
    <row r="52" spans="1:10" x14ac:dyDescent="0.3">
      <c r="A52" s="1" t="s">
        <v>75</v>
      </c>
      <c r="C52" s="3" t="s">
        <v>1</v>
      </c>
      <c r="D52" s="1" t="s">
        <v>2</v>
      </c>
      <c r="E52" s="1" t="s">
        <v>3</v>
      </c>
      <c r="F52" s="1"/>
      <c r="H52" s="1" t="s">
        <v>4</v>
      </c>
      <c r="I52" s="1" t="s">
        <v>5</v>
      </c>
      <c r="J52" s="1" t="s">
        <v>6</v>
      </c>
    </row>
    <row r="53" spans="1:10" x14ac:dyDescent="0.3">
      <c r="A53" s="9">
        <v>5.0758645099396003E-2</v>
      </c>
      <c r="C53" s="5">
        <f>AVERAGE(A53:A67)</f>
        <v>4.9064986412869271E-2</v>
      </c>
      <c r="D53" s="2">
        <f>_xlfn.VAR.S(A53:A67)</f>
        <v>2.2041698176750693E-6</v>
      </c>
      <c r="E53" s="2">
        <f>SQRT(D53)/C53</f>
        <v>3.0258740209426736E-2</v>
      </c>
      <c r="H53" s="9">
        <v>4.6367373720597002E-2</v>
      </c>
      <c r="I53" s="2">
        <f>1/15 - 0.5/15</f>
        <v>3.3333333333333333E-2</v>
      </c>
      <c r="J53" s="2">
        <f>4.91*(I53^0.14-(1-I53)^0.14)</f>
        <v>-1.836858897688687</v>
      </c>
    </row>
    <row r="54" spans="1:10" x14ac:dyDescent="0.3">
      <c r="A54" s="9">
        <v>4.8391054084948003E-2</v>
      </c>
      <c r="H54" s="9">
        <v>4.6969923720914998E-2</v>
      </c>
      <c r="I54" s="2">
        <f>I53+1/15</f>
        <v>0.1</v>
      </c>
      <c r="J54" s="2">
        <f>4.91*(I54^0.14-(1-I54)^0.14)</f>
        <v>-1.2811261510381207</v>
      </c>
    </row>
    <row r="55" spans="1:10" x14ac:dyDescent="0.3">
      <c r="A55" s="9">
        <v>5.0111427253846999E-2</v>
      </c>
      <c r="C55" s="3" t="s">
        <v>7</v>
      </c>
      <c r="E55" s="1" t="s">
        <v>8</v>
      </c>
      <c r="H55" s="9">
        <v>4.7570472295978002E-2</v>
      </c>
      <c r="I55" s="2">
        <f>I54+1/15</f>
        <v>0.16666666666666669</v>
      </c>
      <c r="J55" s="2">
        <f>4.91*(I55^0.14-(1-I55)^0.14)</f>
        <v>-0.96558119772402384</v>
      </c>
    </row>
    <row r="56" spans="1:10" x14ac:dyDescent="0.3">
      <c r="A56" s="9">
        <v>4.7953518445475997E-2</v>
      </c>
      <c r="C56" s="5">
        <f>MEDIAN(A53:A67)</f>
        <v>4.8905881375489998E-2</v>
      </c>
      <c r="E56" s="2">
        <v>2.145</v>
      </c>
      <c r="H56" s="9">
        <v>4.7953518445475997E-2</v>
      </c>
      <c r="I56" s="2">
        <f>I55+1/15</f>
        <v>0.23333333333333334</v>
      </c>
      <c r="J56" s="2">
        <f>4.91*(I56^0.14-(1-I56)^0.14)</f>
        <v>-0.72575040815577163</v>
      </c>
    </row>
    <row r="57" spans="1:10" x14ac:dyDescent="0.3">
      <c r="A57" s="9">
        <v>5.0270273948836E-2</v>
      </c>
      <c r="H57" s="9">
        <v>4.8391054084948003E-2</v>
      </c>
      <c r="I57" s="2">
        <f>I56+1/15</f>
        <v>0.3</v>
      </c>
      <c r="J57" s="2">
        <f>4.91*(I57^0.14-(1-I57)^0.14)</f>
        <v>-0.52246305252576009</v>
      </c>
    </row>
    <row r="58" spans="1:10" x14ac:dyDescent="0.3">
      <c r="A58" s="9">
        <v>4.6367373720597002E-2</v>
      </c>
      <c r="C58" s="3"/>
      <c r="D58" s="1" t="s">
        <v>9</v>
      </c>
      <c r="H58" s="9">
        <v>4.8396561820179998E-2</v>
      </c>
      <c r="I58" s="2">
        <f>I57+1/15</f>
        <v>0.36666666666666664</v>
      </c>
      <c r="J58" s="2">
        <f>4.91*(I58^0.14-(1-I58)^0.14)</f>
        <v>-0.33927638280750583</v>
      </c>
    </row>
    <row r="59" spans="1:10" x14ac:dyDescent="0.3">
      <c r="A59" s="9">
        <v>4.8905881375489998E-2</v>
      </c>
      <c r="C59" s="3" t="s">
        <v>10</v>
      </c>
      <c r="D59" s="2">
        <f>C53+E56*SQRT(D53)/(SQRT(15))</f>
        <v>4.9887237000600632E-2</v>
      </c>
      <c r="H59" s="9">
        <v>4.8435904095052003E-2</v>
      </c>
      <c r="I59" s="2">
        <f>I58+1/15</f>
        <v>0.43333333333333329</v>
      </c>
      <c r="J59" s="2">
        <f>4.91*(I59^0.14-(1-I59)^0.14)</f>
        <v>-0.16715058832373922</v>
      </c>
    </row>
    <row r="60" spans="1:10" x14ac:dyDescent="0.3">
      <c r="A60" s="9">
        <v>5.0698412247793999E-2</v>
      </c>
      <c r="C60" s="3" t="s">
        <v>11</v>
      </c>
      <c r="D60" s="2">
        <f>C53-E56*SQRT(D53)/(SQRT(15))</f>
        <v>4.8242735825137911E-2</v>
      </c>
      <c r="H60" s="9">
        <v>4.8905881375489998E-2</v>
      </c>
      <c r="I60" s="2">
        <f>I59+1/15</f>
        <v>0.49999999999999994</v>
      </c>
      <c r="J60" s="2">
        <f>4.91*(I60^0.14-(1-I60)^0.14)</f>
        <v>0</v>
      </c>
    </row>
    <row r="61" spans="1:10" x14ac:dyDescent="0.3">
      <c r="A61" s="9">
        <v>4.9902057698127E-2</v>
      </c>
      <c r="H61" s="9">
        <v>4.9902057698127E-2</v>
      </c>
      <c r="I61" s="2">
        <f>I60+1/15</f>
        <v>0.56666666666666665</v>
      </c>
      <c r="J61" s="2">
        <f>4.91*(I61^0.14-(1-I61)^0.14)</f>
        <v>0.16715058832373922</v>
      </c>
    </row>
    <row r="62" spans="1:10" x14ac:dyDescent="0.3">
      <c r="A62" s="9">
        <v>5.0001310925120002E-2</v>
      </c>
      <c r="H62" s="9">
        <v>5.0001310925120002E-2</v>
      </c>
      <c r="I62" s="2">
        <f>I61+1/15</f>
        <v>0.6333333333333333</v>
      </c>
      <c r="J62" s="2">
        <f>4.91*(I62^0.14-(1-I62)^0.14)</f>
        <v>0.33927638280750583</v>
      </c>
    </row>
    <row r="63" spans="1:10" x14ac:dyDescent="0.3">
      <c r="A63" s="9">
        <v>4.6969923720914998E-2</v>
      </c>
      <c r="H63" s="9">
        <v>5.0111427253846999E-2</v>
      </c>
      <c r="I63" s="2">
        <f>I62+1/15</f>
        <v>0.7</v>
      </c>
      <c r="J63" s="2">
        <f>4.91*(I63^0.14-(1-I63)^0.14)</f>
        <v>0.52246305252576009</v>
      </c>
    </row>
    <row r="64" spans="1:10" x14ac:dyDescent="0.3">
      <c r="A64" s="9">
        <v>5.1241979461282998E-2</v>
      </c>
      <c r="H64" s="9">
        <v>5.0270273948836E-2</v>
      </c>
      <c r="I64" s="2">
        <f>I63+1/15</f>
        <v>0.76666666666666661</v>
      </c>
      <c r="J64" s="2">
        <f>4.91*(I64^0.14-(1-I64)^0.14)</f>
        <v>0.72575040815577163</v>
      </c>
    </row>
    <row r="65" spans="1:10" x14ac:dyDescent="0.3">
      <c r="A65" s="9">
        <v>4.8396561820179998E-2</v>
      </c>
      <c r="H65" s="9">
        <v>5.0698412247793999E-2</v>
      </c>
      <c r="I65" s="2">
        <f>I64+1/15</f>
        <v>0.83333333333333326</v>
      </c>
      <c r="J65" s="2">
        <f>4.91*(I65^0.14-(1-I65)^0.14)</f>
        <v>0.96558119772402329</v>
      </c>
    </row>
    <row r="66" spans="1:10" x14ac:dyDescent="0.3">
      <c r="A66" s="9">
        <v>4.7570472295978002E-2</v>
      </c>
      <c r="H66" s="9">
        <v>5.0758645099396003E-2</v>
      </c>
      <c r="I66" s="2">
        <f>I65+1/15</f>
        <v>0.89999999999999991</v>
      </c>
      <c r="J66" s="2">
        <f>4.91*(I66^0.14-(1-I66)^0.14)</f>
        <v>1.2811261510381207</v>
      </c>
    </row>
    <row r="67" spans="1:10" x14ac:dyDescent="0.3">
      <c r="A67" s="9">
        <v>4.8435904095052003E-2</v>
      </c>
      <c r="H67" s="9">
        <v>5.1241979461282998E-2</v>
      </c>
      <c r="I67" s="2">
        <f>I66+1/15</f>
        <v>0.96666666666666656</v>
      </c>
      <c r="J67" s="2">
        <f>4.91*(I67^0.14-(1-I67)^0.14)</f>
        <v>1.8368588976886859</v>
      </c>
    </row>
    <row r="68" spans="1:10" s="6" customFormat="1" ht="4.5" customHeight="1" x14ac:dyDescent="0.3">
      <c r="C68" s="7"/>
    </row>
    <row r="69" spans="1:10" x14ac:dyDescent="0.3">
      <c r="A69" s="1" t="s">
        <v>76</v>
      </c>
      <c r="C69" s="3" t="s">
        <v>1</v>
      </c>
      <c r="D69" s="1" t="s">
        <v>2</v>
      </c>
      <c r="E69" s="1" t="s">
        <v>3</v>
      </c>
      <c r="F69" s="1"/>
      <c r="H69" s="1" t="s">
        <v>4</v>
      </c>
      <c r="I69" s="1" t="s">
        <v>5</v>
      </c>
      <c r="J69" s="1" t="s">
        <v>6</v>
      </c>
    </row>
    <row r="70" spans="1:10" x14ac:dyDescent="0.3">
      <c r="A70" s="13">
        <v>9.4918178227063991E-3</v>
      </c>
      <c r="C70" s="5">
        <f>AVERAGE(A70:A84)</f>
        <v>9.4952011103446587E-3</v>
      </c>
      <c r="D70" s="2">
        <f>_xlfn.VAR.S(A70:A84)</f>
        <v>1.7279890761513726E-9</v>
      </c>
      <c r="E70" s="2">
        <f>SQRT(D70)/C70</f>
        <v>4.3779049548175897E-3</v>
      </c>
      <c r="H70" s="13">
        <v>9.4383955133199998E-3</v>
      </c>
      <c r="I70" s="2">
        <f>1/15 - 0.5/15</f>
        <v>3.3333333333333333E-2</v>
      </c>
      <c r="J70" s="2">
        <f>4.91*(I70^0.14-(1-I70)^0.14)</f>
        <v>-1.836858897688687</v>
      </c>
    </row>
    <row r="71" spans="1:10" x14ac:dyDescent="0.3">
      <c r="A71" s="13">
        <v>9.4801296491688995E-3</v>
      </c>
      <c r="H71" s="13">
        <v>9.4466588360978005E-3</v>
      </c>
      <c r="I71" s="2">
        <f>I70+1/15</f>
        <v>0.1</v>
      </c>
      <c r="J71" s="2">
        <f>4.91*(I71^0.14-(1-I71)^0.14)</f>
        <v>-1.2811261510381207</v>
      </c>
    </row>
    <row r="72" spans="1:10" x14ac:dyDescent="0.3">
      <c r="A72" s="13">
        <v>9.4813937343978996E-3</v>
      </c>
      <c r="C72" s="3" t="s">
        <v>7</v>
      </c>
      <c r="E72" s="1" t="s">
        <v>8</v>
      </c>
      <c r="H72" s="13">
        <v>9.4580888957436996E-3</v>
      </c>
      <c r="I72" s="2">
        <f>I71+1/15</f>
        <v>0.16666666666666669</v>
      </c>
      <c r="J72" s="2">
        <f>4.91*(I72^0.14-(1-I72)^0.14)</f>
        <v>-0.96558119772402384</v>
      </c>
    </row>
    <row r="73" spans="1:10" x14ac:dyDescent="0.3">
      <c r="A73" s="13">
        <v>9.5375517898871002E-3</v>
      </c>
      <c r="C73" s="5">
        <f>MEDIAN(A70:A84)</f>
        <v>9.4861270680099002E-3</v>
      </c>
      <c r="E73" s="2">
        <v>2.145</v>
      </c>
      <c r="H73" s="13">
        <v>9.4649293931175008E-3</v>
      </c>
      <c r="I73" s="2">
        <f>I72+1/15</f>
        <v>0.23333333333333334</v>
      </c>
      <c r="J73" s="2">
        <f>4.91*(I73^0.14-(1-I73)^0.14)</f>
        <v>-0.72575040815577163</v>
      </c>
    </row>
    <row r="74" spans="1:10" x14ac:dyDescent="0.3">
      <c r="A74" s="13">
        <v>9.4861270680099002E-3</v>
      </c>
      <c r="H74" s="13">
        <v>9.4789234045403008E-3</v>
      </c>
      <c r="I74" s="2">
        <f>I73+1/15</f>
        <v>0.3</v>
      </c>
      <c r="J74" s="2">
        <f>4.91*(I74^0.14-(1-I74)^0.14)</f>
        <v>-0.52246305252576009</v>
      </c>
    </row>
    <row r="75" spans="1:10" x14ac:dyDescent="0.3">
      <c r="A75" s="13">
        <v>9.4383955133199998E-3</v>
      </c>
      <c r="C75" s="3"/>
      <c r="D75" s="1" t="s">
        <v>9</v>
      </c>
      <c r="H75" s="13">
        <v>9.4801296491688995E-3</v>
      </c>
      <c r="I75" s="2">
        <f>I74+1/15</f>
        <v>0.36666666666666664</v>
      </c>
      <c r="J75" s="2">
        <f>4.91*(I75^0.14-(1-I75)^0.14)</f>
        <v>-0.33927638280750583</v>
      </c>
    </row>
    <row r="76" spans="1:10" x14ac:dyDescent="0.3">
      <c r="A76" s="13">
        <v>9.4789234045403008E-3</v>
      </c>
      <c r="C76" s="3" t="s">
        <v>10</v>
      </c>
      <c r="D76" s="2">
        <f>C70+E73*SQRT(D70)/(SQRT(15))</f>
        <v>9.5182235934703624E-3</v>
      </c>
      <c r="H76" s="13">
        <v>9.4813937343978996E-3</v>
      </c>
      <c r="I76" s="2">
        <f>I75+1/15</f>
        <v>0.43333333333333329</v>
      </c>
      <c r="J76" s="2">
        <f>4.91*(I76^0.14-(1-I76)^0.14)</f>
        <v>-0.16715058832373922</v>
      </c>
    </row>
    <row r="77" spans="1:10" x14ac:dyDescent="0.3">
      <c r="A77" s="13">
        <v>9.4580888957436996E-3</v>
      </c>
      <c r="C77" s="3" t="s">
        <v>11</v>
      </c>
      <c r="D77" s="2">
        <f>C70-E73*SQRT(D70)/(SQRT(15))</f>
        <v>9.4721786272189551E-3</v>
      </c>
      <c r="H77" s="13">
        <v>9.4861270680099002E-3</v>
      </c>
      <c r="I77" s="2">
        <f>I76+1/15</f>
        <v>0.49999999999999994</v>
      </c>
      <c r="J77" s="2">
        <f>4.91*(I77^0.14-(1-I77)^0.14)</f>
        <v>0</v>
      </c>
    </row>
    <row r="78" spans="1:10" x14ac:dyDescent="0.3">
      <c r="A78" s="13">
        <v>9.4895210679932993E-3</v>
      </c>
      <c r="H78" s="13">
        <v>9.4880215403521009E-3</v>
      </c>
      <c r="I78" s="2">
        <f>I77+1/15</f>
        <v>0.56666666666666665</v>
      </c>
      <c r="J78" s="2">
        <f>4.91*(I78^0.14-(1-I78)^0.14)</f>
        <v>0.16715058832373922</v>
      </c>
    </row>
    <row r="79" spans="1:10" x14ac:dyDescent="0.3">
      <c r="A79" s="13">
        <v>9.4880215403521009E-3</v>
      </c>
      <c r="H79" s="13">
        <v>9.4895210679932993E-3</v>
      </c>
      <c r="I79" s="2">
        <f>I78+1/15</f>
        <v>0.6333333333333333</v>
      </c>
      <c r="J79" s="2">
        <f>4.91*(I79^0.14-(1-I79)^0.14)</f>
        <v>0.33927638280750583</v>
      </c>
    </row>
    <row r="80" spans="1:10" x14ac:dyDescent="0.3">
      <c r="A80" s="13">
        <v>9.5731407777941997E-3</v>
      </c>
      <c r="H80" s="13">
        <v>9.4918178227063991E-3</v>
      </c>
      <c r="I80" s="2">
        <f>I79+1/15</f>
        <v>0.7</v>
      </c>
      <c r="J80" s="2">
        <f>4.91*(I80^0.14-(1-I80)^0.14)</f>
        <v>0.52246305252576009</v>
      </c>
    </row>
    <row r="81" spans="1:10" x14ac:dyDescent="0.3">
      <c r="A81" s="13">
        <v>9.4649293931175008E-3</v>
      </c>
      <c r="H81" s="13">
        <v>9.5375517898871002E-3</v>
      </c>
      <c r="I81" s="2">
        <f>I80+1/15</f>
        <v>0.76666666666666661</v>
      </c>
      <c r="J81" s="2">
        <f>4.91*(I81^0.14-(1-I81)^0.14)</f>
        <v>0.72575040815577163</v>
      </c>
    </row>
    <row r="82" spans="1:10" x14ac:dyDescent="0.3">
      <c r="A82" s="13">
        <v>9.4466588360978005E-3</v>
      </c>
      <c r="H82" s="13">
        <v>9.5526360197091004E-3</v>
      </c>
      <c r="I82" s="2">
        <f>I81+1/15</f>
        <v>0.83333333333333326</v>
      </c>
      <c r="J82" s="2">
        <f>4.91*(I82^0.14-(1-I82)^0.14)</f>
        <v>0.96558119772402329</v>
      </c>
    </row>
    <row r="83" spans="1:10" x14ac:dyDescent="0.3">
      <c r="A83" s="13">
        <v>9.5526360197091004E-3</v>
      </c>
      <c r="H83" s="13">
        <v>9.5606811423316999E-3</v>
      </c>
      <c r="I83" s="2">
        <f>I82+1/15</f>
        <v>0.89999999999999991</v>
      </c>
      <c r="J83" s="2">
        <f>4.91*(I83^0.14-(1-I83)^0.14)</f>
        <v>1.2811261510381207</v>
      </c>
    </row>
    <row r="84" spans="1:10" x14ac:dyDescent="0.3">
      <c r="A84" s="13">
        <v>9.5606811423316999E-3</v>
      </c>
      <c r="H84" s="13">
        <v>9.5731407777941997E-3</v>
      </c>
      <c r="I84" s="2">
        <f>I83+1/15</f>
        <v>0.96666666666666656</v>
      </c>
      <c r="J84" s="2">
        <f>4.91*(I84^0.14-(1-I84)^0.14)</f>
        <v>1.8368588976886859</v>
      </c>
    </row>
    <row r="85" spans="1:10" s="6" customFormat="1" ht="4.5" customHeight="1" x14ac:dyDescent="0.3">
      <c r="C85" s="7"/>
    </row>
    <row r="86" spans="1:10" x14ac:dyDescent="0.3">
      <c r="A86" s="1" t="s">
        <v>77</v>
      </c>
      <c r="C86" s="3" t="s">
        <v>1</v>
      </c>
      <c r="D86" s="1" t="s">
        <v>2</v>
      </c>
      <c r="E86" s="1" t="s">
        <v>3</v>
      </c>
      <c r="F86" s="1"/>
      <c r="H86" s="1" t="s">
        <v>4</v>
      </c>
      <c r="I86" s="1" t="s">
        <v>5</v>
      </c>
      <c r="J86" s="1" t="s">
        <v>6</v>
      </c>
    </row>
    <row r="87" spans="1:10" x14ac:dyDescent="0.3">
      <c r="A87" s="9">
        <v>1.2228180534827E-2</v>
      </c>
      <c r="C87" s="5">
        <f>AVERAGE(A87:A101)</f>
        <v>1.2184874943363668E-2</v>
      </c>
      <c r="D87" s="2">
        <f>_xlfn.VAR.S(A87:A101)</f>
        <v>6.5476621221863075E-9</v>
      </c>
      <c r="E87" s="2">
        <f>SQRT(D87)/C87</f>
        <v>6.6408252781328028E-3</v>
      </c>
      <c r="H87" s="9">
        <v>1.2029355942457E-2</v>
      </c>
      <c r="I87" s="2">
        <f>1/15 - 0.5/15</f>
        <v>3.3333333333333333E-2</v>
      </c>
      <c r="J87" s="2">
        <f>4.91*(I87^0.14-(1-I87)^0.14)</f>
        <v>-1.836858897688687</v>
      </c>
    </row>
    <row r="88" spans="1:10" x14ac:dyDescent="0.3">
      <c r="A88" s="9">
        <v>1.2251901507794E-2</v>
      </c>
      <c r="H88" s="9">
        <v>1.2097957420023E-2</v>
      </c>
      <c r="I88" s="2">
        <f>I87+1/15</f>
        <v>0.1</v>
      </c>
      <c r="J88" s="2">
        <f>4.91*(I88^0.14-(1-I88)^0.14)</f>
        <v>-1.2811261510381207</v>
      </c>
    </row>
    <row r="89" spans="1:10" x14ac:dyDescent="0.3">
      <c r="A89" s="9">
        <v>1.211190414965E-2</v>
      </c>
      <c r="C89" s="3" t="s">
        <v>7</v>
      </c>
      <c r="E89" s="1" t="s">
        <v>8</v>
      </c>
      <c r="H89" s="9">
        <v>1.2100847051791E-2</v>
      </c>
      <c r="I89" s="2">
        <f>I88+1/15</f>
        <v>0.16666666666666669</v>
      </c>
      <c r="J89" s="2">
        <f>4.91*(I89^0.14-(1-I89)^0.14)</f>
        <v>-0.96558119772402384</v>
      </c>
    </row>
    <row r="90" spans="1:10" x14ac:dyDescent="0.3">
      <c r="A90" s="9">
        <v>1.2229409384734E-2</v>
      </c>
      <c r="C90" s="5">
        <f>MEDIAN(A87:A101)</f>
        <v>1.2228180534827E-2</v>
      </c>
      <c r="E90" s="2">
        <v>2.145</v>
      </c>
      <c r="H90" s="9">
        <v>1.211190414965E-2</v>
      </c>
      <c r="I90" s="2">
        <f>I89+1/15</f>
        <v>0.23333333333333334</v>
      </c>
      <c r="J90" s="2">
        <f>4.91*(I90^0.14-(1-I90)^0.14)</f>
        <v>-0.72575040815577163</v>
      </c>
    </row>
    <row r="91" spans="1:10" x14ac:dyDescent="0.3">
      <c r="A91" s="9">
        <v>1.2029355942457E-2</v>
      </c>
      <c r="H91" s="9">
        <v>1.2124245703517E-2</v>
      </c>
      <c r="I91" s="2">
        <f>I90+1/15</f>
        <v>0.3</v>
      </c>
      <c r="J91" s="2">
        <f>4.91*(I91^0.14-(1-I91)^0.14)</f>
        <v>-0.52246305252576009</v>
      </c>
    </row>
    <row r="92" spans="1:10" x14ac:dyDescent="0.3">
      <c r="A92" s="9">
        <v>1.2100847051791E-2</v>
      </c>
      <c r="C92" s="3"/>
      <c r="D92" s="1" t="s">
        <v>9</v>
      </c>
      <c r="H92" s="9">
        <v>1.2138944333759999E-2</v>
      </c>
      <c r="I92" s="2">
        <f>I91+1/15</f>
        <v>0.36666666666666664</v>
      </c>
      <c r="J92" s="2">
        <f>4.91*(I92^0.14-(1-I92)^0.14)</f>
        <v>-0.33927638280750583</v>
      </c>
    </row>
    <row r="93" spans="1:10" x14ac:dyDescent="0.3">
      <c r="A93" s="9">
        <v>1.2247707031709E-2</v>
      </c>
      <c r="C93" s="3" t="s">
        <v>10</v>
      </c>
      <c r="D93" s="2">
        <f>C87+E90*SQRT(D87)/(SQRT(15))</f>
        <v>1.2229690087467519E-2</v>
      </c>
      <c r="H93" s="9">
        <v>1.2147929968125E-2</v>
      </c>
      <c r="I93" s="2">
        <f>I92+1/15</f>
        <v>0.43333333333333329</v>
      </c>
      <c r="J93" s="2">
        <f>4.91*(I93^0.14-(1-I93)^0.14)</f>
        <v>-0.16715058832373922</v>
      </c>
    </row>
    <row r="94" spans="1:10" x14ac:dyDescent="0.3">
      <c r="A94" s="9">
        <v>1.2295383183445001E-2</v>
      </c>
      <c r="C94" s="3" t="s">
        <v>11</v>
      </c>
      <c r="D94" s="2">
        <f>C87-E90*SQRT(D87)/(SQRT(15))</f>
        <v>1.2140059799259818E-2</v>
      </c>
      <c r="H94" s="9">
        <v>1.2228180534827E-2</v>
      </c>
      <c r="I94" s="2">
        <f>I93+1/15</f>
        <v>0.49999999999999994</v>
      </c>
      <c r="J94" s="2">
        <f>4.91*(I94^0.14-(1-I94)^0.14)</f>
        <v>0</v>
      </c>
    </row>
    <row r="95" spans="1:10" x14ac:dyDescent="0.3">
      <c r="A95" s="9">
        <v>1.2124245703517E-2</v>
      </c>
      <c r="H95" s="9">
        <v>1.2229409384734E-2</v>
      </c>
      <c r="I95" s="2">
        <f>I94+1/15</f>
        <v>0.56666666666666665</v>
      </c>
      <c r="J95" s="2">
        <f>4.91*(I95^0.14-(1-I95)^0.14)</f>
        <v>0.16715058832373922</v>
      </c>
    </row>
    <row r="96" spans="1:10" x14ac:dyDescent="0.3">
      <c r="A96" s="9">
        <v>1.2239417345746E-2</v>
      </c>
      <c r="H96" s="9">
        <v>1.2239417345746E-2</v>
      </c>
      <c r="I96" s="2">
        <f>I95+1/15</f>
        <v>0.6333333333333333</v>
      </c>
      <c r="J96" s="2">
        <f>4.91*(I96^0.14-(1-I96)^0.14)</f>
        <v>0.33927638280750583</v>
      </c>
    </row>
    <row r="97" spans="1:10" x14ac:dyDescent="0.3">
      <c r="A97" s="9">
        <v>1.2258888530616E-2</v>
      </c>
      <c r="H97" s="9">
        <v>1.2247707031709E-2</v>
      </c>
      <c r="I97" s="2">
        <f>I96+1/15</f>
        <v>0.7</v>
      </c>
      <c r="J97" s="2">
        <f>4.91*(I97^0.14-(1-I97)^0.14)</f>
        <v>0.52246305252576009</v>
      </c>
    </row>
    <row r="98" spans="1:10" x14ac:dyDescent="0.3">
      <c r="A98" s="9">
        <v>1.2147929968125E-2</v>
      </c>
      <c r="H98" s="9">
        <v>1.2251901507794E-2</v>
      </c>
      <c r="I98" s="2">
        <f>I97+1/15</f>
        <v>0.76666666666666661</v>
      </c>
      <c r="J98" s="2">
        <f>4.91*(I98^0.14-(1-I98)^0.14)</f>
        <v>0.72575040815577163</v>
      </c>
    </row>
    <row r="99" spans="1:10" x14ac:dyDescent="0.3">
      <c r="A99" s="9">
        <v>1.2271052062260999E-2</v>
      </c>
      <c r="H99" s="9">
        <v>1.2258888530616E-2</v>
      </c>
      <c r="I99" s="2">
        <f>I98+1/15</f>
        <v>0.83333333333333326</v>
      </c>
      <c r="J99" s="2">
        <f>4.91*(I99^0.14-(1-I99)^0.14)</f>
        <v>0.96558119772402329</v>
      </c>
    </row>
    <row r="100" spans="1:10" x14ac:dyDescent="0.3">
      <c r="A100" s="9">
        <v>1.2138944333759999E-2</v>
      </c>
      <c r="H100" s="9">
        <v>1.2271052062260999E-2</v>
      </c>
      <c r="I100" s="2">
        <f>I99+1/15</f>
        <v>0.89999999999999991</v>
      </c>
      <c r="J100" s="2">
        <f>4.91*(I100^0.14-(1-I100)^0.14)</f>
        <v>1.2811261510381207</v>
      </c>
    </row>
    <row r="101" spans="1:10" x14ac:dyDescent="0.3">
      <c r="A101" s="9">
        <v>1.2097957420023E-2</v>
      </c>
      <c r="H101" s="9">
        <v>1.2295383183445001E-2</v>
      </c>
      <c r="I101" s="2">
        <f>I100+1/15</f>
        <v>0.96666666666666656</v>
      </c>
      <c r="J101" s="2">
        <f>4.91*(I101^0.14-(1-I101)^0.14)</f>
        <v>1.8368588976886859</v>
      </c>
    </row>
    <row r="102" spans="1:10" s="6" customFormat="1" ht="4.5" customHeight="1" x14ac:dyDescent="0.3">
      <c r="C102" s="7"/>
    </row>
    <row r="103" spans="1:10" x14ac:dyDescent="0.3">
      <c r="A103" s="1" t="s">
        <v>78</v>
      </c>
      <c r="C103" s="3" t="s">
        <v>1</v>
      </c>
      <c r="D103" s="1" t="s">
        <v>2</v>
      </c>
      <c r="E103" s="1" t="s">
        <v>3</v>
      </c>
      <c r="F103" s="1"/>
      <c r="H103" s="1" t="s">
        <v>4</v>
      </c>
      <c r="I103" s="1" t="s">
        <v>5</v>
      </c>
      <c r="J103" s="1" t="s">
        <v>6</v>
      </c>
    </row>
    <row r="104" spans="1:10" x14ac:dyDescent="0.3">
      <c r="A104" s="13">
        <v>2.2156904613354001E-2</v>
      </c>
      <c r="C104" s="5">
        <f>AVERAGE(A104:A118)</f>
        <v>2.2310859269481401E-2</v>
      </c>
      <c r="D104" s="2">
        <f>_xlfn.VAR.S(A104:A118)</f>
        <v>7.1301590945814718E-8</v>
      </c>
      <c r="E104" s="2">
        <f>SQRT(D104)/C104</f>
        <v>1.1968323330086262E-2</v>
      </c>
      <c r="H104" s="13">
        <v>2.1879699228863E-2</v>
      </c>
      <c r="I104" s="2">
        <f>1/15 - 0.5/15</f>
        <v>3.3333333333333333E-2</v>
      </c>
      <c r="J104" s="2">
        <f>4.91*(I104^0.14-(1-I104)^0.14)</f>
        <v>-1.836858897688687</v>
      </c>
    </row>
    <row r="105" spans="1:10" x14ac:dyDescent="0.3">
      <c r="A105" s="13">
        <v>2.2341867635022002E-2</v>
      </c>
      <c r="H105" s="13">
        <v>2.1886875562694998E-2</v>
      </c>
      <c r="I105" s="2">
        <f>I104+1/15</f>
        <v>0.1</v>
      </c>
      <c r="J105" s="2">
        <f>4.91*(I105^0.14-(1-I105)^0.14)</f>
        <v>-1.2811261510381207</v>
      </c>
    </row>
    <row r="106" spans="1:10" x14ac:dyDescent="0.3">
      <c r="A106" s="13">
        <v>2.1886875562694998E-2</v>
      </c>
      <c r="C106" s="3" t="s">
        <v>7</v>
      </c>
      <c r="E106" s="1" t="s">
        <v>8</v>
      </c>
      <c r="H106" s="13">
        <v>2.2028437458420001E-2</v>
      </c>
      <c r="I106" s="2">
        <f>I105+1/15</f>
        <v>0.16666666666666669</v>
      </c>
      <c r="J106" s="2">
        <f>4.91*(I106^0.14-(1-I106)^0.14)</f>
        <v>-0.96558119772402384</v>
      </c>
    </row>
    <row r="107" spans="1:10" x14ac:dyDescent="0.3">
      <c r="A107" s="13">
        <v>2.2028437458420001E-2</v>
      </c>
      <c r="C107" s="5">
        <f>MEDIAN(A104:A118)</f>
        <v>2.2296149360884001E-2</v>
      </c>
      <c r="E107" s="2">
        <v>2.145</v>
      </c>
      <c r="H107" s="13">
        <v>2.2074577824553E-2</v>
      </c>
      <c r="I107" s="2">
        <f>I106+1/15</f>
        <v>0.23333333333333334</v>
      </c>
      <c r="J107" s="2">
        <f>4.91*(I107^0.14-(1-I107)^0.14)</f>
        <v>-0.72575040815577163</v>
      </c>
    </row>
    <row r="108" spans="1:10" x14ac:dyDescent="0.3">
      <c r="A108" s="13">
        <v>2.2456499189911001E-2</v>
      </c>
      <c r="H108" s="13">
        <v>2.2156904613354001E-2</v>
      </c>
      <c r="I108" s="2">
        <f>I107+1/15</f>
        <v>0.3</v>
      </c>
      <c r="J108" s="2">
        <f>4.91*(I108^0.14-(1-I108)^0.14)</f>
        <v>-0.52246305252576009</v>
      </c>
    </row>
    <row r="109" spans="1:10" x14ac:dyDescent="0.3">
      <c r="A109" s="13">
        <v>2.1879699228863E-2</v>
      </c>
      <c r="C109" s="3"/>
      <c r="D109" s="1" t="s">
        <v>9</v>
      </c>
      <c r="H109" s="13">
        <v>2.2259272348683998E-2</v>
      </c>
      <c r="I109" s="2">
        <f>I108+1/15</f>
        <v>0.36666666666666664</v>
      </c>
      <c r="J109" s="2">
        <f>4.91*(I109^0.14-(1-I109)^0.14)</f>
        <v>-0.33927638280750583</v>
      </c>
    </row>
    <row r="110" spans="1:10" x14ac:dyDescent="0.3">
      <c r="A110" s="13">
        <v>2.2296149360884001E-2</v>
      </c>
      <c r="C110" s="3" t="s">
        <v>10</v>
      </c>
      <c r="D110" s="2">
        <f>C104+E107*SQRT(D104)/(SQRT(15))</f>
        <v>2.2458746704710916E-2</v>
      </c>
      <c r="H110" s="13">
        <v>2.2272762147162999E-2</v>
      </c>
      <c r="I110" s="2">
        <f>I109+1/15</f>
        <v>0.43333333333333329</v>
      </c>
      <c r="J110" s="2">
        <f>4.91*(I110^0.14-(1-I110)^0.14)</f>
        <v>-0.16715058832373922</v>
      </c>
    </row>
    <row r="111" spans="1:10" x14ac:dyDescent="0.3">
      <c r="A111" s="13">
        <v>2.2472103753749001E-2</v>
      </c>
      <c r="C111" s="3" t="s">
        <v>11</v>
      </c>
      <c r="D111" s="2">
        <f>C104-E107*SQRT(D104)/(SQRT(15))</f>
        <v>2.2162971834251886E-2</v>
      </c>
      <c r="H111" s="13">
        <v>2.2296149360884001E-2</v>
      </c>
      <c r="I111" s="2">
        <f>I110+1/15</f>
        <v>0.49999999999999994</v>
      </c>
      <c r="J111" s="2">
        <f>4.91*(I111^0.14-(1-I111)^0.14)</f>
        <v>0</v>
      </c>
    </row>
    <row r="112" spans="1:10" x14ac:dyDescent="0.3">
      <c r="A112" s="13">
        <v>2.2272762147162999E-2</v>
      </c>
      <c r="H112" s="13">
        <v>2.2341867635022002E-2</v>
      </c>
      <c r="I112" s="2">
        <f>I111+1/15</f>
        <v>0.56666666666666665</v>
      </c>
      <c r="J112" s="2">
        <f>4.91*(I112^0.14-(1-I112)^0.14)</f>
        <v>0.16715058832373922</v>
      </c>
    </row>
    <row r="113" spans="1:10" x14ac:dyDescent="0.3">
      <c r="A113" s="13">
        <v>2.2074577824553E-2</v>
      </c>
      <c r="H113" s="13">
        <v>2.2456499189911001E-2</v>
      </c>
      <c r="I113" s="2">
        <f>I112+1/15</f>
        <v>0.6333333333333333</v>
      </c>
      <c r="J113" s="2">
        <f>4.91*(I113^0.14-(1-I113)^0.14)</f>
        <v>0.33927638280750583</v>
      </c>
    </row>
    <row r="114" spans="1:10" x14ac:dyDescent="0.3">
      <c r="A114" s="13">
        <v>2.2606549979381999E-2</v>
      </c>
      <c r="H114" s="13">
        <v>2.2472103753749001E-2</v>
      </c>
      <c r="I114" s="2">
        <f>I113+1/15</f>
        <v>0.7</v>
      </c>
      <c r="J114" s="2">
        <f>4.91*(I114^0.14-(1-I114)^0.14)</f>
        <v>0.52246305252576009</v>
      </c>
    </row>
    <row r="115" spans="1:10" x14ac:dyDescent="0.3">
      <c r="A115" s="13">
        <v>2.2661256572908E-2</v>
      </c>
      <c r="H115" s="13">
        <v>2.2606549979381999E-2</v>
      </c>
      <c r="I115" s="2">
        <f>I114+1/15</f>
        <v>0.76666666666666661</v>
      </c>
      <c r="J115" s="2">
        <f>4.91*(I115^0.14-(1-I115)^0.14)</f>
        <v>0.72575040815577163</v>
      </c>
    </row>
    <row r="116" spans="1:10" x14ac:dyDescent="0.3">
      <c r="A116" s="13">
        <v>2.2259272348683998E-2</v>
      </c>
      <c r="H116" s="13">
        <v>2.2619730159845999E-2</v>
      </c>
      <c r="I116" s="2">
        <f>I115+1/15</f>
        <v>0.83333333333333326</v>
      </c>
      <c r="J116" s="2">
        <f>4.91*(I116^0.14-(1-I116)^0.14)</f>
        <v>0.96558119772402329</v>
      </c>
    </row>
    <row r="117" spans="1:10" x14ac:dyDescent="0.3">
      <c r="A117" s="13">
        <v>2.2650203206787001E-2</v>
      </c>
      <c r="H117" s="13">
        <v>2.2650203206787001E-2</v>
      </c>
      <c r="I117" s="2">
        <f>I116+1/15</f>
        <v>0.89999999999999991</v>
      </c>
      <c r="J117" s="2">
        <f>4.91*(I117^0.14-(1-I117)^0.14)</f>
        <v>1.2811261510381207</v>
      </c>
    </row>
    <row r="118" spans="1:10" x14ac:dyDescent="0.3">
      <c r="A118" s="13">
        <v>2.2619730159845999E-2</v>
      </c>
      <c r="H118" s="13">
        <v>2.2661256572908E-2</v>
      </c>
      <c r="I118" s="2">
        <f>I117+1/15</f>
        <v>0.96666666666666656</v>
      </c>
      <c r="J118" s="2">
        <f>4.91*(I118^0.14-(1-I118)^0.14)</f>
        <v>1.8368588976886859</v>
      </c>
    </row>
    <row r="119" spans="1:10" s="6" customFormat="1" ht="3.75" customHeight="1" x14ac:dyDescent="0.3">
      <c r="C119" s="7"/>
    </row>
    <row r="120" spans="1:10" x14ac:dyDescent="0.3">
      <c r="A120" s="1" t="s">
        <v>79</v>
      </c>
      <c r="C120" s="3" t="s">
        <v>1</v>
      </c>
      <c r="D120" s="1" t="s">
        <v>2</v>
      </c>
      <c r="E120" s="1" t="s">
        <v>3</v>
      </c>
      <c r="F120" s="1"/>
      <c r="H120" s="1" t="s">
        <v>4</v>
      </c>
      <c r="I120" s="1" t="s">
        <v>5</v>
      </c>
      <c r="J120" s="1" t="s">
        <v>6</v>
      </c>
    </row>
    <row r="121" spans="1:10" x14ac:dyDescent="0.3">
      <c r="A121" s="13">
        <v>3.2599996440944003E-2</v>
      </c>
      <c r="C121" s="5">
        <f>AVERAGE(A121:A135)</f>
        <v>3.3707949319447129E-2</v>
      </c>
      <c r="D121" s="2">
        <f>_xlfn.VAR.S(A121:A135)</f>
        <v>4.1717828655215061E-7</v>
      </c>
      <c r="E121" s="2">
        <f>SQRT(D121)/C121</f>
        <v>1.9161456418721509E-2</v>
      </c>
      <c r="H121" s="13">
        <v>3.2599996440944003E-2</v>
      </c>
      <c r="I121" s="2">
        <f>1/15 - 0.5/15</f>
        <v>3.3333333333333333E-2</v>
      </c>
      <c r="J121" s="2">
        <f>4.91*(I121^0.14-(1-I121)^0.14)</f>
        <v>-1.836858897688687</v>
      </c>
    </row>
    <row r="122" spans="1:10" x14ac:dyDescent="0.3">
      <c r="A122" s="13">
        <v>3.3610606325715997E-2</v>
      </c>
      <c r="H122" s="13">
        <v>3.2720510555415E-2</v>
      </c>
      <c r="I122" s="2">
        <f>I121+1/15</f>
        <v>0.1</v>
      </c>
      <c r="J122" s="2">
        <f>4.91*(I122^0.14-(1-I122)^0.14)</f>
        <v>-1.2811261510381207</v>
      </c>
    </row>
    <row r="123" spans="1:10" x14ac:dyDescent="0.3">
      <c r="A123" s="13">
        <v>3.3526410387224002E-2</v>
      </c>
      <c r="C123" s="3" t="s">
        <v>7</v>
      </c>
      <c r="E123" s="1" t="s">
        <v>8</v>
      </c>
      <c r="H123" s="13">
        <v>3.2957623109732999E-2</v>
      </c>
      <c r="I123" s="2">
        <f>I122+1/15</f>
        <v>0.16666666666666669</v>
      </c>
      <c r="J123" s="2">
        <f>4.91*(I123^0.14-(1-I123)^0.14)</f>
        <v>-0.96558119772402384</v>
      </c>
    </row>
    <row r="124" spans="1:10" x14ac:dyDescent="0.3">
      <c r="A124" s="13">
        <v>3.3456766362532003E-2</v>
      </c>
      <c r="C124" s="5">
        <f>MEDIAN(A121:A135)</f>
        <v>3.3740679157824999E-2</v>
      </c>
      <c r="E124" s="2">
        <v>2.145</v>
      </c>
      <c r="H124" s="13">
        <v>3.3411820641434997E-2</v>
      </c>
      <c r="I124" s="2">
        <f>I123+1/15</f>
        <v>0.23333333333333334</v>
      </c>
      <c r="J124" s="2">
        <f>4.91*(I124^0.14-(1-I124)^0.14)</f>
        <v>-0.72575040815577163</v>
      </c>
    </row>
    <row r="125" spans="1:10" x14ac:dyDescent="0.3">
      <c r="A125" s="13">
        <v>3.2720510555415E-2</v>
      </c>
      <c r="H125" s="13">
        <v>3.3456766362532003E-2</v>
      </c>
      <c r="I125" s="2">
        <f>I124+1/15</f>
        <v>0.3</v>
      </c>
      <c r="J125" s="2">
        <f>4.91*(I125^0.14-(1-I125)^0.14)</f>
        <v>-0.52246305252576009</v>
      </c>
    </row>
    <row r="126" spans="1:10" x14ac:dyDescent="0.3">
      <c r="A126" s="13">
        <v>3.3785711609510001E-2</v>
      </c>
      <c r="C126" s="3"/>
      <c r="D126" s="1" t="s">
        <v>9</v>
      </c>
      <c r="H126" s="13">
        <v>3.3526410387224002E-2</v>
      </c>
      <c r="I126" s="2">
        <f>I125+1/15</f>
        <v>0.36666666666666664</v>
      </c>
      <c r="J126" s="2">
        <f>4.91*(I126^0.14-(1-I126)^0.14)</f>
        <v>-0.33927638280750583</v>
      </c>
    </row>
    <row r="127" spans="1:10" x14ac:dyDescent="0.3">
      <c r="A127" s="13">
        <v>3.4170245638984E-2</v>
      </c>
      <c r="C127" s="3" t="s">
        <v>10</v>
      </c>
      <c r="D127" s="2">
        <f>C121+E124*SQRT(D121)/(SQRT(15))</f>
        <v>3.4065668737043621E-2</v>
      </c>
      <c r="H127" s="13">
        <v>3.3610606325715997E-2</v>
      </c>
      <c r="I127" s="2">
        <f>I126+1/15</f>
        <v>0.43333333333333329</v>
      </c>
      <c r="J127" s="2">
        <f>4.91*(I127^0.14-(1-I127)^0.14)</f>
        <v>-0.16715058832373922</v>
      </c>
    </row>
    <row r="128" spans="1:10" x14ac:dyDescent="0.3">
      <c r="A128" s="13">
        <v>3.3411820641434997E-2</v>
      </c>
      <c r="C128" s="3" t="s">
        <v>11</v>
      </c>
      <c r="D128" s="2">
        <f>C121-E124*SQRT(D121)/(SQRT(15))</f>
        <v>3.3350229901850638E-2</v>
      </c>
      <c r="H128" s="13">
        <v>3.3740679157824999E-2</v>
      </c>
      <c r="I128" s="2">
        <f>I127+1/15</f>
        <v>0.49999999999999994</v>
      </c>
      <c r="J128" s="2">
        <f>4.91*(I128^0.14-(1-I128)^0.14)</f>
        <v>0</v>
      </c>
    </row>
    <row r="129" spans="1:10" x14ac:dyDescent="0.3">
      <c r="A129" s="13">
        <v>3.3740679157824999E-2</v>
      </c>
      <c r="H129" s="13">
        <v>3.3785711609510001E-2</v>
      </c>
      <c r="I129" s="2">
        <f>I128+1/15</f>
        <v>0.56666666666666665</v>
      </c>
      <c r="J129" s="2">
        <f>4.91*(I129^0.14-(1-I129)^0.14)</f>
        <v>0.16715058832373922</v>
      </c>
    </row>
    <row r="130" spans="1:10" x14ac:dyDescent="0.3">
      <c r="A130" s="13">
        <v>3.4106726239019003E-2</v>
      </c>
      <c r="H130" s="13">
        <v>3.4022742722326998E-2</v>
      </c>
      <c r="I130" s="2">
        <f>I129+1/15</f>
        <v>0.6333333333333333</v>
      </c>
      <c r="J130" s="2">
        <f>4.91*(I130^0.14-(1-I130)^0.14)</f>
        <v>0.33927638280750583</v>
      </c>
    </row>
    <row r="131" spans="1:10" x14ac:dyDescent="0.3">
      <c r="A131" s="13">
        <v>3.4209885902953999E-2</v>
      </c>
      <c r="H131" s="13">
        <v>3.4106726239019003E-2</v>
      </c>
      <c r="I131" s="2">
        <f>I130+1/15</f>
        <v>0.7</v>
      </c>
      <c r="J131" s="2">
        <f>4.91*(I131^0.14-(1-I131)^0.14)</f>
        <v>0.52246305252576009</v>
      </c>
    </row>
    <row r="132" spans="1:10" x14ac:dyDescent="0.3">
      <c r="A132" s="13">
        <v>3.2957623109732999E-2</v>
      </c>
      <c r="H132" s="13">
        <v>3.4170245638984E-2</v>
      </c>
      <c r="I132" s="2">
        <f>I131+1/15</f>
        <v>0.76666666666666661</v>
      </c>
      <c r="J132" s="2">
        <f>4.91*(I132^0.14-(1-I132)^0.14)</f>
        <v>0.72575040815577163</v>
      </c>
    </row>
    <row r="133" spans="1:10" x14ac:dyDescent="0.3">
      <c r="A133" s="13">
        <v>3.4215709253426999E-2</v>
      </c>
      <c r="H133" s="13">
        <v>3.4209885902953999E-2</v>
      </c>
      <c r="I133" s="2">
        <f>I132+1/15</f>
        <v>0.83333333333333326</v>
      </c>
      <c r="J133" s="2">
        <f>4.91*(I133^0.14-(1-I133)^0.14)</f>
        <v>0.96558119772402329</v>
      </c>
    </row>
    <row r="134" spans="1:10" x14ac:dyDescent="0.3">
      <c r="A134" s="13">
        <v>3.4022742722326998E-2</v>
      </c>
      <c r="H134" s="13">
        <v>3.4215709253426999E-2</v>
      </c>
      <c r="I134" s="2">
        <f>I133+1/15</f>
        <v>0.89999999999999991</v>
      </c>
      <c r="J134" s="2">
        <f>4.91*(I134^0.14-(1-I134)^0.14)</f>
        <v>1.2811261510381207</v>
      </c>
    </row>
    <row r="135" spans="1:10" x14ac:dyDescent="0.3">
      <c r="A135" s="13">
        <v>3.5083805444661997E-2</v>
      </c>
      <c r="H135" s="13">
        <v>3.5083805444661997E-2</v>
      </c>
      <c r="I135" s="2">
        <f>I134+1/15</f>
        <v>0.96666666666666656</v>
      </c>
      <c r="J135" s="2">
        <f>4.91*(I135^0.14-(1-I135)^0.14)</f>
        <v>1.8368588976886859</v>
      </c>
    </row>
    <row r="136" spans="1:10" s="6" customFormat="1" ht="4.5" customHeight="1" x14ac:dyDescent="0.3">
      <c r="C136" s="7"/>
    </row>
    <row r="137" spans="1:10" x14ac:dyDescent="0.3">
      <c r="A137" s="1" t="s">
        <v>80</v>
      </c>
      <c r="C137" s="3" t="s">
        <v>1</v>
      </c>
      <c r="D137" s="1" t="s">
        <v>2</v>
      </c>
      <c r="E137" s="1" t="s">
        <v>3</v>
      </c>
      <c r="F137" s="1"/>
      <c r="H137" s="1" t="s">
        <v>4</v>
      </c>
      <c r="I137" s="1" t="s">
        <v>5</v>
      </c>
      <c r="J137" s="1" t="s">
        <v>6</v>
      </c>
    </row>
    <row r="138" spans="1:10" x14ac:dyDescent="0.3">
      <c r="A138" s="13">
        <v>9.0977080206105006E-3</v>
      </c>
      <c r="C138" s="5">
        <f>AVERAGE(A138:A152)</f>
        <v>9.1218614569602927E-3</v>
      </c>
      <c r="D138" s="2">
        <f>_xlfn.VAR.S(A138:A152)</f>
        <v>7.2798994400060736E-10</v>
      </c>
      <c r="E138" s="2">
        <f>SQRT(D138)/C138</f>
        <v>2.9578709239401961E-3</v>
      </c>
      <c r="H138" s="13">
        <v>9.0550539326126993E-3</v>
      </c>
      <c r="I138" s="2">
        <f>1/15 - 0.5/15</f>
        <v>3.3333333333333333E-2</v>
      </c>
      <c r="J138" s="2">
        <f>4.91*(I138^0.14-(1-I138)^0.14)</f>
        <v>-1.836858897688687</v>
      </c>
    </row>
    <row r="139" spans="1:10" x14ac:dyDescent="0.3">
      <c r="A139" s="13">
        <v>9.1288011662624003E-3</v>
      </c>
      <c r="H139" s="13">
        <v>9.0977080206105006E-3</v>
      </c>
      <c r="I139" s="2">
        <f>I138+1/15</f>
        <v>0.1</v>
      </c>
      <c r="J139" s="2">
        <f>4.91*(I139^0.14-(1-I139)^0.14)</f>
        <v>-1.2811261510381207</v>
      </c>
    </row>
    <row r="140" spans="1:10" x14ac:dyDescent="0.3">
      <c r="A140" s="13">
        <v>9.1182686464572997E-3</v>
      </c>
      <c r="C140" s="3" t="s">
        <v>7</v>
      </c>
      <c r="E140" s="1" t="s">
        <v>8</v>
      </c>
      <c r="H140" s="13">
        <v>9.1028968319480999E-3</v>
      </c>
      <c r="I140" s="2">
        <f>I139+1/15</f>
        <v>0.16666666666666669</v>
      </c>
      <c r="J140" s="2">
        <f>4.91*(I140^0.14-(1-I140)^0.14)</f>
        <v>-0.96558119772402384</v>
      </c>
    </row>
    <row r="141" spans="1:10" x14ac:dyDescent="0.3">
      <c r="A141" s="13">
        <v>9.1445252234399008E-3</v>
      </c>
      <c r="C141" s="5">
        <f>MEDIAN(A138:A152)</f>
        <v>9.1225809455513993E-3</v>
      </c>
      <c r="E141" s="2">
        <v>2.145</v>
      </c>
      <c r="H141" s="13">
        <v>9.1046320482448002E-3</v>
      </c>
      <c r="I141" s="2">
        <f>I140+1/15</f>
        <v>0.23333333333333334</v>
      </c>
      <c r="J141" s="2">
        <f>4.91*(I141^0.14-(1-I141)^0.14)</f>
        <v>-0.72575040815577163</v>
      </c>
    </row>
    <row r="142" spans="1:10" x14ac:dyDescent="0.3">
      <c r="A142" s="13">
        <v>9.1107579170644996E-3</v>
      </c>
      <c r="H142" s="13">
        <v>9.1107579170644996E-3</v>
      </c>
      <c r="I142" s="2">
        <f>I141+1/15</f>
        <v>0.3</v>
      </c>
      <c r="J142" s="2">
        <f>4.91*(I142^0.14-(1-I142)^0.14)</f>
        <v>-0.52246305252576009</v>
      </c>
    </row>
    <row r="143" spans="1:10" x14ac:dyDescent="0.3">
      <c r="A143" s="13">
        <v>9.1524166049588001E-3</v>
      </c>
      <c r="C143" s="3"/>
      <c r="D143" s="1" t="s">
        <v>9</v>
      </c>
      <c r="H143" s="13">
        <v>9.1160563486025002E-3</v>
      </c>
      <c r="I143" s="2">
        <f>I142+1/15</f>
        <v>0.36666666666666664</v>
      </c>
      <c r="J143" s="2">
        <f>4.91*(I143^0.14-(1-I143)^0.14)</f>
        <v>-0.33927638280750583</v>
      </c>
    </row>
    <row r="144" spans="1:10" x14ac:dyDescent="0.3">
      <c r="A144" s="13">
        <v>9.1028968319480999E-3</v>
      </c>
      <c r="C144" s="3" t="s">
        <v>10</v>
      </c>
      <c r="D144" s="2">
        <f>C138+E141*SQRT(D138)/(SQRT(15))</f>
        <v>9.1368046826988351E-3</v>
      </c>
      <c r="H144" s="13">
        <v>9.1182686464572997E-3</v>
      </c>
      <c r="I144" s="2">
        <f>I143+1/15</f>
        <v>0.43333333333333329</v>
      </c>
      <c r="J144" s="2">
        <f>4.91*(I144^0.14-(1-I144)^0.14)</f>
        <v>-0.16715058832373922</v>
      </c>
    </row>
    <row r="145" spans="1:10" x14ac:dyDescent="0.3">
      <c r="A145" s="13">
        <v>9.0550539326126993E-3</v>
      </c>
      <c r="C145" s="3" t="s">
        <v>11</v>
      </c>
      <c r="D145" s="2">
        <f>C138-E141*SQRT(D138)/(SQRT(15))</f>
        <v>9.1069182312217504E-3</v>
      </c>
      <c r="H145" s="13">
        <v>9.1225809455513993E-3</v>
      </c>
      <c r="I145" s="2">
        <f>I144+1/15</f>
        <v>0.49999999999999994</v>
      </c>
      <c r="J145" s="2">
        <f>4.91*(I145^0.14-(1-I145)^0.14)</f>
        <v>0</v>
      </c>
    </row>
    <row r="146" spans="1:10" x14ac:dyDescent="0.3">
      <c r="A146" s="13">
        <v>9.1227370253381002E-3</v>
      </c>
      <c r="H146" s="13">
        <v>9.1227370253381002E-3</v>
      </c>
      <c r="I146" s="2">
        <f>I145+1/15</f>
        <v>0.56666666666666665</v>
      </c>
      <c r="J146" s="2">
        <f>4.91*(I146^0.14-(1-I146)^0.14)</f>
        <v>0.16715058832373922</v>
      </c>
    </row>
    <row r="147" spans="1:10" x14ac:dyDescent="0.3">
      <c r="A147" s="13">
        <v>9.1160563486025002E-3</v>
      </c>
      <c r="H147" s="13">
        <v>9.1288011662624003E-3</v>
      </c>
      <c r="I147" s="2">
        <f>I146+1/15</f>
        <v>0.6333333333333333</v>
      </c>
      <c r="J147" s="2">
        <f>4.91*(I147^0.14-(1-I147)^0.14)</f>
        <v>0.33927638280750583</v>
      </c>
    </row>
    <row r="148" spans="1:10" x14ac:dyDescent="0.3">
      <c r="A148" s="13">
        <v>9.1493700618115997E-3</v>
      </c>
      <c r="H148" s="13">
        <v>9.1376337549042997E-3</v>
      </c>
      <c r="I148" s="2">
        <f>I147+1/15</f>
        <v>0.7</v>
      </c>
      <c r="J148" s="2">
        <f>4.91*(I148^0.14-(1-I148)^0.14)</f>
        <v>0.52246305252576009</v>
      </c>
    </row>
    <row r="149" spans="1:10" x14ac:dyDescent="0.3">
      <c r="A149" s="13">
        <v>9.1376337549042997E-3</v>
      </c>
      <c r="H149" s="13">
        <v>9.1445252234399008E-3</v>
      </c>
      <c r="I149" s="2">
        <f>I148+1/15</f>
        <v>0.76666666666666661</v>
      </c>
      <c r="J149" s="2">
        <f>4.91*(I149^0.14-(1-I149)^0.14)</f>
        <v>0.72575040815577163</v>
      </c>
    </row>
    <row r="150" spans="1:10" x14ac:dyDescent="0.3">
      <c r="A150" s="13">
        <v>9.1046320482448002E-3</v>
      </c>
      <c r="H150" s="13">
        <v>9.1493700618115997E-3</v>
      </c>
      <c r="I150" s="2">
        <f>I149+1/15</f>
        <v>0.83333333333333326</v>
      </c>
      <c r="J150" s="2">
        <f>4.91*(I150^0.14-(1-I150)^0.14)</f>
        <v>0.96558119772402329</v>
      </c>
    </row>
    <row r="151" spans="1:10" x14ac:dyDescent="0.3">
      <c r="A151" s="13">
        <v>9.1644833265975001E-3</v>
      </c>
      <c r="H151" s="13">
        <v>9.1524166049588001E-3</v>
      </c>
      <c r="I151" s="2">
        <f>I150+1/15</f>
        <v>0.89999999999999991</v>
      </c>
      <c r="J151" s="2">
        <f>4.91*(I151^0.14-(1-I151)^0.14)</f>
        <v>1.2811261510381207</v>
      </c>
    </row>
    <row r="152" spans="1:10" x14ac:dyDescent="0.3">
      <c r="A152" s="13">
        <v>9.1225809455513993E-3</v>
      </c>
      <c r="H152" s="13">
        <v>9.1644833265975001E-3</v>
      </c>
      <c r="I152" s="2">
        <f>I151+1/15</f>
        <v>0.96666666666666656</v>
      </c>
      <c r="J152" s="2">
        <f>4.91*(I152^0.14-(1-I152)^0.14)</f>
        <v>1.8368588976886859</v>
      </c>
    </row>
    <row r="153" spans="1:10" s="6" customFormat="1" ht="5.4" customHeight="1" x14ac:dyDescent="0.3">
      <c r="C153" s="7"/>
    </row>
    <row r="154" spans="1:10" ht="13.95" customHeight="1" x14ac:dyDescent="0.3">
      <c r="A154" s="1" t="s">
        <v>81</v>
      </c>
      <c r="C154" s="3" t="s">
        <v>1</v>
      </c>
      <c r="D154" s="1" t="s">
        <v>2</v>
      </c>
      <c r="E154" s="1" t="s">
        <v>3</v>
      </c>
      <c r="F154" s="1"/>
      <c r="H154" s="1" t="s">
        <v>4</v>
      </c>
      <c r="I154" s="1" t="s">
        <v>5</v>
      </c>
      <c r="J154" s="1" t="s">
        <v>6</v>
      </c>
    </row>
    <row r="155" spans="1:10" ht="15.6" customHeight="1" x14ac:dyDescent="0.3">
      <c r="A155" s="13">
        <v>1.1274002514161999E-2</v>
      </c>
      <c r="C155" s="5">
        <f>AVERAGE(A155:A169)</f>
        <v>1.1281687232157602E-2</v>
      </c>
      <c r="D155" s="2">
        <f>_xlfn.VAR.S(A155:A169)</f>
        <v>2.5496930519541867E-9</v>
      </c>
      <c r="E155" s="2">
        <f>SQRT(D155)/C155</f>
        <v>4.4757919912795201E-3</v>
      </c>
      <c r="H155" s="13">
        <v>1.1166876536318E-2</v>
      </c>
      <c r="I155" s="2">
        <f>1/15 - 0.5/15</f>
        <v>3.3333333333333333E-2</v>
      </c>
      <c r="J155" s="2">
        <f>4.91*(I155^0.14-(1-I155)^0.14)</f>
        <v>-1.836858897688687</v>
      </c>
    </row>
    <row r="156" spans="1:10" ht="16.95" customHeight="1" x14ac:dyDescent="0.3">
      <c r="A156" s="13">
        <v>1.1315046703204001E-2</v>
      </c>
      <c r="H156" s="13">
        <v>1.1234930659498E-2</v>
      </c>
      <c r="I156" s="2">
        <f>I155+1/15</f>
        <v>0.1</v>
      </c>
      <c r="J156" s="2">
        <f>4.91*(I156^0.14-(1-I156)^0.14)</f>
        <v>-1.2811261510381207</v>
      </c>
    </row>
    <row r="157" spans="1:10" ht="15.6" customHeight="1" x14ac:dyDescent="0.3">
      <c r="A157" s="13">
        <v>1.1347434048896999E-2</v>
      </c>
      <c r="C157" s="3" t="s">
        <v>7</v>
      </c>
      <c r="E157" s="1" t="s">
        <v>8</v>
      </c>
      <c r="H157" s="13">
        <v>1.1239426829704999E-2</v>
      </c>
      <c r="I157" s="2">
        <f>I156+1/15</f>
        <v>0.16666666666666669</v>
      </c>
      <c r="J157" s="2">
        <f>4.91*(I157^0.14-(1-I157)^0.14)</f>
        <v>-0.96558119772402384</v>
      </c>
    </row>
    <row r="158" spans="1:10" ht="15" customHeight="1" x14ac:dyDescent="0.3">
      <c r="A158" s="13">
        <v>1.1239426829704999E-2</v>
      </c>
      <c r="C158" s="5">
        <f>MEDIAN(A155:A169)</f>
        <v>1.1274002514161999E-2</v>
      </c>
      <c r="E158" s="2">
        <v>2.145</v>
      </c>
      <c r="H158" s="13">
        <v>1.1254517617297E-2</v>
      </c>
      <c r="I158" s="2">
        <f>I157+1/15</f>
        <v>0.23333333333333334</v>
      </c>
      <c r="J158" s="2">
        <f>4.91*(I158^0.14-(1-I158)^0.14)</f>
        <v>-0.72575040815577163</v>
      </c>
    </row>
    <row r="159" spans="1:10" ht="15" customHeight="1" x14ac:dyDescent="0.3">
      <c r="A159" s="13">
        <v>1.1234930659498E-2</v>
      </c>
      <c r="H159" s="13">
        <v>1.1254928387586001E-2</v>
      </c>
      <c r="I159" s="2">
        <f>I158+1/15</f>
        <v>0.3</v>
      </c>
      <c r="J159" s="2">
        <f>4.91*(I159^0.14-(1-I159)^0.14)</f>
        <v>-0.52246305252576009</v>
      </c>
    </row>
    <row r="160" spans="1:10" ht="15.6" customHeight="1" x14ac:dyDescent="0.3">
      <c r="A160" s="13">
        <v>1.1329506251412E-2</v>
      </c>
      <c r="C160" s="3"/>
      <c r="D160" s="1" t="s">
        <v>9</v>
      </c>
      <c r="H160" s="13">
        <v>1.1264641480100999E-2</v>
      </c>
      <c r="I160" s="2">
        <f>I159+1/15</f>
        <v>0.36666666666666664</v>
      </c>
      <c r="J160" s="2">
        <f>4.91*(I160^0.14-(1-I160)^0.14)</f>
        <v>-0.33927638280750583</v>
      </c>
    </row>
    <row r="161" spans="1:10" ht="16.95" customHeight="1" x14ac:dyDescent="0.3">
      <c r="A161" s="13">
        <v>1.1254517617297E-2</v>
      </c>
      <c r="C161" s="3" t="s">
        <v>10</v>
      </c>
      <c r="D161" s="2">
        <f>C155+E158*SQRT(D155)/(SQRT(15))</f>
        <v>1.1309652927183673E-2</v>
      </c>
      <c r="H161" s="13">
        <v>1.126880099696E-2</v>
      </c>
      <c r="I161" s="2">
        <f>I160+1/15</f>
        <v>0.43333333333333329</v>
      </c>
      <c r="J161" s="2">
        <f>4.91*(I161^0.14-(1-I161)^0.14)</f>
        <v>-0.16715058832373922</v>
      </c>
    </row>
    <row r="162" spans="1:10" ht="16.2" customHeight="1" x14ac:dyDescent="0.3">
      <c r="A162" s="13">
        <v>1.1166876536318E-2</v>
      </c>
      <c r="C162" s="3" t="s">
        <v>11</v>
      </c>
      <c r="D162" s="2">
        <f>C155-E158*SQRT(D155)/(SQRT(15))</f>
        <v>1.1253721537131531E-2</v>
      </c>
      <c r="H162" s="13">
        <v>1.1274002514161999E-2</v>
      </c>
      <c r="I162" s="2">
        <f>I161+1/15</f>
        <v>0.49999999999999994</v>
      </c>
      <c r="J162" s="2">
        <f>4.91*(I162^0.14-(1-I162)^0.14)</f>
        <v>0</v>
      </c>
    </row>
    <row r="163" spans="1:10" ht="14.25" customHeight="1" x14ac:dyDescent="0.3">
      <c r="A163" s="13">
        <v>1.1316548221092E-2</v>
      </c>
      <c r="H163" s="13">
        <v>1.1285936838964001E-2</v>
      </c>
      <c r="I163" s="2">
        <f>I162+1/15</f>
        <v>0.56666666666666665</v>
      </c>
      <c r="J163" s="2">
        <f>4.91*(I163^0.14-(1-I163)^0.14)</f>
        <v>0.16715058832373922</v>
      </c>
    </row>
    <row r="164" spans="1:10" ht="16.5" customHeight="1" x14ac:dyDescent="0.3">
      <c r="A164" s="13">
        <v>1.1254928387586001E-2</v>
      </c>
      <c r="H164" s="13">
        <v>1.1307725209352E-2</v>
      </c>
      <c r="I164" s="2">
        <f>I163+1/15</f>
        <v>0.6333333333333333</v>
      </c>
      <c r="J164" s="2">
        <f>4.91*(I164^0.14-(1-I164)^0.14)</f>
        <v>0.33927638280750583</v>
      </c>
    </row>
    <row r="165" spans="1:10" ht="12.6" customHeight="1" x14ac:dyDescent="0.3">
      <c r="A165" s="13">
        <v>1.1285936838964001E-2</v>
      </c>
      <c r="H165" s="13">
        <v>1.1315046703204001E-2</v>
      </c>
      <c r="I165" s="2">
        <f>I164+1/15</f>
        <v>0.7</v>
      </c>
      <c r="J165" s="2">
        <f>4.91*(I165^0.14-(1-I165)^0.14)</f>
        <v>0.52246305252576009</v>
      </c>
    </row>
    <row r="166" spans="1:10" ht="13.95" customHeight="1" x14ac:dyDescent="0.3">
      <c r="A166" s="13">
        <v>1.126880099696E-2</v>
      </c>
      <c r="H166" s="13">
        <v>1.1316548221092E-2</v>
      </c>
      <c r="I166" s="2">
        <f>I165+1/15</f>
        <v>0.76666666666666661</v>
      </c>
      <c r="J166" s="2">
        <f>4.91*(I166^0.14-(1-I166)^0.14)</f>
        <v>0.72575040815577163</v>
      </c>
    </row>
    <row r="167" spans="1:10" ht="18" customHeight="1" x14ac:dyDescent="0.3">
      <c r="A167" s="13">
        <v>1.1364986187815999E-2</v>
      </c>
      <c r="H167" s="13">
        <v>1.1329506251412E-2</v>
      </c>
      <c r="I167" s="2">
        <f>I166+1/15</f>
        <v>0.83333333333333326</v>
      </c>
      <c r="J167" s="2">
        <f>4.91*(I167^0.14-(1-I167)^0.14)</f>
        <v>0.96558119772402329</v>
      </c>
    </row>
    <row r="168" spans="1:10" ht="17.399999999999999" customHeight="1" x14ac:dyDescent="0.3">
      <c r="A168" s="13">
        <v>1.1307725209352E-2</v>
      </c>
      <c r="H168" s="13">
        <v>1.1347434048896999E-2</v>
      </c>
      <c r="I168" s="2">
        <f>I167+1/15</f>
        <v>0.89999999999999991</v>
      </c>
      <c r="J168" s="2">
        <f>4.91*(I168^0.14-(1-I168)^0.14)</f>
        <v>1.2811261510381207</v>
      </c>
    </row>
    <row r="169" spans="1:10" ht="15.6" customHeight="1" x14ac:dyDescent="0.3">
      <c r="A169" s="13">
        <v>1.1264641480100999E-2</v>
      </c>
      <c r="H169" s="13">
        <v>1.1364986187815999E-2</v>
      </c>
      <c r="I169" s="2">
        <f>I168+1/15</f>
        <v>0.96666666666666656</v>
      </c>
      <c r="J169" s="2">
        <f>4.91*(I169^0.14-(1-I169)^0.14)</f>
        <v>1.8368588976886859</v>
      </c>
    </row>
    <row r="170" spans="1:10" s="6" customFormat="1" ht="3.6" customHeight="1" x14ac:dyDescent="0.3">
      <c r="C170" s="7"/>
    </row>
    <row r="171" spans="1:10" ht="15.6" customHeight="1" x14ac:dyDescent="0.3">
      <c r="A171" s="1" t="s">
        <v>82</v>
      </c>
      <c r="C171" s="3" t="s">
        <v>1</v>
      </c>
      <c r="D171" s="1" t="s">
        <v>2</v>
      </c>
      <c r="E171" s="1" t="s">
        <v>3</v>
      </c>
      <c r="F171" s="1"/>
      <c r="H171" s="1" t="s">
        <v>4</v>
      </c>
      <c r="I171" s="1" t="s">
        <v>5</v>
      </c>
      <c r="J171" s="1" t="s">
        <v>6</v>
      </c>
    </row>
    <row r="172" spans="1:10" ht="15.6" customHeight="1" x14ac:dyDescent="0.3">
      <c r="A172" s="13">
        <v>1.8059909793896E-2</v>
      </c>
      <c r="C172" s="5">
        <f>AVERAGE(A172:A186)</f>
        <v>1.7994016058381263E-2</v>
      </c>
      <c r="D172" s="2">
        <f>_xlfn.VAR.S(A172:A186)</f>
        <v>1.5480623129493011E-8</v>
      </c>
      <c r="E172" s="2">
        <f>SQRT(D172)/C172</f>
        <v>6.9145849295377667E-3</v>
      </c>
      <c r="H172" s="13">
        <v>1.7687344656093999E-2</v>
      </c>
      <c r="I172" s="2">
        <f>1/15 - 0.5/15</f>
        <v>3.3333333333333333E-2</v>
      </c>
      <c r="J172" s="2">
        <f>4.91*(I172^0.14-(1-I172)^0.14)</f>
        <v>-1.836858897688687</v>
      </c>
    </row>
    <row r="173" spans="1:10" ht="15.6" customHeight="1" x14ac:dyDescent="0.3">
      <c r="A173" s="13">
        <v>1.7687344656093999E-2</v>
      </c>
      <c r="H173" s="13">
        <v>1.7899208993029998E-2</v>
      </c>
      <c r="I173" s="2">
        <f>I172+1/15</f>
        <v>0.1</v>
      </c>
      <c r="J173" s="2">
        <f>4.91*(I173^0.14-(1-I173)^0.14)</f>
        <v>-1.2811261510381207</v>
      </c>
    </row>
    <row r="174" spans="1:10" ht="15.6" customHeight="1" x14ac:dyDescent="0.3">
      <c r="A174" s="13">
        <v>1.8040204088123998E-2</v>
      </c>
      <c r="C174" s="3" t="s">
        <v>7</v>
      </c>
      <c r="E174" s="1" t="s">
        <v>8</v>
      </c>
      <c r="H174" s="13">
        <v>1.7906733102269E-2</v>
      </c>
      <c r="I174" s="2">
        <f>I173+1/15</f>
        <v>0.16666666666666669</v>
      </c>
      <c r="J174" s="2">
        <f>4.91*(I174^0.14-(1-I174)^0.14)</f>
        <v>-0.96558119772402384</v>
      </c>
    </row>
    <row r="175" spans="1:10" ht="15.6" customHeight="1" x14ac:dyDescent="0.3">
      <c r="A175" s="13">
        <v>1.8111160579685998E-2</v>
      </c>
      <c r="C175" s="5">
        <f>MEDIAN(A172:A186)</f>
        <v>1.7998732590702001E-2</v>
      </c>
      <c r="E175" s="2">
        <v>2.145</v>
      </c>
      <c r="H175" s="13">
        <v>1.79091285259E-2</v>
      </c>
      <c r="I175" s="2">
        <f>I174+1/15</f>
        <v>0.23333333333333334</v>
      </c>
      <c r="J175" s="2">
        <f>4.91*(I175^0.14-(1-I175)^0.14)</f>
        <v>-0.72575040815577163</v>
      </c>
    </row>
    <row r="176" spans="1:10" ht="15.6" customHeight="1" x14ac:dyDescent="0.3">
      <c r="A176" s="13">
        <v>1.7906733102269E-2</v>
      </c>
      <c r="H176" s="13">
        <v>1.7921036226353999E-2</v>
      </c>
      <c r="I176" s="2">
        <f>I175+1/15</f>
        <v>0.3</v>
      </c>
      <c r="J176" s="2">
        <f>4.91*(I176^0.14-(1-I176)^0.14)</f>
        <v>-0.52246305252576009</v>
      </c>
    </row>
    <row r="177" spans="1:10" ht="15.6" customHeight="1" x14ac:dyDescent="0.3">
      <c r="A177" s="13">
        <v>1.7998732590702001E-2</v>
      </c>
      <c r="C177" s="3"/>
      <c r="D177" s="1" t="s">
        <v>9</v>
      </c>
      <c r="H177" s="13">
        <v>1.7939920694085999E-2</v>
      </c>
      <c r="I177" s="2">
        <f>I176+1/15</f>
        <v>0.36666666666666664</v>
      </c>
      <c r="J177" s="2">
        <f>4.91*(I177^0.14-(1-I177)^0.14)</f>
        <v>-0.33927638280750583</v>
      </c>
    </row>
    <row r="178" spans="1:10" ht="15.6" customHeight="1" x14ac:dyDescent="0.3">
      <c r="A178" s="13">
        <v>1.8183235753543001E-2</v>
      </c>
      <c r="C178" s="3" t="s">
        <v>10</v>
      </c>
      <c r="D178" s="2">
        <f>C172+E175*SQRT(D172)/(SQRT(15))</f>
        <v>1.8062925048619293E-2</v>
      </c>
      <c r="H178" s="13">
        <v>1.7973696832186001E-2</v>
      </c>
      <c r="I178" s="2">
        <f>I177+1/15</f>
        <v>0.43333333333333329</v>
      </c>
      <c r="J178" s="2">
        <f>4.91*(I178^0.14-(1-I178)^0.14)</f>
        <v>-0.16715058832373922</v>
      </c>
    </row>
    <row r="179" spans="1:10" ht="15.6" customHeight="1" x14ac:dyDescent="0.3">
      <c r="A179" s="13">
        <v>1.8131373609058001E-2</v>
      </c>
      <c r="C179" s="3" t="s">
        <v>11</v>
      </c>
      <c r="D179" s="2">
        <f>C172-E175*SQRT(D172)/(SQRT(15))</f>
        <v>1.7925107068143233E-2</v>
      </c>
      <c r="H179" s="13">
        <v>1.7998732590702001E-2</v>
      </c>
      <c r="I179" s="2">
        <f>I178+1/15</f>
        <v>0.49999999999999994</v>
      </c>
      <c r="J179" s="2">
        <f>4.91*(I179^0.14-(1-I179)^0.14)</f>
        <v>0</v>
      </c>
    </row>
    <row r="180" spans="1:10" ht="15.6" customHeight="1" x14ac:dyDescent="0.3">
      <c r="A180" s="13">
        <v>1.7921036226353999E-2</v>
      </c>
      <c r="H180" s="13">
        <v>1.8039434549923999E-2</v>
      </c>
      <c r="I180" s="2">
        <f>I179+1/15</f>
        <v>0.56666666666666665</v>
      </c>
      <c r="J180" s="2">
        <f>4.91*(I180^0.14-(1-I180)^0.14)</f>
        <v>0.16715058832373922</v>
      </c>
    </row>
    <row r="181" spans="1:10" ht="15.6" customHeight="1" x14ac:dyDescent="0.3">
      <c r="A181" s="13">
        <v>1.7899208993029998E-2</v>
      </c>
      <c r="H181" s="13">
        <v>1.8040204088123998E-2</v>
      </c>
      <c r="I181" s="2">
        <f>I180+1/15</f>
        <v>0.6333333333333333</v>
      </c>
      <c r="J181" s="2">
        <f>4.91*(I181^0.14-(1-I181)^0.14)</f>
        <v>0.33927638280750583</v>
      </c>
    </row>
    <row r="182" spans="1:10" ht="15.6" customHeight="1" x14ac:dyDescent="0.3">
      <c r="A182" s="13">
        <v>1.8039434549923999E-2</v>
      </c>
      <c r="H182" s="13">
        <v>1.8059909793896E-2</v>
      </c>
      <c r="I182" s="2">
        <f>I181+1/15</f>
        <v>0.7</v>
      </c>
      <c r="J182" s="2">
        <f>4.91*(I182^0.14-(1-I182)^0.14)</f>
        <v>0.52246305252576009</v>
      </c>
    </row>
    <row r="183" spans="1:10" ht="15.6" customHeight="1" x14ac:dyDescent="0.3">
      <c r="A183" s="13">
        <v>1.79091285259E-2</v>
      </c>
      <c r="H183" s="13">
        <v>1.8109120880867E-2</v>
      </c>
      <c r="I183" s="2">
        <f>I182+1/15</f>
        <v>0.76666666666666661</v>
      </c>
      <c r="J183" s="2">
        <f>4.91*(I183^0.14-(1-I183)^0.14)</f>
        <v>0.72575040815577163</v>
      </c>
    </row>
    <row r="184" spans="1:10" ht="15.6" customHeight="1" x14ac:dyDescent="0.3">
      <c r="A184" s="13">
        <v>1.8109120880867E-2</v>
      </c>
      <c r="H184" s="13">
        <v>1.8111160579685998E-2</v>
      </c>
      <c r="I184" s="2">
        <f>I183+1/15</f>
        <v>0.83333333333333326</v>
      </c>
      <c r="J184" s="2">
        <f>4.91*(I184^0.14-(1-I184)^0.14)</f>
        <v>0.96558119772402329</v>
      </c>
    </row>
    <row r="185" spans="1:10" ht="15.6" customHeight="1" x14ac:dyDescent="0.3">
      <c r="A185" s="13">
        <v>1.7939920694085999E-2</v>
      </c>
      <c r="H185" s="13">
        <v>1.8131373609058001E-2</v>
      </c>
      <c r="I185" s="2">
        <f>I184+1/15</f>
        <v>0.89999999999999991</v>
      </c>
      <c r="J185" s="2">
        <f>4.91*(I185^0.14-(1-I185)^0.14)</f>
        <v>1.2811261510381207</v>
      </c>
    </row>
    <row r="186" spans="1:10" ht="15.6" customHeight="1" x14ac:dyDescent="0.3">
      <c r="A186" s="13">
        <v>1.7973696832186001E-2</v>
      </c>
      <c r="H186" s="13">
        <v>1.8183235753543001E-2</v>
      </c>
      <c r="I186" s="2">
        <f>I185+1/15</f>
        <v>0.96666666666666656</v>
      </c>
      <c r="J186" s="2">
        <f>4.91*(I186^0.14-(1-I186)^0.14)</f>
        <v>1.8368588976886859</v>
      </c>
    </row>
    <row r="187" spans="1:10" s="6" customFormat="1" ht="4.2" customHeight="1" x14ac:dyDescent="0.3">
      <c r="C187" s="7"/>
    </row>
    <row r="188" spans="1:10" ht="16.5" customHeight="1" x14ac:dyDescent="0.3">
      <c r="A188" s="1" t="s">
        <v>83</v>
      </c>
      <c r="C188" s="3" t="s">
        <v>1</v>
      </c>
      <c r="D188" s="1" t="s">
        <v>2</v>
      </c>
      <c r="E188" s="1" t="s">
        <v>3</v>
      </c>
      <c r="F188" s="1"/>
      <c r="H188" s="1" t="s">
        <v>4</v>
      </c>
      <c r="I188" s="1" t="s">
        <v>5</v>
      </c>
      <c r="J188" s="1" t="s">
        <v>6</v>
      </c>
    </row>
    <row r="189" spans="1:10" ht="11.4" customHeight="1" x14ac:dyDescent="0.3">
      <c r="A189" s="13">
        <v>2.3151070084579999E-2</v>
      </c>
      <c r="C189" s="5">
        <f>AVERAGE(A189:A203)</f>
        <v>2.3683548845140463E-2</v>
      </c>
      <c r="D189" s="2">
        <f>_xlfn.VAR.S(A189:A203)</f>
        <v>5.9948803741196991E-8</v>
      </c>
      <c r="E189" s="2">
        <f>SQRT(D189)/C189</f>
        <v>1.0338165519515311E-2</v>
      </c>
      <c r="H189" s="13">
        <v>2.3151070084579999E-2</v>
      </c>
      <c r="I189" s="2">
        <f>1/15 - 0.5/15</f>
        <v>3.3333333333333333E-2</v>
      </c>
      <c r="J189" s="2">
        <f>4.91*(I189^0.14-(1-I189)^0.14)</f>
        <v>-1.836858897688687</v>
      </c>
    </row>
    <row r="190" spans="1:10" ht="11.4" customHeight="1" x14ac:dyDescent="0.3">
      <c r="A190" s="13">
        <v>2.3548826207685999E-2</v>
      </c>
      <c r="H190" s="13">
        <v>2.3374032512526E-2</v>
      </c>
      <c r="I190" s="2">
        <f>I189+1/15</f>
        <v>0.1</v>
      </c>
      <c r="J190" s="2">
        <f>4.91*(I190^0.14-(1-I190)^0.14)</f>
        <v>-1.2811261510381207</v>
      </c>
    </row>
    <row r="191" spans="1:10" ht="11.4" customHeight="1" x14ac:dyDescent="0.3">
      <c r="A191" s="13">
        <v>2.3936131667524001E-2</v>
      </c>
      <c r="C191" s="3" t="s">
        <v>7</v>
      </c>
      <c r="E191" s="1" t="s">
        <v>8</v>
      </c>
      <c r="H191" s="13">
        <v>2.3491136521017999E-2</v>
      </c>
      <c r="I191" s="2">
        <f>I190+1/15</f>
        <v>0.16666666666666669</v>
      </c>
      <c r="J191" s="2">
        <f>4.91*(I191^0.14-(1-I191)^0.14)</f>
        <v>-0.96558119772402384</v>
      </c>
    </row>
    <row r="192" spans="1:10" ht="11.4" customHeight="1" x14ac:dyDescent="0.3">
      <c r="A192" s="13">
        <v>2.3989865027974001E-2</v>
      </c>
      <c r="C192" s="5">
        <f>MEDIAN(A189:A203)</f>
        <v>2.3727971190017998E-2</v>
      </c>
      <c r="E192" s="2">
        <v>2.145</v>
      </c>
      <c r="H192" s="13">
        <v>2.3520761483514001E-2</v>
      </c>
      <c r="I192" s="2">
        <f>I191+1/15</f>
        <v>0.23333333333333334</v>
      </c>
      <c r="J192" s="2">
        <f>4.91*(I192^0.14-(1-I192)^0.14)</f>
        <v>-0.72575040815577163</v>
      </c>
    </row>
    <row r="193" spans="1:10" ht="11.4" customHeight="1" x14ac:dyDescent="0.3">
      <c r="A193" s="13">
        <v>2.3374032512526E-2</v>
      </c>
      <c r="H193" s="13">
        <v>2.3526361972621999E-2</v>
      </c>
      <c r="I193" s="2">
        <f>I192+1/15</f>
        <v>0.3</v>
      </c>
      <c r="J193" s="2">
        <f>4.91*(I193^0.14-(1-I193)^0.14)</f>
        <v>-0.52246305252576009</v>
      </c>
    </row>
    <row r="194" spans="1:10" ht="11.4" customHeight="1" x14ac:dyDescent="0.3">
      <c r="A194" s="13">
        <v>2.3520761483514001E-2</v>
      </c>
      <c r="C194" s="3"/>
      <c r="D194" s="1" t="s">
        <v>9</v>
      </c>
      <c r="H194" s="13">
        <v>2.3548826207685999E-2</v>
      </c>
      <c r="I194" s="2">
        <f>I193+1/15</f>
        <v>0.36666666666666664</v>
      </c>
      <c r="J194" s="2">
        <f>4.91*(I194^0.14-(1-I194)^0.14)</f>
        <v>-0.33927638280750583</v>
      </c>
    </row>
    <row r="195" spans="1:10" ht="11.4" customHeight="1" x14ac:dyDescent="0.3">
      <c r="A195" s="13">
        <v>2.3979585449048001E-2</v>
      </c>
      <c r="C195" s="3" t="s">
        <v>10</v>
      </c>
      <c r="D195" s="2">
        <f>C189+E192*SQRT(D189)/(SQRT(15))</f>
        <v>2.3819152666309174E-2</v>
      </c>
      <c r="H195" s="13">
        <v>2.3642412634951999E-2</v>
      </c>
      <c r="I195" s="2">
        <f>I194+1/15</f>
        <v>0.43333333333333329</v>
      </c>
      <c r="J195" s="2">
        <f>4.91*(I195^0.14-(1-I195)^0.14)</f>
        <v>-0.16715058832373922</v>
      </c>
    </row>
    <row r="196" spans="1:10" ht="11.4" customHeight="1" x14ac:dyDescent="0.3">
      <c r="A196" s="13">
        <v>2.3789629920025999E-2</v>
      </c>
      <c r="C196" s="3" t="s">
        <v>11</v>
      </c>
      <c r="D196" s="2">
        <f>C189-E192*SQRT(D189)/(SQRT(15))</f>
        <v>2.3547945023971752E-2</v>
      </c>
      <c r="H196" s="13">
        <v>2.3727971190017998E-2</v>
      </c>
      <c r="I196" s="2">
        <f>I195+1/15</f>
        <v>0.49999999999999994</v>
      </c>
      <c r="J196" s="2">
        <f>4.91*(I196^0.14-(1-I196)^0.14)</f>
        <v>0</v>
      </c>
    </row>
    <row r="197" spans="1:10" ht="11.4" customHeight="1" x14ac:dyDescent="0.3">
      <c r="A197" s="13">
        <v>2.3526361972621999E-2</v>
      </c>
      <c r="H197" s="13">
        <v>2.3789629920025999E-2</v>
      </c>
      <c r="I197" s="2">
        <f>I196+1/15</f>
        <v>0.56666666666666665</v>
      </c>
      <c r="J197" s="2">
        <f>4.91*(I197^0.14-(1-I197)^0.14)</f>
        <v>0.16715058832373922</v>
      </c>
    </row>
    <row r="198" spans="1:10" ht="11.4" customHeight="1" x14ac:dyDescent="0.3">
      <c r="A198" s="13">
        <v>2.3849482712354E-2</v>
      </c>
      <c r="H198" s="13">
        <v>2.3835982443938E-2</v>
      </c>
      <c r="I198" s="2">
        <f>I197+1/15</f>
        <v>0.6333333333333333</v>
      </c>
      <c r="J198" s="2">
        <f>4.91*(I198^0.14-(1-I198)^0.14)</f>
        <v>0.33927638280750583</v>
      </c>
    </row>
    <row r="199" spans="1:10" ht="11.4" customHeight="1" x14ac:dyDescent="0.3">
      <c r="A199" s="13">
        <v>2.3727971190017998E-2</v>
      </c>
      <c r="H199" s="13">
        <v>2.3849482712354E-2</v>
      </c>
      <c r="I199" s="2">
        <f>I198+1/15</f>
        <v>0.7</v>
      </c>
      <c r="J199" s="2">
        <f>4.91*(I199^0.14-(1-I199)^0.14)</f>
        <v>0.52246305252576009</v>
      </c>
    </row>
    <row r="200" spans="1:10" ht="11.4" customHeight="1" x14ac:dyDescent="0.3">
      <c r="A200" s="13">
        <v>2.3889982849327002E-2</v>
      </c>
      <c r="H200" s="13">
        <v>2.3889982849327002E-2</v>
      </c>
      <c r="I200" s="2">
        <f>I199+1/15</f>
        <v>0.76666666666666661</v>
      </c>
      <c r="J200" s="2">
        <f>4.91*(I200^0.14-(1-I200)^0.14)</f>
        <v>0.72575040815577163</v>
      </c>
    </row>
    <row r="201" spans="1:10" ht="11.4" customHeight="1" x14ac:dyDescent="0.3">
      <c r="A201" s="13">
        <v>2.3642412634951999E-2</v>
      </c>
      <c r="H201" s="13">
        <v>2.3936131667524001E-2</v>
      </c>
      <c r="I201" s="2">
        <f>I200+1/15</f>
        <v>0.83333333333333326</v>
      </c>
      <c r="J201" s="2">
        <f>4.91*(I201^0.14-(1-I201)^0.14)</f>
        <v>0.96558119772402329</v>
      </c>
    </row>
    <row r="202" spans="1:10" ht="11.4" customHeight="1" x14ac:dyDescent="0.3">
      <c r="A202" s="13">
        <v>2.3835982443938E-2</v>
      </c>
      <c r="H202" s="13">
        <v>2.3979585449048001E-2</v>
      </c>
      <c r="I202" s="2">
        <f>I201+1/15</f>
        <v>0.89999999999999991</v>
      </c>
      <c r="J202" s="2">
        <f>4.91*(I202^0.14-(1-I202)^0.14)</f>
        <v>1.2811261510381207</v>
      </c>
    </row>
    <row r="203" spans="1:10" ht="11.4" customHeight="1" x14ac:dyDescent="0.3">
      <c r="A203" s="13">
        <v>2.3491136521017999E-2</v>
      </c>
      <c r="H203" s="13">
        <v>2.3989865027974001E-2</v>
      </c>
      <c r="I203" s="2">
        <f>I202+1/15</f>
        <v>0.96666666666666656</v>
      </c>
      <c r="J203" s="2">
        <f>4.91*(I203^0.14-(1-I203)^0.14)</f>
        <v>1.8368588976886859</v>
      </c>
    </row>
    <row r="204" spans="1:10" s="6" customFormat="1" ht="5.4" customHeight="1" x14ac:dyDescent="0.3">
      <c r="C204" s="7"/>
    </row>
    <row r="205" spans="1:10" ht="11.4" customHeight="1" x14ac:dyDescent="0.3">
      <c r="A205" s="1" t="s">
        <v>84</v>
      </c>
      <c r="C205" s="3" t="s">
        <v>1</v>
      </c>
      <c r="D205" s="1" t="s">
        <v>2</v>
      </c>
      <c r="E205" s="1" t="s">
        <v>3</v>
      </c>
      <c r="F205" s="1"/>
      <c r="H205" s="1" t="s">
        <v>4</v>
      </c>
      <c r="I205" s="1" t="s">
        <v>5</v>
      </c>
      <c r="J205" s="1" t="s">
        <v>6</v>
      </c>
    </row>
    <row r="206" spans="1:10" x14ac:dyDescent="0.3">
      <c r="A206" s="13">
        <v>9.0323511563586995E-3</v>
      </c>
      <c r="C206" s="5">
        <f>AVERAGE(A206:A220)</f>
        <v>9.0060757541527876E-3</v>
      </c>
      <c r="D206" s="2">
        <f>_xlfn.VAR.S(A206:A220)</f>
        <v>1.0479302971134126E-9</v>
      </c>
      <c r="E206" s="2">
        <f>SQRT(D206)/C206</f>
        <v>3.5944347364578232E-3</v>
      </c>
      <c r="H206" s="13">
        <v>8.9610402817489002E-3</v>
      </c>
      <c r="I206" s="2">
        <f>1/15 - 0.5/15</f>
        <v>3.3333333333333333E-2</v>
      </c>
      <c r="J206" s="2">
        <f>4.91*(I206^0.14-(1-I206)^0.14)</f>
        <v>-1.836858897688687</v>
      </c>
    </row>
    <row r="207" spans="1:10" x14ac:dyDescent="0.3">
      <c r="A207" s="13">
        <v>9.0463378647427008E-3</v>
      </c>
      <c r="H207" s="13">
        <v>8.9612695581197006E-3</v>
      </c>
      <c r="I207" s="2">
        <f>I206+1/15</f>
        <v>0.1</v>
      </c>
      <c r="J207" s="2">
        <f>4.91*(I207^0.14-(1-I207)^0.14)</f>
        <v>-1.2811261510381207</v>
      </c>
    </row>
    <row r="208" spans="1:10" ht="11.4" customHeight="1" x14ac:dyDescent="0.3">
      <c r="A208" s="13">
        <v>8.9610402817489002E-3</v>
      </c>
      <c r="C208" s="3" t="s">
        <v>7</v>
      </c>
      <c r="E208" s="1" t="s">
        <v>8</v>
      </c>
      <c r="H208" s="13">
        <v>8.9637330611283001E-3</v>
      </c>
      <c r="I208" s="2">
        <f>I207+1/15</f>
        <v>0.16666666666666669</v>
      </c>
      <c r="J208" s="2">
        <f>4.91*(I208^0.14-(1-I208)^0.14)</f>
        <v>-0.96558119772402384</v>
      </c>
    </row>
    <row r="209" spans="1:10" x14ac:dyDescent="0.3">
      <c r="A209" s="13">
        <v>9.0060714577983002E-3</v>
      </c>
      <c r="C209" s="5">
        <f>MEDIAN(A206:A220)</f>
        <v>9.0060714577983002E-3</v>
      </c>
      <c r="E209" s="2">
        <v>2.145</v>
      </c>
      <c r="H209" s="13">
        <v>8.9836093442722999E-3</v>
      </c>
      <c r="I209" s="2">
        <f>I208+1/15</f>
        <v>0.23333333333333334</v>
      </c>
      <c r="J209" s="2">
        <f>4.91*(I209^0.14-(1-I209)^0.14)</f>
        <v>-0.72575040815577163</v>
      </c>
    </row>
    <row r="210" spans="1:10" x14ac:dyDescent="0.3">
      <c r="A210" s="13">
        <v>8.9836093442722999E-3</v>
      </c>
      <c r="H210" s="13">
        <v>8.9846431406736E-3</v>
      </c>
      <c r="I210" s="2">
        <f>I209+1/15</f>
        <v>0.3</v>
      </c>
      <c r="J210" s="2">
        <f>4.91*(I210^0.14-(1-I210)^0.14)</f>
        <v>-0.52246305252576009</v>
      </c>
    </row>
    <row r="211" spans="1:10" ht="11.4" customHeight="1" x14ac:dyDescent="0.3">
      <c r="A211" s="13">
        <v>9.0582641812672008E-3</v>
      </c>
      <c r="C211" s="3"/>
      <c r="D211" s="1" t="s">
        <v>9</v>
      </c>
      <c r="H211" s="13">
        <v>8.9925504433545998E-3</v>
      </c>
      <c r="I211" s="2">
        <f>I210+1/15</f>
        <v>0.36666666666666664</v>
      </c>
      <c r="J211" s="2">
        <f>4.91*(I211^0.14-(1-I211)^0.14)</f>
        <v>-0.33927638280750583</v>
      </c>
    </row>
    <row r="212" spans="1:10" ht="11.4" customHeight="1" x14ac:dyDescent="0.3">
      <c r="A212" s="13">
        <v>8.9925504433545998E-3</v>
      </c>
      <c r="C212" s="3" t="s">
        <v>10</v>
      </c>
      <c r="D212" s="2">
        <f>C206+E209*SQRT(D206)/(SQRT(15))</f>
        <v>9.0240044155552764E-3</v>
      </c>
      <c r="H212" s="13">
        <v>9.0059603823504E-3</v>
      </c>
      <c r="I212" s="2">
        <f>I211+1/15</f>
        <v>0.43333333333333329</v>
      </c>
      <c r="J212" s="2">
        <f>4.91*(I212^0.14-(1-I212)^0.14)</f>
        <v>-0.16715058832373922</v>
      </c>
    </row>
    <row r="213" spans="1:10" ht="11.4" customHeight="1" x14ac:dyDescent="0.3">
      <c r="A213" s="13">
        <v>9.0059603823504E-3</v>
      </c>
      <c r="C213" s="3" t="s">
        <v>11</v>
      </c>
      <c r="D213" s="2">
        <f>C206-E209*SQRT(D206)/(SQRT(15))</f>
        <v>8.9881470927502989E-3</v>
      </c>
      <c r="H213" s="13">
        <v>9.0060714577983002E-3</v>
      </c>
      <c r="I213" s="2">
        <f>I212+1/15</f>
        <v>0.49999999999999994</v>
      </c>
      <c r="J213" s="2">
        <f>4.91*(I213^0.14-(1-I213)^0.14)</f>
        <v>0</v>
      </c>
    </row>
    <row r="214" spans="1:10" x14ac:dyDescent="0.3">
      <c r="A214" s="13">
        <v>8.9612695581197006E-3</v>
      </c>
      <c r="H214" s="13">
        <v>9.0065308478508993E-3</v>
      </c>
      <c r="I214" s="2">
        <f>I213+1/15</f>
        <v>0.56666666666666665</v>
      </c>
      <c r="J214" s="2">
        <f>4.91*(I214^0.14-(1-I214)^0.14)</f>
        <v>0.16715058832373922</v>
      </c>
    </row>
    <row r="215" spans="1:10" x14ac:dyDescent="0.3">
      <c r="A215" s="13">
        <v>8.9846431406736E-3</v>
      </c>
      <c r="H215" s="13">
        <v>9.0071485980609996E-3</v>
      </c>
      <c r="I215" s="2">
        <f>I214+1/15</f>
        <v>0.6333333333333333</v>
      </c>
      <c r="J215" s="2">
        <f>4.91*(I215^0.14-(1-I215)^0.14)</f>
        <v>0.33927638280750583</v>
      </c>
    </row>
    <row r="216" spans="1:10" x14ac:dyDescent="0.3">
      <c r="A216" s="13">
        <v>9.0065308478508993E-3</v>
      </c>
      <c r="H216" s="13">
        <v>9.0297334843217007E-3</v>
      </c>
      <c r="I216" s="2">
        <f>I215+1/15</f>
        <v>0.7</v>
      </c>
      <c r="J216" s="2">
        <f>4.91*(I216^0.14-(1-I216)^0.14)</f>
        <v>0.52246305252576009</v>
      </c>
    </row>
    <row r="217" spans="1:10" x14ac:dyDescent="0.3">
      <c r="A217" s="13">
        <v>9.0518925102435008E-3</v>
      </c>
      <c r="H217" s="13">
        <v>9.0323511563586995E-3</v>
      </c>
      <c r="I217" s="2">
        <f>I216+1/15</f>
        <v>0.76666666666666661</v>
      </c>
      <c r="J217" s="2">
        <f>4.91*(I217^0.14-(1-I217)^0.14)</f>
        <v>0.72575040815577163</v>
      </c>
    </row>
    <row r="218" spans="1:10" x14ac:dyDescent="0.3">
      <c r="A218" s="13">
        <v>8.9637330611283001E-3</v>
      </c>
      <c r="H218" s="13">
        <v>9.0463378647427008E-3</v>
      </c>
      <c r="I218" s="2">
        <f>I217+1/15</f>
        <v>0.83333333333333326</v>
      </c>
      <c r="J218" s="2">
        <f>4.91*(I218^0.14-(1-I218)^0.14)</f>
        <v>0.96558119772402329</v>
      </c>
    </row>
    <row r="219" spans="1:10" x14ac:dyDescent="0.3">
      <c r="A219" s="13">
        <v>9.0297334843217007E-3</v>
      </c>
      <c r="H219" s="13">
        <v>9.0518925102435008E-3</v>
      </c>
      <c r="I219" s="2">
        <f>I218+1/15</f>
        <v>0.89999999999999991</v>
      </c>
      <c r="J219" s="2">
        <f>4.91*(I219^0.14-(1-I219)^0.14)</f>
        <v>1.2811261510381207</v>
      </c>
    </row>
    <row r="220" spans="1:10" x14ac:dyDescent="0.3">
      <c r="A220" s="13">
        <v>9.0071485980609996E-3</v>
      </c>
      <c r="H220" s="13">
        <v>9.0582641812672008E-3</v>
      </c>
      <c r="I220" s="2">
        <f>I219+1/15</f>
        <v>0.96666666666666656</v>
      </c>
      <c r="J220" s="2">
        <f>4.91*(I220^0.14-(1-I220)^0.14)</f>
        <v>1.8368588976886859</v>
      </c>
    </row>
    <row r="221" spans="1:10" s="6" customFormat="1" x14ac:dyDescent="0.3">
      <c r="C221" s="7"/>
    </row>
    <row r="222" spans="1:10" x14ac:dyDescent="0.3">
      <c r="A222" s="1" t="s">
        <v>85</v>
      </c>
      <c r="C222" s="3" t="s">
        <v>1</v>
      </c>
      <c r="D222" s="1" t="s">
        <v>2</v>
      </c>
      <c r="E222" s="1" t="s">
        <v>3</v>
      </c>
      <c r="F222" s="1"/>
      <c r="H222" s="1" t="s">
        <v>4</v>
      </c>
      <c r="I222" s="1" t="s">
        <v>5</v>
      </c>
      <c r="J222" s="1" t="s">
        <v>6</v>
      </c>
    </row>
    <row r="223" spans="1:10" x14ac:dyDescent="0.3">
      <c r="A223" s="13">
        <v>1.0950879859368001E-2</v>
      </c>
      <c r="C223" s="5">
        <f>AVERAGE(A223:A237)</f>
        <v>1.0966429132334733E-2</v>
      </c>
      <c r="D223" s="2">
        <f>_xlfn.VAR.S(A223:A237)</f>
        <v>2.8339141541877638E-9</v>
      </c>
      <c r="E223" s="2">
        <f>SQRT(D223)/C223</f>
        <v>4.8543167226251984E-3</v>
      </c>
      <c r="H223" s="13">
        <v>1.0853521760298E-2</v>
      </c>
      <c r="I223" s="2">
        <f>1/15 - 0.5/15</f>
        <v>3.3333333333333333E-2</v>
      </c>
      <c r="J223" s="2">
        <f>4.91*(I223^0.14-(1-I223)^0.14)</f>
        <v>-1.836858897688687</v>
      </c>
    </row>
    <row r="224" spans="1:10" x14ac:dyDescent="0.3">
      <c r="A224" s="13">
        <v>1.1064290757279001E-2</v>
      </c>
      <c r="H224" s="13">
        <v>1.0907429681999E-2</v>
      </c>
      <c r="I224" s="2">
        <f>I223+1/15</f>
        <v>0.1</v>
      </c>
      <c r="J224" s="2">
        <f>4.91*(I224^0.14-(1-I224)^0.14)</f>
        <v>-1.2811261510381207</v>
      </c>
    </row>
    <row r="225" spans="1:10" x14ac:dyDescent="0.3">
      <c r="A225" s="13">
        <v>1.1044260064278E-2</v>
      </c>
      <c r="C225" s="3" t="s">
        <v>7</v>
      </c>
      <c r="E225" s="1" t="s">
        <v>8</v>
      </c>
      <c r="H225" s="13">
        <v>1.0937554563782001E-2</v>
      </c>
      <c r="I225" s="2">
        <f>I224+1/15</f>
        <v>0.16666666666666669</v>
      </c>
      <c r="J225" s="2">
        <f>4.91*(I225^0.14-(1-I225)^0.14)</f>
        <v>-0.96558119772402384</v>
      </c>
    </row>
    <row r="226" spans="1:10" x14ac:dyDescent="0.3">
      <c r="A226" s="13">
        <v>1.0937554563782001E-2</v>
      </c>
      <c r="C226" s="5">
        <f>MEDIAN(A223:A237)</f>
        <v>1.0954282063683001E-2</v>
      </c>
      <c r="E226" s="2">
        <v>2.145</v>
      </c>
      <c r="H226" s="13">
        <v>1.0937867290985E-2</v>
      </c>
      <c r="I226" s="2">
        <f>I225+1/15</f>
        <v>0.23333333333333334</v>
      </c>
      <c r="J226" s="2">
        <f>4.91*(I226^0.14-(1-I226)^0.14)</f>
        <v>-0.72575040815577163</v>
      </c>
    </row>
    <row r="227" spans="1:10" x14ac:dyDescent="0.3">
      <c r="A227" s="13">
        <v>1.0907429681999E-2</v>
      </c>
      <c r="H227" s="13">
        <v>1.0944964351674E-2</v>
      </c>
      <c r="I227" s="2">
        <f>I226+1/15</f>
        <v>0.3</v>
      </c>
      <c r="J227" s="2">
        <f>4.91*(I227^0.14-(1-I227)^0.14)</f>
        <v>-0.52246305252576009</v>
      </c>
    </row>
    <row r="228" spans="1:10" x14ac:dyDescent="0.3">
      <c r="A228" s="13">
        <v>1.0994750725793E-2</v>
      </c>
      <c r="C228" s="3"/>
      <c r="D228" s="1" t="s">
        <v>9</v>
      </c>
      <c r="H228" s="13">
        <v>1.0950879859368001E-2</v>
      </c>
      <c r="I228" s="2">
        <f>I227+1/15</f>
        <v>0.36666666666666664</v>
      </c>
      <c r="J228" s="2">
        <f>4.91*(I228^0.14-(1-I228)^0.14)</f>
        <v>-0.33927638280750583</v>
      </c>
    </row>
    <row r="229" spans="1:10" x14ac:dyDescent="0.3">
      <c r="A229" s="13">
        <v>1.0973492195188001E-2</v>
      </c>
      <c r="C229" s="3" t="s">
        <v>10</v>
      </c>
      <c r="D229" s="2">
        <f>C223+E226*SQRT(D223)/(SQRT(15))</f>
        <v>1.0995912359059175E-2</v>
      </c>
      <c r="H229" s="13">
        <v>1.0951052408027E-2</v>
      </c>
      <c r="I229" s="2">
        <f>I228+1/15</f>
        <v>0.43333333333333329</v>
      </c>
      <c r="J229" s="2">
        <f>4.91*(I229^0.14-(1-I229)^0.14)</f>
        <v>-0.16715058832373922</v>
      </c>
    </row>
    <row r="230" spans="1:10" x14ac:dyDescent="0.3">
      <c r="A230" s="13">
        <v>1.0853521760298E-2</v>
      </c>
      <c r="C230" s="3" t="s">
        <v>11</v>
      </c>
      <c r="D230" s="2">
        <f>C223-E226*SQRT(D223)/(SQRT(15))</f>
        <v>1.0936945905610292E-2</v>
      </c>
      <c r="H230" s="13">
        <v>1.0954282063683001E-2</v>
      </c>
      <c r="I230" s="2">
        <f>I229+1/15</f>
        <v>0.49999999999999994</v>
      </c>
      <c r="J230" s="2">
        <f>4.91*(I230^0.14-(1-I230)^0.14)</f>
        <v>0</v>
      </c>
    </row>
    <row r="231" spans="1:10" x14ac:dyDescent="0.3">
      <c r="A231" s="13">
        <v>1.0954282063683001E-2</v>
      </c>
      <c r="H231" s="13">
        <v>1.0967684812664E-2</v>
      </c>
      <c r="I231" s="2">
        <f>I230+1/15</f>
        <v>0.56666666666666665</v>
      </c>
      <c r="J231" s="2">
        <f>4.91*(I231^0.14-(1-I231)^0.14)</f>
        <v>0.16715058832373922</v>
      </c>
    </row>
    <row r="232" spans="1:10" x14ac:dyDescent="0.3">
      <c r="A232" s="13">
        <v>1.0986030410749E-2</v>
      </c>
      <c r="H232" s="13">
        <v>1.0973492195188001E-2</v>
      </c>
      <c r="I232" s="2">
        <f>I231+1/15</f>
        <v>0.6333333333333333</v>
      </c>
      <c r="J232" s="2">
        <f>4.91*(I232^0.14-(1-I232)^0.14)</f>
        <v>0.33927638280750583</v>
      </c>
    </row>
    <row r="233" spans="1:10" x14ac:dyDescent="0.3">
      <c r="A233" s="13">
        <v>1.0951052408027E-2</v>
      </c>
      <c r="H233" s="13">
        <v>1.0986030410749E-2</v>
      </c>
      <c r="I233" s="2">
        <f>I232+1/15</f>
        <v>0.7</v>
      </c>
      <c r="J233" s="2">
        <f>4.91*(I233^0.14-(1-I233)^0.14)</f>
        <v>0.52246305252576009</v>
      </c>
    </row>
    <row r="234" spans="1:10" x14ac:dyDescent="0.3">
      <c r="A234" s="13">
        <v>1.0967684812664E-2</v>
      </c>
      <c r="H234" s="13">
        <v>1.0994750725793E-2</v>
      </c>
      <c r="I234" s="2">
        <f>I233+1/15</f>
        <v>0.76666666666666661</v>
      </c>
      <c r="J234" s="2">
        <f>4.91*(I234^0.14-(1-I234)^0.14)</f>
        <v>0.72575040815577163</v>
      </c>
    </row>
    <row r="235" spans="1:10" x14ac:dyDescent="0.3">
      <c r="A235" s="13">
        <v>1.0937867290985E-2</v>
      </c>
      <c r="H235" s="13">
        <v>1.1028376039254001E-2</v>
      </c>
      <c r="I235" s="2">
        <f>I234+1/15</f>
        <v>0.83333333333333326</v>
      </c>
      <c r="J235" s="2">
        <f>4.91*(I235^0.14-(1-I235)^0.14)</f>
        <v>0.96558119772402329</v>
      </c>
    </row>
    <row r="236" spans="1:10" x14ac:dyDescent="0.3">
      <c r="A236" s="13">
        <v>1.1028376039254001E-2</v>
      </c>
      <c r="H236" s="13">
        <v>1.1044260064278E-2</v>
      </c>
      <c r="I236" s="2">
        <f>I235+1/15</f>
        <v>0.89999999999999991</v>
      </c>
      <c r="J236" s="2">
        <f>4.91*(I236^0.14-(1-I236)^0.14)</f>
        <v>1.2811261510381207</v>
      </c>
    </row>
    <row r="237" spans="1:10" x14ac:dyDescent="0.3">
      <c r="A237" s="13">
        <v>1.0944964351674E-2</v>
      </c>
      <c r="H237" s="13">
        <v>1.1064290757279001E-2</v>
      </c>
      <c r="I237" s="2">
        <f>I236+1/15</f>
        <v>0.96666666666666656</v>
      </c>
      <c r="J237" s="2">
        <f>4.91*(I237^0.14-(1-I237)^0.14)</f>
        <v>1.8368588976886859</v>
      </c>
    </row>
    <row r="238" spans="1:10" s="6" customFormat="1" x14ac:dyDescent="0.3">
      <c r="C238" s="7"/>
    </row>
    <row r="239" spans="1:10" x14ac:dyDescent="0.3">
      <c r="A239" s="1" t="s">
        <v>86</v>
      </c>
      <c r="C239" s="3" t="s">
        <v>1</v>
      </c>
      <c r="D239" s="1" t="s">
        <v>2</v>
      </c>
      <c r="E239" s="1" t="s">
        <v>3</v>
      </c>
      <c r="F239" s="1"/>
      <c r="H239" s="1" t="s">
        <v>4</v>
      </c>
      <c r="I239" s="1" t="s">
        <v>5</v>
      </c>
      <c r="J239" s="1" t="s">
        <v>6</v>
      </c>
    </row>
    <row r="240" spans="1:10" x14ac:dyDescent="0.3">
      <c r="A240" s="13">
        <v>1.6812646179312E-2</v>
      </c>
      <c r="C240" s="5">
        <f>AVERAGE(A240:A254)</f>
        <v>1.682415533934687E-2</v>
      </c>
      <c r="D240" s="2">
        <f>_xlfn.VAR.S(A240:A254)</f>
        <v>1.0279876066399039E-8</v>
      </c>
      <c r="E240" s="2">
        <f>SQRT(D240)/C240</f>
        <v>6.0264376800803366E-3</v>
      </c>
      <c r="H240" s="13">
        <v>1.6631474679056998E-2</v>
      </c>
      <c r="I240" s="2">
        <f>1/15 - 0.5/15</f>
        <v>3.3333333333333333E-2</v>
      </c>
      <c r="J240" s="2">
        <f>4.91*(I240^0.14-(1-I240)^0.14)</f>
        <v>-1.836858897688687</v>
      </c>
    </row>
    <row r="241" spans="1:10" x14ac:dyDescent="0.3">
      <c r="A241" s="13">
        <v>1.6781404939445001E-2</v>
      </c>
      <c r="H241" s="13">
        <v>1.6689801953589E-2</v>
      </c>
      <c r="I241" s="2">
        <f>I240+1/15</f>
        <v>0.1</v>
      </c>
      <c r="J241" s="2">
        <f>4.91*(I241^0.14-(1-I241)^0.14)</f>
        <v>-1.2811261510381207</v>
      </c>
    </row>
    <row r="242" spans="1:10" x14ac:dyDescent="0.3">
      <c r="A242" s="13">
        <v>1.6883779746317999E-2</v>
      </c>
      <c r="C242" s="3" t="s">
        <v>7</v>
      </c>
      <c r="E242" s="1" t="s">
        <v>8</v>
      </c>
      <c r="H242" s="13">
        <v>1.669241590642E-2</v>
      </c>
      <c r="I242" s="2">
        <f>I241+1/15</f>
        <v>0.16666666666666669</v>
      </c>
      <c r="J242" s="2">
        <f>4.91*(I242^0.14-(1-I242)^0.14)</f>
        <v>-0.96558119772402384</v>
      </c>
    </row>
    <row r="243" spans="1:10" x14ac:dyDescent="0.3">
      <c r="A243" s="13">
        <v>1.6931233322677E-2</v>
      </c>
      <c r="C243" s="5">
        <f>MEDIAN(A240:A254)</f>
        <v>1.6836008062290998E-2</v>
      </c>
      <c r="E243" s="2">
        <v>2.145</v>
      </c>
      <c r="H243" s="13">
        <v>1.6778576696014E-2</v>
      </c>
      <c r="I243" s="2">
        <f>I242+1/15</f>
        <v>0.23333333333333334</v>
      </c>
      <c r="J243" s="2">
        <f>4.91*(I243^0.14-(1-I243)^0.14)</f>
        <v>-0.72575040815577163</v>
      </c>
    </row>
    <row r="244" spans="1:10" x14ac:dyDescent="0.3">
      <c r="A244" s="13">
        <v>1.6689801953589E-2</v>
      </c>
      <c r="H244" s="13">
        <v>1.6781404939445001E-2</v>
      </c>
      <c r="I244" s="2">
        <f>I243+1/15</f>
        <v>0.3</v>
      </c>
      <c r="J244" s="2">
        <f>4.91*(I244^0.14-(1-I244)^0.14)</f>
        <v>-0.52246305252576009</v>
      </c>
    </row>
    <row r="245" spans="1:10" x14ac:dyDescent="0.3">
      <c r="A245" s="13">
        <v>1.669241590642E-2</v>
      </c>
      <c r="C245" s="3"/>
      <c r="D245" s="1" t="s">
        <v>9</v>
      </c>
      <c r="H245" s="13">
        <v>1.6812646179312E-2</v>
      </c>
      <c r="I245" s="2">
        <f>I244+1/15</f>
        <v>0.36666666666666664</v>
      </c>
      <c r="J245" s="2">
        <f>4.91*(I245^0.14-(1-I245)^0.14)</f>
        <v>-0.33927638280750583</v>
      </c>
    </row>
    <row r="246" spans="1:10" x14ac:dyDescent="0.3">
      <c r="A246" s="13">
        <v>1.7029921634667999E-2</v>
      </c>
      <c r="C246" s="3" t="s">
        <v>10</v>
      </c>
      <c r="D246" s="2">
        <f>C240+E243*SQRT(D240)/(SQRT(15))</f>
        <v>1.688030868105711E-2</v>
      </c>
      <c r="H246" s="13">
        <v>1.6812712776908E-2</v>
      </c>
      <c r="I246" s="2">
        <f>I245+1/15</f>
        <v>0.43333333333333329</v>
      </c>
      <c r="J246" s="2">
        <f>4.91*(I246^0.14-(1-I246)^0.14)</f>
        <v>-0.16715058832373922</v>
      </c>
    </row>
    <row r="247" spans="1:10" x14ac:dyDescent="0.3">
      <c r="A247" s="13">
        <v>1.6898626330528001E-2</v>
      </c>
      <c r="C247" s="3" t="s">
        <v>11</v>
      </c>
      <c r="D247" s="2">
        <f>C240-E243*SQRT(D240)/(SQRT(15))</f>
        <v>1.6768001997636631E-2</v>
      </c>
      <c r="H247" s="13">
        <v>1.6836008062290998E-2</v>
      </c>
      <c r="I247" s="2">
        <f>I246+1/15</f>
        <v>0.49999999999999994</v>
      </c>
      <c r="J247" s="2">
        <f>4.91*(I247^0.14-(1-I247)^0.14)</f>
        <v>0</v>
      </c>
    </row>
    <row r="248" spans="1:10" x14ac:dyDescent="0.3">
      <c r="A248" s="13">
        <v>1.6631474679056998E-2</v>
      </c>
      <c r="H248" s="13">
        <v>1.6856342423899998E-2</v>
      </c>
      <c r="I248" s="2">
        <f>I247+1/15</f>
        <v>0.56666666666666665</v>
      </c>
      <c r="J248" s="2">
        <f>4.91*(I248^0.14-(1-I248)^0.14)</f>
        <v>0.16715058832373922</v>
      </c>
    </row>
    <row r="249" spans="1:10" x14ac:dyDescent="0.3">
      <c r="A249" s="13">
        <v>1.6812712776908E-2</v>
      </c>
      <c r="H249" s="13">
        <v>1.6861625154391002E-2</v>
      </c>
      <c r="I249" s="2">
        <f>I248+1/15</f>
        <v>0.6333333333333333</v>
      </c>
      <c r="J249" s="2">
        <f>4.91*(I249^0.14-(1-I249)^0.14)</f>
        <v>0.33927638280750583</v>
      </c>
    </row>
    <row r="250" spans="1:10" x14ac:dyDescent="0.3">
      <c r="A250" s="13">
        <v>1.6778576696014E-2</v>
      </c>
      <c r="H250" s="13">
        <v>1.6865760284684998E-2</v>
      </c>
      <c r="I250" s="2">
        <f>I249+1/15</f>
        <v>0.7</v>
      </c>
      <c r="J250" s="2">
        <f>4.91*(I250^0.14-(1-I250)^0.14)</f>
        <v>0.52246305252576009</v>
      </c>
    </row>
    <row r="251" spans="1:10" x14ac:dyDescent="0.3">
      <c r="A251" s="13">
        <v>1.6856342423899998E-2</v>
      </c>
      <c r="H251" s="13">
        <v>1.6883779746317999E-2</v>
      </c>
      <c r="I251" s="2">
        <f>I250+1/15</f>
        <v>0.76666666666666661</v>
      </c>
      <c r="J251" s="2">
        <f>4.91*(I251^0.14-(1-I251)^0.14)</f>
        <v>0.72575040815577163</v>
      </c>
    </row>
    <row r="252" spans="1:10" x14ac:dyDescent="0.3">
      <c r="A252" s="13">
        <v>1.6861625154391002E-2</v>
      </c>
      <c r="H252" s="13">
        <v>1.6898626330528001E-2</v>
      </c>
      <c r="I252" s="2">
        <f>I251+1/15</f>
        <v>0.83333333333333326</v>
      </c>
      <c r="J252" s="2">
        <f>4.91*(I252^0.14-(1-I252)^0.14)</f>
        <v>0.96558119772402329</v>
      </c>
    </row>
    <row r="253" spans="1:10" x14ac:dyDescent="0.3">
      <c r="A253" s="13">
        <v>1.6865760284684998E-2</v>
      </c>
      <c r="H253" s="13">
        <v>1.6931233322677E-2</v>
      </c>
      <c r="I253" s="2">
        <f>I252+1/15</f>
        <v>0.89999999999999991</v>
      </c>
      <c r="J253" s="2">
        <f>4.91*(I253^0.14-(1-I253)^0.14)</f>
        <v>1.2811261510381207</v>
      </c>
    </row>
    <row r="254" spans="1:10" x14ac:dyDescent="0.3">
      <c r="A254" s="13">
        <v>1.6836008062290998E-2</v>
      </c>
      <c r="H254" s="13">
        <v>1.7029921634667999E-2</v>
      </c>
      <c r="I254" s="2">
        <f>I253+1/15</f>
        <v>0.96666666666666656</v>
      </c>
      <c r="J254" s="2">
        <f>4.91*(I254^0.14-(1-I254)^0.14)</f>
        <v>1.8368588976886859</v>
      </c>
    </row>
    <row r="255" spans="1:10" s="6" customFormat="1" ht="4.2" customHeight="1" x14ac:dyDescent="0.3">
      <c r="C255" s="7"/>
    </row>
    <row r="256" spans="1:10" x14ac:dyDescent="0.3">
      <c r="A256" s="1" t="s">
        <v>87</v>
      </c>
      <c r="C256" s="3" t="s">
        <v>1</v>
      </c>
      <c r="D256" s="1" t="s">
        <v>2</v>
      </c>
      <c r="E256" s="1" t="s">
        <v>3</v>
      </c>
      <c r="F256" s="1"/>
      <c r="H256" s="1" t="s">
        <v>4</v>
      </c>
      <c r="I256" s="1" t="s">
        <v>5</v>
      </c>
      <c r="J256" s="1" t="s">
        <v>6</v>
      </c>
    </row>
    <row r="257" spans="1:10" x14ac:dyDescent="0.3">
      <c r="A257" s="13">
        <v>2.1549137315787E-2</v>
      </c>
      <c r="C257" s="5">
        <f>AVERAGE(A257:A271)</f>
        <v>2.1417344212244064E-2</v>
      </c>
      <c r="D257" s="2">
        <f>_xlfn.VAR.S(A257:A271)</f>
        <v>2.0281947595163236E-8</v>
      </c>
      <c r="E257" s="2">
        <f>SQRT(D257)/C257</f>
        <v>6.6495033868039328E-3</v>
      </c>
      <c r="H257" s="13">
        <v>2.1033075287623E-2</v>
      </c>
      <c r="I257" s="2">
        <f>1/15 - 0.5/15</f>
        <v>3.3333333333333333E-2</v>
      </c>
      <c r="J257" s="2">
        <f>4.91*(I257^0.14-(1-I257)^0.14)</f>
        <v>-1.836858897688687</v>
      </c>
    </row>
    <row r="258" spans="1:10" x14ac:dyDescent="0.3">
      <c r="A258" s="13">
        <v>2.1564184544703002E-2</v>
      </c>
      <c r="H258" s="13">
        <v>2.1243002560439001E-2</v>
      </c>
      <c r="I258" s="2">
        <f>I257+1/15</f>
        <v>0.1</v>
      </c>
      <c r="J258" s="2">
        <f>4.91*(I258^0.14-(1-I258)^0.14)</f>
        <v>-1.2811261510381207</v>
      </c>
    </row>
    <row r="259" spans="1:10" x14ac:dyDescent="0.3">
      <c r="A259" s="13">
        <v>2.1493649627054998E-2</v>
      </c>
      <c r="C259" s="3" t="s">
        <v>7</v>
      </c>
      <c r="E259" s="1" t="s">
        <v>8</v>
      </c>
      <c r="H259" s="13">
        <v>2.1311045280217999E-2</v>
      </c>
      <c r="I259" s="2">
        <f>I258+1/15</f>
        <v>0.16666666666666669</v>
      </c>
      <c r="J259" s="2">
        <f>4.91*(I259^0.14-(1-I259)^0.14)</f>
        <v>-0.96558119772402384</v>
      </c>
    </row>
    <row r="260" spans="1:10" x14ac:dyDescent="0.3">
      <c r="A260" s="13">
        <v>2.1243002560439001E-2</v>
      </c>
      <c r="C260" s="5">
        <f>MEDIAN(A257:A271)</f>
        <v>2.1479777592701001E-2</v>
      </c>
      <c r="E260" s="2">
        <v>2.145</v>
      </c>
      <c r="H260" s="13">
        <v>2.134686810072E-2</v>
      </c>
      <c r="I260" s="2">
        <f>I259+1/15</f>
        <v>0.23333333333333334</v>
      </c>
      <c r="J260" s="2">
        <f>4.91*(I260^0.14-(1-I260)^0.14)</f>
        <v>-0.72575040815577163</v>
      </c>
    </row>
    <row r="261" spans="1:10" x14ac:dyDescent="0.3">
      <c r="A261" s="13">
        <v>2.134686810072E-2</v>
      </c>
      <c r="H261" s="13">
        <v>2.1355071471684001E-2</v>
      </c>
      <c r="I261" s="2">
        <f>I260+1/15</f>
        <v>0.3</v>
      </c>
      <c r="J261" s="2">
        <f>4.91*(I261^0.14-(1-I261)^0.14)</f>
        <v>-0.52246305252576009</v>
      </c>
    </row>
    <row r="262" spans="1:10" x14ac:dyDescent="0.3">
      <c r="A262" s="13">
        <v>2.1519081118733002E-2</v>
      </c>
      <c r="C262" s="3"/>
      <c r="D262" s="1" t="s">
        <v>9</v>
      </c>
      <c r="H262" s="13">
        <v>2.141514673821E-2</v>
      </c>
      <c r="I262" s="2">
        <f>I261+1/15</f>
        <v>0.36666666666666664</v>
      </c>
      <c r="J262" s="2">
        <f>4.91*(I262^0.14-(1-I262)^0.14)</f>
        <v>-0.33927638280750583</v>
      </c>
    </row>
    <row r="263" spans="1:10" x14ac:dyDescent="0.3">
      <c r="A263" s="13">
        <v>2.1491107388706E-2</v>
      </c>
      <c r="C263" s="3" t="s">
        <v>10</v>
      </c>
      <c r="D263" s="2">
        <f>C257+E260*SQRT(D257)/(SQRT(15))</f>
        <v>2.1496218689710495E-2</v>
      </c>
      <c r="H263" s="13">
        <v>2.141799155897E-2</v>
      </c>
      <c r="I263" s="2">
        <f>I262+1/15</f>
        <v>0.43333333333333329</v>
      </c>
      <c r="J263" s="2">
        <f>4.91*(I263^0.14-(1-I263)^0.14)</f>
        <v>-0.16715058832373922</v>
      </c>
    </row>
    <row r="264" spans="1:10" x14ac:dyDescent="0.3">
      <c r="A264" s="13">
        <v>2.1033075287623E-2</v>
      </c>
      <c r="C264" s="3" t="s">
        <v>11</v>
      </c>
      <c r="D264" s="2">
        <f>C257-E260*SQRT(D257)/(SQRT(15))</f>
        <v>2.1338469734777633E-2</v>
      </c>
      <c r="H264" s="13">
        <v>2.1479777592701001E-2</v>
      </c>
      <c r="I264" s="2">
        <f>I263+1/15</f>
        <v>0.49999999999999994</v>
      </c>
      <c r="J264" s="2">
        <f>4.91*(I264^0.14-(1-I264)^0.14)</f>
        <v>0</v>
      </c>
    </row>
    <row r="265" spans="1:10" x14ac:dyDescent="0.3">
      <c r="A265" s="13">
        <v>2.1518332893508001E-2</v>
      </c>
      <c r="H265" s="13">
        <v>2.1491107388706E-2</v>
      </c>
      <c r="I265" s="2">
        <f>I264+1/15</f>
        <v>0.56666666666666665</v>
      </c>
      <c r="J265" s="2">
        <f>4.91*(I265^0.14-(1-I265)^0.14)</f>
        <v>0.16715058832373922</v>
      </c>
    </row>
    <row r="266" spans="1:10" x14ac:dyDescent="0.3">
      <c r="A266" s="13">
        <v>2.1355071471684001E-2</v>
      </c>
      <c r="H266" s="13">
        <v>2.1493649627054998E-2</v>
      </c>
      <c r="I266" s="2">
        <f>I265+1/15</f>
        <v>0.6333333333333333</v>
      </c>
      <c r="J266" s="2">
        <f>4.91*(I266^0.14-(1-I266)^0.14)</f>
        <v>0.33927638280750583</v>
      </c>
    </row>
    <row r="267" spans="1:10" x14ac:dyDescent="0.3">
      <c r="A267" s="13">
        <v>2.141799155897E-2</v>
      </c>
      <c r="H267" s="13">
        <v>2.1518332893508001E-2</v>
      </c>
      <c r="I267" s="2">
        <f>I266+1/15</f>
        <v>0.7</v>
      </c>
      <c r="J267" s="2">
        <f>4.91*(I267^0.14-(1-I267)^0.14)</f>
        <v>0.52246305252576009</v>
      </c>
    </row>
    <row r="268" spans="1:10" x14ac:dyDescent="0.3">
      <c r="A268" s="13">
        <v>2.141514673821E-2</v>
      </c>
      <c r="H268" s="13">
        <v>2.1519081118733002E-2</v>
      </c>
      <c r="I268" s="2">
        <f>I267+1/15</f>
        <v>0.76666666666666661</v>
      </c>
      <c r="J268" s="2">
        <f>4.91*(I268^0.14-(1-I268)^0.14)</f>
        <v>0.72575040815577163</v>
      </c>
    </row>
    <row r="269" spans="1:10" x14ac:dyDescent="0.3">
      <c r="A269" s="13">
        <v>2.1522691704604E-2</v>
      </c>
      <c r="H269" s="13">
        <v>2.1522691704604E-2</v>
      </c>
      <c r="I269" s="2">
        <f>I268+1/15</f>
        <v>0.83333333333333326</v>
      </c>
      <c r="J269" s="2">
        <f>4.91*(I269^0.14-(1-I269)^0.14)</f>
        <v>0.96558119772402329</v>
      </c>
    </row>
    <row r="270" spans="1:10" x14ac:dyDescent="0.3">
      <c r="A270" s="13">
        <v>2.1311045280217999E-2</v>
      </c>
      <c r="H270" s="13">
        <v>2.1549137315787E-2</v>
      </c>
      <c r="I270" s="2">
        <f>I269+1/15</f>
        <v>0.89999999999999991</v>
      </c>
      <c r="J270" s="2">
        <f>4.91*(I270^0.14-(1-I270)^0.14)</f>
        <v>1.2811261510381207</v>
      </c>
    </row>
    <row r="271" spans="1:10" x14ac:dyDescent="0.3">
      <c r="A271" s="13">
        <v>2.1479777592701001E-2</v>
      </c>
      <c r="H271" s="13">
        <v>2.1564184544703002E-2</v>
      </c>
      <c r="I271" s="2">
        <f>I270+1/15</f>
        <v>0.96666666666666656</v>
      </c>
      <c r="J271" s="2">
        <f>4.91*(I271^0.14-(1-I271)^0.14)</f>
        <v>1.8368588976886859</v>
      </c>
    </row>
    <row r="272" spans="1:10" s="10" customFormat="1" ht="4.5" customHeight="1" x14ac:dyDescent="0.3">
      <c r="C272" s="11"/>
    </row>
    <row r="273" spans="1:5" x14ac:dyDescent="0.3">
      <c r="A273" s="1"/>
      <c r="C273" s="1"/>
      <c r="D273" s="1"/>
      <c r="E273" s="1"/>
    </row>
    <row r="274" spans="1:5" x14ac:dyDescent="0.3">
      <c r="A274" s="14" t="s">
        <v>67</v>
      </c>
      <c r="B274" s="14"/>
      <c r="C274" s="14"/>
    </row>
    <row r="275" spans="1:5" x14ac:dyDescent="0.3">
      <c r="A275" s="1" t="s">
        <v>21</v>
      </c>
      <c r="B275" s="1" t="s">
        <v>106</v>
      </c>
      <c r="C275" s="1" t="s">
        <v>23</v>
      </c>
    </row>
    <row r="276" spans="1:5" x14ac:dyDescent="0.3">
      <c r="A276" s="1"/>
      <c r="C276" s="2"/>
    </row>
    <row r="277" spans="1:5" x14ac:dyDescent="0.3">
      <c r="A277" s="1" t="s">
        <v>89</v>
      </c>
      <c r="B277" s="2">
        <f>0.001*(3/9)</f>
        <v>3.3333333333333332E-4</v>
      </c>
      <c r="C277" s="2">
        <f>C2</f>
        <v>9.8113817342714797E-3</v>
      </c>
    </row>
    <row r="278" spans="1:5" x14ac:dyDescent="0.3">
      <c r="A278" s="1" t="s">
        <v>90</v>
      </c>
      <c r="B278" s="2">
        <f>0.001*(4/9)</f>
        <v>4.4444444444444441E-4</v>
      </c>
      <c r="C278" s="2">
        <f>C19</f>
        <v>1.2948571300472732E-2</v>
      </c>
    </row>
    <row r="279" spans="1:5" x14ac:dyDescent="0.3">
      <c r="A279" s="1" t="s">
        <v>91</v>
      </c>
      <c r="B279" s="2">
        <f>0.001*(6/9)</f>
        <v>6.6666666666666664E-4</v>
      </c>
      <c r="C279" s="2">
        <f>C36</f>
        <v>2.7120278641667668E-2</v>
      </c>
    </row>
    <row r="280" spans="1:5" x14ac:dyDescent="0.3">
      <c r="A280" s="1" t="s">
        <v>92</v>
      </c>
      <c r="B280" s="2">
        <f>0.001*(7/9)</f>
        <v>7.7777777777777784E-4</v>
      </c>
      <c r="C280" s="2">
        <f>C53</f>
        <v>4.9064986412869271E-2</v>
      </c>
    </row>
    <row r="281" spans="1:5" x14ac:dyDescent="0.3">
      <c r="A281" s="1" t="s">
        <v>93</v>
      </c>
      <c r="B281" s="2">
        <f>0.001*(3/10)</f>
        <v>2.9999999999999997E-4</v>
      </c>
      <c r="C281" s="2">
        <f>C70</f>
        <v>9.4952011103446587E-3</v>
      </c>
    </row>
    <row r="282" spans="1:5" x14ac:dyDescent="0.3">
      <c r="A282" s="1" t="s">
        <v>94</v>
      </c>
      <c r="B282" s="2">
        <f>0.001*(4/10)</f>
        <v>4.0000000000000002E-4</v>
      </c>
      <c r="C282" s="2">
        <f>C87</f>
        <v>1.2184874943363668E-2</v>
      </c>
    </row>
    <row r="283" spans="1:5" x14ac:dyDescent="0.3">
      <c r="A283" s="1" t="s">
        <v>95</v>
      </c>
      <c r="B283" s="2">
        <f>0.001*(6/10)</f>
        <v>5.9999999999999995E-4</v>
      </c>
      <c r="C283" s="2">
        <f>C104</f>
        <v>2.2310859269481401E-2</v>
      </c>
    </row>
    <row r="284" spans="1:5" x14ac:dyDescent="0.3">
      <c r="A284" s="1" t="s">
        <v>96</v>
      </c>
      <c r="B284" s="2">
        <f>0.001*(7/10)</f>
        <v>6.9999999999999999E-4</v>
      </c>
      <c r="C284" s="2">
        <f>C121</f>
        <v>3.3707949319447129E-2</v>
      </c>
    </row>
    <row r="285" spans="1:5" x14ac:dyDescent="0.3">
      <c r="A285" s="1" t="s">
        <v>97</v>
      </c>
      <c r="B285" s="2">
        <f>0.001*(3/12)</f>
        <v>2.5000000000000001E-4</v>
      </c>
      <c r="C285" s="2">
        <f>C138</f>
        <v>9.1218614569602927E-3</v>
      </c>
    </row>
    <row r="286" spans="1:5" x14ac:dyDescent="0.3">
      <c r="A286" s="1" t="s">
        <v>98</v>
      </c>
      <c r="B286" s="2">
        <f>0.001*(4/12)</f>
        <v>3.3333333333333332E-4</v>
      </c>
      <c r="C286" s="2">
        <f>C155</f>
        <v>1.1281687232157602E-2</v>
      </c>
    </row>
    <row r="287" spans="1:5" x14ac:dyDescent="0.3">
      <c r="A287" s="1" t="s">
        <v>99</v>
      </c>
      <c r="B287" s="2">
        <f>0.001*(6/12)</f>
        <v>5.0000000000000001E-4</v>
      </c>
      <c r="C287" s="2">
        <f>C172</f>
        <v>1.7994016058381263E-2</v>
      </c>
    </row>
    <row r="288" spans="1:5" x14ac:dyDescent="0.3">
      <c r="A288" s="1" t="s">
        <v>100</v>
      </c>
      <c r="B288" s="2">
        <f>0.001*(7/12)</f>
        <v>5.8333333333333338E-4</v>
      </c>
      <c r="C288" s="2">
        <f>C189</f>
        <v>2.3683548845140463E-2</v>
      </c>
    </row>
    <row r="289" spans="1:7" x14ac:dyDescent="0.3">
      <c r="A289" s="1" t="s">
        <v>101</v>
      </c>
      <c r="B289" s="2">
        <f>0.001*(3/13)</f>
        <v>2.3076923076923079E-4</v>
      </c>
      <c r="C289" s="2">
        <f>C206</f>
        <v>9.0060757541527876E-3</v>
      </c>
    </row>
    <row r="290" spans="1:7" x14ac:dyDescent="0.3">
      <c r="A290" s="1" t="s">
        <v>102</v>
      </c>
      <c r="B290" s="2">
        <f>0.001*(4/13)</f>
        <v>3.076923076923077E-4</v>
      </c>
      <c r="C290" s="2">
        <f>C223</f>
        <v>1.0966429132334733E-2</v>
      </c>
    </row>
    <row r="291" spans="1:7" x14ac:dyDescent="0.3">
      <c r="A291" s="1" t="s">
        <v>103</v>
      </c>
      <c r="B291" s="2">
        <f>0.001*(6/13)</f>
        <v>4.6153846153846158E-4</v>
      </c>
      <c r="C291" s="2">
        <f>C240</f>
        <v>1.682415533934687E-2</v>
      </c>
    </row>
    <row r="292" spans="1:7" x14ac:dyDescent="0.3">
      <c r="A292" s="1" t="s">
        <v>104</v>
      </c>
      <c r="B292" s="2">
        <f>0.001*(7/13)</f>
        <v>5.3846153846153844E-4</v>
      </c>
      <c r="C292" s="2">
        <f>C257</f>
        <v>2.1417344212244064E-2</v>
      </c>
    </row>
    <row r="297" spans="1:7" x14ac:dyDescent="0.3">
      <c r="A297" s="14" t="s">
        <v>69</v>
      </c>
      <c r="B297" s="14"/>
      <c r="C297" s="14"/>
      <c r="D297" s="14"/>
    </row>
    <row r="298" spans="1:7" x14ac:dyDescent="0.3">
      <c r="A298" s="1" t="s">
        <v>21</v>
      </c>
      <c r="B298" s="1" t="s">
        <v>106</v>
      </c>
      <c r="C298" s="1" t="s">
        <v>71</v>
      </c>
      <c r="D298" s="1" t="s">
        <v>38</v>
      </c>
      <c r="F298" s="3"/>
      <c r="G298" s="3"/>
    </row>
    <row r="299" spans="1:7" x14ac:dyDescent="0.3">
      <c r="A299" s="1"/>
      <c r="C299" s="2"/>
      <c r="F299" s="1"/>
      <c r="G299" s="1"/>
    </row>
    <row r="300" spans="1:7" x14ac:dyDescent="0.3">
      <c r="A300" s="1" t="s">
        <v>89</v>
      </c>
      <c r="B300" s="2">
        <v>3.3333333333333332E-4</v>
      </c>
      <c r="C300" s="2">
        <f>LN(C277)</f>
        <v>-4.6242121657542761</v>
      </c>
      <c r="D300" s="2">
        <f>C300-B300*$C$319-$D$319</f>
        <v>-0.10777883242094255</v>
      </c>
    </row>
    <row r="301" spans="1:7" x14ac:dyDescent="0.3">
      <c r="A301" s="1" t="s">
        <v>90</v>
      </c>
      <c r="B301" s="2">
        <v>4.4444444444444441E-4</v>
      </c>
      <c r="C301" s="2">
        <f>LN(C278)</f>
        <v>-4.3467698212105823</v>
      </c>
      <c r="D301" s="2">
        <f>C301-B301*$C$319-$D$319</f>
        <v>-0.1655920434328042</v>
      </c>
    </row>
    <row r="302" spans="1:7" x14ac:dyDescent="0.3">
      <c r="A302" s="1" t="s">
        <v>91</v>
      </c>
      <c r="B302" s="2">
        <v>6.6666666666666664E-4</v>
      </c>
      <c r="C302" s="2">
        <f>LN(C279)</f>
        <v>-3.6074735415649481</v>
      </c>
      <c r="D302" s="2">
        <f>C302-B302*$C$319-$D$319</f>
        <v>-9.680687489828177E-2</v>
      </c>
    </row>
    <row r="303" spans="1:7" x14ac:dyDescent="0.3">
      <c r="A303" s="1" t="s">
        <v>92</v>
      </c>
      <c r="B303" s="2">
        <v>7.7777777777777784E-4</v>
      </c>
      <c r="C303" s="2">
        <f>LN(C280)</f>
        <v>-3.0146096062447563</v>
      </c>
      <c r="D303" s="2">
        <f>C303-B303*$C$319-$D$319</f>
        <v>0.16080150486635425</v>
      </c>
    </row>
    <row r="304" spans="1:7" x14ac:dyDescent="0.3">
      <c r="A304" s="1" t="s">
        <v>93</v>
      </c>
      <c r="B304" s="2">
        <v>2.9999999999999997E-4</v>
      </c>
      <c r="C304" s="2">
        <f>LN(C281)</f>
        <v>-4.6569687542845157</v>
      </c>
      <c r="D304" s="2">
        <f>C304-B304*$C$319-$D$319</f>
        <v>-3.9958754284516118E-2</v>
      </c>
    </row>
    <row r="305" spans="1:4" x14ac:dyDescent="0.3">
      <c r="A305" s="1" t="s">
        <v>94</v>
      </c>
      <c r="B305" s="2">
        <v>4.0000000000000002E-4</v>
      </c>
      <c r="C305" s="2">
        <f>LN(C282)</f>
        <v>-4.4075598551202386</v>
      </c>
      <c r="D305" s="2">
        <f>C305-B305*$C$319-$D$319</f>
        <v>-9.2279855120239063E-2</v>
      </c>
    </row>
    <row r="306" spans="1:4" x14ac:dyDescent="0.3">
      <c r="A306" s="1" t="s">
        <v>95</v>
      </c>
      <c r="B306" s="2">
        <v>5.9999999999999995E-4</v>
      </c>
      <c r="C306" s="2">
        <f>LN(C283)</f>
        <v>-3.8026817562869364</v>
      </c>
      <c r="D306" s="2">
        <f>C306-B306*$C$319-$D$319</f>
        <v>-9.086175628693649E-2</v>
      </c>
    </row>
    <row r="307" spans="1:4" x14ac:dyDescent="0.3">
      <c r="A307" s="1" t="s">
        <v>96</v>
      </c>
      <c r="B307" s="2">
        <v>6.9999999999999999E-4</v>
      </c>
      <c r="C307" s="2">
        <f>LN(C284)</f>
        <v>-3.3900215845902149</v>
      </c>
      <c r="D307" s="2">
        <f>C307-B307*$C$319-$D$319</f>
        <v>2.006841540978499E-2</v>
      </c>
    </row>
    <row r="308" spans="1:4" x14ac:dyDescent="0.3">
      <c r="A308" s="1" t="s">
        <v>97</v>
      </c>
      <c r="B308" s="2">
        <v>2.5000000000000001E-4</v>
      </c>
      <c r="C308" s="2">
        <f>LN(C285)</f>
        <v>-4.6970813886000826</v>
      </c>
      <c r="D308" s="2">
        <f>C308-B308*$C$319-$D$319</f>
        <v>7.0793611399917467E-2</v>
      </c>
    </row>
    <row r="309" spans="1:4" x14ac:dyDescent="0.3">
      <c r="A309" s="1" t="s">
        <v>98</v>
      </c>
      <c r="B309" s="2">
        <v>3.3333333333333332E-4</v>
      </c>
      <c r="C309" s="2">
        <f>LN(C286)</f>
        <v>-4.4845744667788594</v>
      </c>
      <c r="D309" s="2">
        <f>C309-B309*$C$319-$D$319</f>
        <v>3.1858866554474119E-2</v>
      </c>
    </row>
    <row r="310" spans="1:4" x14ac:dyDescent="0.3">
      <c r="A310" s="1" t="s">
        <v>99</v>
      </c>
      <c r="B310" s="2">
        <v>5.0000000000000001E-4</v>
      </c>
      <c r="C310" s="2">
        <f>LN(C287)</f>
        <v>-4.0177160175578388</v>
      </c>
      <c r="D310" s="2">
        <f>C310-B310*$C$319-$D$319</f>
        <v>-4.1660175578392966E-3</v>
      </c>
    </row>
    <row r="311" spans="1:4" x14ac:dyDescent="0.3">
      <c r="A311" s="1" t="s">
        <v>100</v>
      </c>
      <c r="B311" s="2">
        <v>5.8333333333333338E-4</v>
      </c>
      <c r="C311" s="2">
        <f>LN(C288)</f>
        <v>-3.7429746134241002</v>
      </c>
      <c r="D311" s="2">
        <f>C311-B311*$C$319-$D$319</f>
        <v>1.9133719909232738E-2</v>
      </c>
    </row>
    <row r="312" spans="1:4" x14ac:dyDescent="0.3">
      <c r="A312" s="1" t="s">
        <v>101</v>
      </c>
      <c r="B312" s="2">
        <v>2.3076923076923079E-4</v>
      </c>
      <c r="C312" s="2">
        <f>LN(C289)</f>
        <v>-4.7098558456177262</v>
      </c>
      <c r="D312" s="2">
        <f>C312-B312*$C$319-$D$319</f>
        <v>0.11604415438227367</v>
      </c>
    </row>
    <row r="313" spans="1:4" x14ac:dyDescent="0.3">
      <c r="A313" s="1" t="s">
        <v>102</v>
      </c>
      <c r="B313" s="2">
        <v>3.076923076923077E-4</v>
      </c>
      <c r="C313" s="2">
        <f>LN(C290)</f>
        <v>-4.5129165697790201</v>
      </c>
      <c r="D313" s="2">
        <f>C313-B313*$C$319-$D$319</f>
        <v>8.0883430220979768E-2</v>
      </c>
    </row>
    <row r="314" spans="1:4" x14ac:dyDescent="0.3">
      <c r="A314" s="1" t="s">
        <v>103</v>
      </c>
      <c r="B314" s="2">
        <v>4.6153846153846158E-4</v>
      </c>
      <c r="C314" s="2">
        <f>LN(C291)</f>
        <v>-4.0849396074249542</v>
      </c>
      <c r="D314" s="2">
        <f>C314-B314*$C$319-$D$319</f>
        <v>4.4660392575044838E-2</v>
      </c>
    </row>
    <row r="315" spans="1:4" x14ac:dyDescent="0.3">
      <c r="A315" s="1" t="s">
        <v>104</v>
      </c>
      <c r="B315" s="2">
        <v>5.3846153846153844E-4</v>
      </c>
      <c r="C315" s="2">
        <f>LN(C292)</f>
        <v>-3.8435542080059641</v>
      </c>
      <c r="D315" s="2">
        <f>C315-B315*$C$319-$D$319</f>
        <v>5.3945791994035375E-2</v>
      </c>
    </row>
    <row r="316" spans="1:4" x14ac:dyDescent="0.3">
      <c r="A316" s="1"/>
      <c r="C316" s="2"/>
    </row>
    <row r="317" spans="1:4" x14ac:dyDescent="0.3">
      <c r="A317" s="1"/>
      <c r="C317" s="14" t="s">
        <v>39</v>
      </c>
      <c r="D317" s="14"/>
    </row>
    <row r="318" spans="1:4" x14ac:dyDescent="0.3">
      <c r="A318" s="1"/>
      <c r="C318" s="1" t="s">
        <v>40</v>
      </c>
      <c r="D318" s="1" t="s">
        <v>41</v>
      </c>
    </row>
    <row r="319" spans="1:4" x14ac:dyDescent="0.3">
      <c r="A319" s="1"/>
      <c r="C319" s="2">
        <v>3017.3</v>
      </c>
      <c r="D319" s="2">
        <v>-5.5221999999999998</v>
      </c>
    </row>
    <row r="320" spans="1:4" x14ac:dyDescent="0.3">
      <c r="A320" s="1"/>
      <c r="C320" s="2"/>
    </row>
    <row r="321" spans="1:3" x14ac:dyDescent="0.3">
      <c r="A321" s="14" t="s">
        <v>42</v>
      </c>
      <c r="B321" s="14"/>
      <c r="C321" s="14"/>
    </row>
    <row r="322" spans="1:3" x14ac:dyDescent="0.3">
      <c r="A322" s="1" t="s">
        <v>38</v>
      </c>
      <c r="B322" s="1" t="s">
        <v>5</v>
      </c>
      <c r="C322" s="1" t="s">
        <v>43</v>
      </c>
    </row>
    <row r="323" spans="1:3" x14ac:dyDescent="0.3">
      <c r="A323" s="2">
        <v>-0.1655920434328042</v>
      </c>
      <c r="B323" s="2">
        <f>1/16-0.5/16</f>
        <v>3.125E-2</v>
      </c>
      <c r="C323" s="2">
        <f>4.91*(B323^0.14-(1-B323)^0.14)</f>
        <v>-1.8657648402099227</v>
      </c>
    </row>
    <row r="324" spans="1:3" x14ac:dyDescent="0.3">
      <c r="A324" s="2">
        <v>-0.10777883242094255</v>
      </c>
      <c r="B324" s="2">
        <f>B323+1/16</f>
        <v>9.375E-2</v>
      </c>
      <c r="C324" s="2">
        <f>4.91*(B324^0.14-(1-B324)^0.14)</f>
        <v>-1.3178098407415364</v>
      </c>
    </row>
    <row r="325" spans="1:3" x14ac:dyDescent="0.3">
      <c r="A325" s="2">
        <v>-9.680687489828177E-2</v>
      </c>
      <c r="B325" s="2">
        <f>B324+1/16</f>
        <v>0.15625</v>
      </c>
      <c r="C325" s="2">
        <f>4.91*(B325^0.14-(1-B325)^0.14)</f>
        <v>-1.0082783038771823</v>
      </c>
    </row>
    <row r="326" spans="1:3" x14ac:dyDescent="0.3">
      <c r="A326" s="2">
        <v>-9.2279855120239063E-2</v>
      </c>
      <c r="B326" s="2">
        <f>B325+1/16</f>
        <v>0.21875</v>
      </c>
      <c r="C326" s="2">
        <f>4.91*(B326^0.14-(1-B326)^0.14)</f>
        <v>-0.77427005635431245</v>
      </c>
    </row>
    <row r="327" spans="1:3" x14ac:dyDescent="0.3">
      <c r="A327" s="2">
        <v>-9.086175628693649E-2</v>
      </c>
      <c r="B327" s="2">
        <f>B326+1/16</f>
        <v>0.28125</v>
      </c>
      <c r="C327" s="2">
        <f>4.91*(B327^0.14-(1-B327)^0.14)</f>
        <v>-0.57709366971925891</v>
      </c>
    </row>
    <row r="328" spans="1:3" x14ac:dyDescent="0.3">
      <c r="A328" s="2">
        <v>-3.9958754284516118E-2</v>
      </c>
      <c r="B328" s="2">
        <f>B327+1/16</f>
        <v>0.34375</v>
      </c>
      <c r="C328" s="2">
        <f>4.91*(B328^0.14-(1-B328)^0.14)</f>
        <v>-0.4006301257381869</v>
      </c>
    </row>
    <row r="329" spans="1:3" x14ac:dyDescent="0.3">
      <c r="A329" s="2">
        <v>-4.1660175578392966E-3</v>
      </c>
      <c r="B329" s="2">
        <f>B328+1/16</f>
        <v>0.40625</v>
      </c>
      <c r="C329" s="2">
        <f>4.91*(B329^0.14-(1-B329)^0.14)</f>
        <v>-0.23617194000999964</v>
      </c>
    </row>
    <row r="330" spans="1:3" x14ac:dyDescent="0.3">
      <c r="A330" s="2">
        <v>1.9133719909232738E-2</v>
      </c>
      <c r="B330" s="2">
        <f>B329+1/16</f>
        <v>0.46875</v>
      </c>
      <c r="C330" s="2">
        <f>4.91*(B330^0.14-(1-B330)^0.14)</f>
        <v>-7.8059966366998385E-2</v>
      </c>
    </row>
    <row r="331" spans="1:3" x14ac:dyDescent="0.3">
      <c r="A331" s="2">
        <v>2.006841540978499E-2</v>
      </c>
      <c r="B331" s="2">
        <f>B330+1/16</f>
        <v>0.53125</v>
      </c>
      <c r="C331" s="2">
        <f>4.91*(B331^0.14-(1-B331)^0.14)</f>
        <v>7.8059966366998385E-2</v>
      </c>
    </row>
    <row r="332" spans="1:3" x14ac:dyDescent="0.3">
      <c r="A332" s="2">
        <v>3.1858866554474119E-2</v>
      </c>
      <c r="B332" s="2">
        <f>B331+1/16</f>
        <v>0.59375</v>
      </c>
      <c r="C332" s="2">
        <f>4.91*(B332^0.14-(1-B332)^0.14)</f>
        <v>0.23617194000999964</v>
      </c>
    </row>
    <row r="333" spans="1:3" x14ac:dyDescent="0.3">
      <c r="A333" s="2">
        <v>4.4660392575044838E-2</v>
      </c>
      <c r="B333" s="2">
        <f>B332+1/16</f>
        <v>0.65625</v>
      </c>
      <c r="C333" s="2">
        <f>4.91*(B333^0.14-(1-B333)^0.14)</f>
        <v>0.4006301257381869</v>
      </c>
    </row>
    <row r="334" spans="1:3" x14ac:dyDescent="0.3">
      <c r="A334" s="2">
        <v>5.3945791994035375E-2</v>
      </c>
      <c r="B334" s="2">
        <f>B333+1/16</f>
        <v>0.71875</v>
      </c>
      <c r="C334" s="2">
        <f>4.91*(B334^0.14-(1-B334)^0.14)</f>
        <v>0.57709366971925891</v>
      </c>
    </row>
    <row r="335" spans="1:3" x14ac:dyDescent="0.3">
      <c r="A335" s="2">
        <v>7.0793611399917467E-2</v>
      </c>
      <c r="B335" s="2">
        <f>B334+1/16</f>
        <v>0.78125</v>
      </c>
      <c r="C335" s="2">
        <f>4.91*(B335^0.14-(1-B335)^0.14)</f>
        <v>0.77427005635431245</v>
      </c>
    </row>
    <row r="336" spans="1:3" x14ac:dyDescent="0.3">
      <c r="A336" s="2">
        <v>8.0883430220979768E-2</v>
      </c>
      <c r="B336" s="2">
        <f>B335+1/16</f>
        <v>0.84375</v>
      </c>
      <c r="C336" s="2">
        <f>4.91*(B336^0.14-(1-B336)^0.14)</f>
        <v>1.0082783038771823</v>
      </c>
    </row>
    <row r="337" spans="1:3" x14ac:dyDescent="0.3">
      <c r="A337" s="2">
        <v>0.11604415438227367</v>
      </c>
      <c r="B337" s="2">
        <f>B336+1/16</f>
        <v>0.90625</v>
      </c>
      <c r="C337" s="2">
        <f>4.91*(B337^0.14-(1-B337)^0.14)</f>
        <v>1.3178098407415364</v>
      </c>
    </row>
    <row r="338" spans="1:3" x14ac:dyDescent="0.3">
      <c r="A338" s="2">
        <v>0.16080150486635425</v>
      </c>
      <c r="B338" s="2">
        <f>B337+1/16</f>
        <v>0.96875</v>
      </c>
      <c r="C338" s="2">
        <f>4.91*(B338^0.14-(1-B338)^0.14)</f>
        <v>1.8657648402099227</v>
      </c>
    </row>
    <row r="340" spans="1:3" x14ac:dyDescent="0.3">
      <c r="A340" s="14" t="s">
        <v>44</v>
      </c>
      <c r="B340" s="14"/>
    </row>
    <row r="341" spans="1:3" x14ac:dyDescent="0.3">
      <c r="A341" s="1" t="s">
        <v>38</v>
      </c>
      <c r="B341" s="1" t="s">
        <v>45</v>
      </c>
    </row>
    <row r="342" spans="1:3" x14ac:dyDescent="0.3">
      <c r="A342" s="2">
        <v>-0.10777883242094255</v>
      </c>
      <c r="B342" s="2">
        <f>B299*$C$319+$D$319</f>
        <v>-5.5221999999999998</v>
      </c>
    </row>
    <row r="343" spans="1:3" x14ac:dyDescent="0.3">
      <c r="A343" s="2">
        <v>-0.1655920434328042</v>
      </c>
      <c r="B343" s="2">
        <f>B300*$C$319+$D$319</f>
        <v>-4.5164333333333335</v>
      </c>
    </row>
    <row r="344" spans="1:3" x14ac:dyDescent="0.3">
      <c r="A344" s="2">
        <v>-9.680687489828177E-2</v>
      </c>
      <c r="B344" s="2">
        <f>B301*$C$319+$D$319</f>
        <v>-4.1811777777777781</v>
      </c>
    </row>
    <row r="345" spans="1:3" x14ac:dyDescent="0.3">
      <c r="A345" s="2">
        <v>0.16080150486635425</v>
      </c>
      <c r="B345" s="2">
        <f>B302*$C$319+$D$319</f>
        <v>-3.5106666666666664</v>
      </c>
    </row>
    <row r="346" spans="1:3" x14ac:dyDescent="0.3">
      <c r="A346" s="2">
        <v>-3.9958754284516118E-2</v>
      </c>
      <c r="B346" s="2">
        <f>B303*$C$319+$D$319</f>
        <v>-3.1754111111111105</v>
      </c>
    </row>
    <row r="347" spans="1:3" x14ac:dyDescent="0.3">
      <c r="A347" s="2">
        <v>-9.2279855120239063E-2</v>
      </c>
      <c r="B347" s="2">
        <f>B304*$C$319+$D$319</f>
        <v>-4.6170099999999996</v>
      </c>
    </row>
    <row r="348" spans="1:3" x14ac:dyDescent="0.3">
      <c r="A348" s="2">
        <v>-9.086175628693649E-2</v>
      </c>
      <c r="B348" s="2">
        <f>B305*$C$319+$D$319</f>
        <v>-4.3152799999999996</v>
      </c>
    </row>
    <row r="349" spans="1:3" x14ac:dyDescent="0.3">
      <c r="A349" s="2">
        <v>2.006841540978499E-2</v>
      </c>
      <c r="B349" s="2">
        <f>B306*$C$319+$D$319</f>
        <v>-3.7118199999999999</v>
      </c>
    </row>
    <row r="350" spans="1:3" x14ac:dyDescent="0.3">
      <c r="A350" s="2">
        <v>7.0793611399917467E-2</v>
      </c>
      <c r="B350" s="2">
        <f>B307*$C$319+$D$319</f>
        <v>-3.4100899999999998</v>
      </c>
    </row>
    <row r="351" spans="1:3" x14ac:dyDescent="0.3">
      <c r="A351" s="2">
        <v>3.1858866554474119E-2</v>
      </c>
      <c r="B351" s="2">
        <f>B308*$C$319+$D$319</f>
        <v>-4.7678750000000001</v>
      </c>
    </row>
    <row r="352" spans="1:3" x14ac:dyDescent="0.3">
      <c r="A352" s="2">
        <v>-4.1660175578392966E-3</v>
      </c>
      <c r="B352" s="2">
        <f>B309*$C$319+$D$319</f>
        <v>-4.5164333333333335</v>
      </c>
    </row>
    <row r="353" spans="1:2" x14ac:dyDescent="0.3">
      <c r="A353" s="2">
        <v>1.9133719909232738E-2</v>
      </c>
      <c r="B353" s="2">
        <f>B310*$C$319+$D$319</f>
        <v>-4.0135499999999995</v>
      </c>
    </row>
    <row r="354" spans="1:2" x14ac:dyDescent="0.3">
      <c r="A354" s="2">
        <v>0.11604415438227367</v>
      </c>
      <c r="B354" s="2">
        <f>B311*$C$319+$D$319</f>
        <v>-3.7621083333333329</v>
      </c>
    </row>
    <row r="355" spans="1:2" x14ac:dyDescent="0.3">
      <c r="A355" s="2">
        <v>8.0883430220979768E-2</v>
      </c>
      <c r="B355" s="2">
        <f>B312*$C$319+$D$319</f>
        <v>-4.8258999999999999</v>
      </c>
    </row>
    <row r="356" spans="1:2" x14ac:dyDescent="0.3">
      <c r="A356" s="2">
        <v>4.4660392575044838E-2</v>
      </c>
      <c r="B356" s="2">
        <f>B313*$C$319+$D$319</f>
        <v>-4.5937999999999999</v>
      </c>
    </row>
    <row r="357" spans="1:2" x14ac:dyDescent="0.3">
      <c r="A357" s="2">
        <v>5.3945791994035375E-2</v>
      </c>
      <c r="B357" s="2">
        <f>B314*$C$319+$D$319</f>
        <v>-4.1295999999999999</v>
      </c>
    </row>
    <row r="359" spans="1:2" x14ac:dyDescent="0.3">
      <c r="A359" s="14" t="s">
        <v>46</v>
      </c>
      <c r="B359" s="14"/>
    </row>
    <row r="360" spans="1:2" x14ac:dyDescent="0.3">
      <c r="A360" s="1" t="s">
        <v>38</v>
      </c>
      <c r="B360" s="1" t="s">
        <v>47</v>
      </c>
    </row>
    <row r="361" spans="1:2" x14ac:dyDescent="0.3">
      <c r="A361" s="2">
        <v>-0.10777883242094255</v>
      </c>
      <c r="B361" s="2">
        <v>1</v>
      </c>
    </row>
    <row r="362" spans="1:2" x14ac:dyDescent="0.3">
      <c r="A362" s="2">
        <v>-0.1655920434328042</v>
      </c>
      <c r="B362" s="2">
        <v>2</v>
      </c>
    </row>
    <row r="363" spans="1:2" x14ac:dyDescent="0.3">
      <c r="A363" s="2">
        <v>-9.680687489828177E-2</v>
      </c>
      <c r="B363" s="2">
        <v>3</v>
      </c>
    </row>
    <row r="364" spans="1:2" x14ac:dyDescent="0.3">
      <c r="A364" s="2">
        <v>0.16080150486635425</v>
      </c>
      <c r="B364" s="2">
        <v>4</v>
      </c>
    </row>
    <row r="365" spans="1:2" x14ac:dyDescent="0.3">
      <c r="A365" s="2">
        <v>-3.9958754284516118E-2</v>
      </c>
      <c r="B365" s="2">
        <v>5</v>
      </c>
    </row>
    <row r="366" spans="1:2" x14ac:dyDescent="0.3">
      <c r="A366" s="2">
        <v>-9.2279855120239063E-2</v>
      </c>
      <c r="B366" s="2">
        <v>6</v>
      </c>
    </row>
    <row r="367" spans="1:2" x14ac:dyDescent="0.3">
      <c r="A367" s="2">
        <v>-9.086175628693649E-2</v>
      </c>
      <c r="B367" s="2">
        <v>7</v>
      </c>
    </row>
    <row r="368" spans="1:2" x14ac:dyDescent="0.3">
      <c r="A368" s="2">
        <v>2.006841540978499E-2</v>
      </c>
      <c r="B368" s="2">
        <v>8</v>
      </c>
    </row>
    <row r="369" spans="1:12" x14ac:dyDescent="0.3">
      <c r="A369" s="2">
        <v>7.0793611399917467E-2</v>
      </c>
      <c r="B369" s="2">
        <v>9</v>
      </c>
    </row>
    <row r="370" spans="1:12" x14ac:dyDescent="0.3">
      <c r="A370" s="2">
        <v>3.1858866554474119E-2</v>
      </c>
      <c r="B370" s="2">
        <v>10</v>
      </c>
    </row>
    <row r="371" spans="1:12" x14ac:dyDescent="0.3">
      <c r="A371" s="2">
        <v>-4.1660175578392966E-3</v>
      </c>
      <c r="B371" s="2">
        <v>11</v>
      </c>
    </row>
    <row r="372" spans="1:12" x14ac:dyDescent="0.3">
      <c r="A372" s="2">
        <v>1.9133719909232738E-2</v>
      </c>
      <c r="B372" s="2">
        <v>12</v>
      </c>
    </row>
    <row r="373" spans="1:12" x14ac:dyDescent="0.3">
      <c r="A373" s="2">
        <v>0.11604415438227367</v>
      </c>
      <c r="B373" s="2">
        <v>13</v>
      </c>
    </row>
    <row r="374" spans="1:12" x14ac:dyDescent="0.3">
      <c r="A374" s="2">
        <v>8.0883430220979768E-2</v>
      </c>
      <c r="B374" s="2">
        <v>14</v>
      </c>
    </row>
    <row r="375" spans="1:12" x14ac:dyDescent="0.3">
      <c r="A375" s="2">
        <v>4.4660392575044838E-2</v>
      </c>
      <c r="B375" s="2">
        <v>15</v>
      </c>
    </row>
    <row r="376" spans="1:12" x14ac:dyDescent="0.3">
      <c r="A376" s="2">
        <v>5.3945791994035375E-2</v>
      </c>
      <c r="B376" s="2">
        <v>16</v>
      </c>
    </row>
    <row r="380" spans="1:12" x14ac:dyDescent="0.3">
      <c r="A380" s="14" t="s">
        <v>48</v>
      </c>
      <c r="B380" s="14"/>
      <c r="C380" s="14"/>
      <c r="E380" s="1" t="s">
        <v>49</v>
      </c>
      <c r="F380" s="1" t="s">
        <v>50</v>
      </c>
      <c r="G380" s="1" t="s">
        <v>51</v>
      </c>
      <c r="H380" s="1" t="s">
        <v>52</v>
      </c>
      <c r="L380" s="1" t="s">
        <v>53</v>
      </c>
    </row>
    <row r="381" spans="1:12" x14ac:dyDescent="0.3">
      <c r="A381" s="1"/>
      <c r="B381" s="1" t="s">
        <v>40</v>
      </c>
      <c r="C381" s="1" t="s">
        <v>41</v>
      </c>
      <c r="E381" s="2">
        <v>2.145</v>
      </c>
      <c r="F381" s="2">
        <f>SUM(D300*D300, D301*D301,D302*D302,D303*D303,D304*D304,D305*D305,D306*D306,D307*D307,D308*D308,D309*D309,D310*D310,D311*D311,D312*D312,D313*D313,D314*D314,D315*D315)</f>
        <v>0.12435982224118346</v>
      </c>
      <c r="G381" s="2">
        <f>SUM(C300:C315)/16</f>
        <v>-4.1214943626403135</v>
      </c>
      <c r="H381" s="2">
        <f>SUM(C300*C300,C301*C301,C302*C302,C303*C303,C304*C304,C305*C305,C306*C306,C307*C307,C308*C308,C309*C309,C310*C310,C311*C311,C312*C312,C313*C313,C314*C314,C315*C315)-16*G381*G381</f>
        <v>3.9932879738432803</v>
      </c>
      <c r="L381" s="2">
        <f>(C300-$G$381)^2</f>
        <v>0.25272518956772877</v>
      </c>
    </row>
    <row r="382" spans="1:12" x14ac:dyDescent="0.3">
      <c r="A382" s="1" t="s">
        <v>54</v>
      </c>
      <c r="B382" s="2">
        <f>$C$319+$E$381*SQRT(($F$381/14)*(1/$H$381))</f>
        <v>3017.4011667992518</v>
      </c>
      <c r="C382" s="2">
        <f>$D$319+$E$381*SQRT(($F$381/(16*14))*(($G$381^2)/$H$381))</f>
        <v>-5.4179604017997276</v>
      </c>
      <c r="L382" s="2">
        <f>(C301-$G$381)^2</f>
        <v>5.074903223404488E-2</v>
      </c>
    </row>
    <row r="383" spans="1:12" x14ac:dyDescent="0.3">
      <c r="A383" s="1" t="s">
        <v>55</v>
      </c>
      <c r="B383" s="2">
        <f>$C$319-$E$381*SQRT(($F$381/14)*(1/$H$381))</f>
        <v>3017.1988332007486</v>
      </c>
      <c r="C383" s="2">
        <f>$D$319-$E$381*SQRT(($F$381/(16*4))*(($G$381^2)/$H$381))</f>
        <v>-5.7172144313001976</v>
      </c>
      <c r="E383" s="1" t="s">
        <v>56</v>
      </c>
      <c r="F383" s="1" t="s">
        <v>105</v>
      </c>
      <c r="L383" s="2">
        <f>(C302-$G$381)^2</f>
        <v>0.26421740449899278</v>
      </c>
    </row>
    <row r="384" spans="1:12" x14ac:dyDescent="0.3">
      <c r="E384" s="2">
        <f>SUM(L381:L396)</f>
        <v>3.9932879738432603</v>
      </c>
      <c r="F384" s="2">
        <f>($E$384 - $F$381)/$E$384</f>
        <v>0.96885778760365848</v>
      </c>
      <c r="L384" s="2">
        <f>(C303-$G$381)^2</f>
        <v>1.2251938639408522</v>
      </c>
    </row>
    <row r="385" spans="1:12" x14ac:dyDescent="0.3">
      <c r="A385" s="14" t="s">
        <v>58</v>
      </c>
      <c r="B385" s="14"/>
      <c r="C385" s="14"/>
      <c r="L385" s="2">
        <f>(C304-$G$381)^2</f>
        <v>0.2867328241067284</v>
      </c>
    </row>
    <row r="386" spans="1:12" x14ac:dyDescent="0.3">
      <c r="A386" s="1" t="s">
        <v>45</v>
      </c>
      <c r="B386" s="1" t="s">
        <v>11</v>
      </c>
      <c r="C386" s="1" t="s">
        <v>10</v>
      </c>
      <c r="L386" s="2">
        <f>(C305-$G$381)^2</f>
        <v>8.1833465987782072E-2</v>
      </c>
    </row>
    <row r="387" spans="1:12" x14ac:dyDescent="0.3">
      <c r="A387" s="2">
        <f>B300*$C$319+$D$319</f>
        <v>-4.5164333333333335</v>
      </c>
      <c r="B387" s="2">
        <f>$A387-$E$381*SQRT(($F$381/14)*(1 + 1/16+((B299-$G$381)^2)/$H$381))</f>
        <v>-4.9825651575299732</v>
      </c>
      <c r="C387" s="2">
        <f>$A387+$E$381*SQRT(($F$381/14)*(1 + 1/16+((C299-$G$381)^2)/$H$381))</f>
        <v>-4.0503015091366938</v>
      </c>
      <c r="L387" s="2">
        <f>(C306-$G$381)^2</f>
        <v>0.10164147796983342</v>
      </c>
    </row>
    <row r="388" spans="1:12" x14ac:dyDescent="0.3">
      <c r="A388" s="2">
        <f>B301*$C$319+$D$319</f>
        <v>-4.1811777777777781</v>
      </c>
      <c r="B388" s="2">
        <f>$A388-$E$381*SQRT(($F$381/14)*(1 + 1/16+((B300-$G$381)^2)/$H$381))</f>
        <v>-4.6473397670369758</v>
      </c>
      <c r="C388" s="2">
        <f>$A388+$E$381*SQRT(($F$381/14)*(1 + 1/16+((C300-$G$381)^2)/$H$381))</f>
        <v>-3.9666756843731892</v>
      </c>
      <c r="L388" s="2">
        <f>(C307-$G$381)^2</f>
        <v>0.53505242502832895</v>
      </c>
    </row>
    <row r="389" spans="1:12" x14ac:dyDescent="0.3">
      <c r="A389" s="2">
        <f>B302*$C$319+$D$319</f>
        <v>-3.5106666666666664</v>
      </c>
      <c r="B389" s="2">
        <f>$A389-$E$381*SQRT(($F$381/14)*(1 + 1/16+((B301-$G$381)^2)/$H$381))</f>
        <v>-3.9768387110550507</v>
      </c>
      <c r="C389" s="2">
        <f>$A389+$E$381*SQRT(($F$381/14)*(1 + 1/16+((C301-$G$381)^2)/$H$381))</f>
        <v>-3.3010384758112901</v>
      </c>
      <c r="L389" s="2">
        <f>(C308-$G$381)^2</f>
        <v>0.33130042445321189</v>
      </c>
    </row>
    <row r="390" spans="1:12" x14ac:dyDescent="0.3">
      <c r="A390" s="2">
        <f>B303*$C$319+$D$319</f>
        <v>-3.1754111111111105</v>
      </c>
      <c r="B390" s="2">
        <f>$A390-$E$381*SQRT(($F$381/14)*(1 + 1/16+((B302-$G$381)^2)/$H$381))</f>
        <v>-3.6416032659203479</v>
      </c>
      <c r="C390" s="2">
        <f>$A390+$E$381*SQRT(($F$381/14)*(1 + 1/16+((C302-$G$381)^2)/$H$381))</f>
        <v>-2.9606350237746559</v>
      </c>
      <c r="L390" s="2">
        <f>(C309-$G$381)^2</f>
        <v>0.1318271620212573</v>
      </c>
    </row>
    <row r="391" spans="1:12" x14ac:dyDescent="0.3">
      <c r="A391" s="2">
        <f>B304*$C$319+$D$319</f>
        <v>-4.6170099999999996</v>
      </c>
      <c r="B391" s="2">
        <f>$A391-$E$381*SQRT(($F$381/14)*(1 + 1/16+((B303-$G$381)^2)/$H$381))</f>
        <v>-5.0832122101008963</v>
      </c>
      <c r="C391" s="2">
        <f>$A391+$E$381*SQRT(($F$381/14)*(1 + 1/16+((C303-$G$381)^2)/$H$381))</f>
        <v>-4.3804426863201051</v>
      </c>
      <c r="L391" s="2">
        <f>(C310-$G$381)^2</f>
        <v>1.0769944908057209E-2</v>
      </c>
    </row>
    <row r="392" spans="1:12" x14ac:dyDescent="0.3">
      <c r="A392" s="2">
        <f>B305*$C$319+$D$319</f>
        <v>-4.3152799999999996</v>
      </c>
      <c r="B392" s="2">
        <f>$A392-$E$381*SQRT(($F$381/14)*(1 + 1/16+((B304-$G$381)^2)/$H$381))</f>
        <v>-4.7814389727310029</v>
      </c>
      <c r="C392" s="2">
        <f>$A392+$E$381*SQRT(($F$381/14)*(1 + 1/16+((C304-$G$381)^2)/$H$381))</f>
        <v>-4.0999681175235878</v>
      </c>
      <c r="L392" s="2">
        <f>(C311-$G$381)^2</f>
        <v>0.14327720054670504</v>
      </c>
    </row>
    <row r="393" spans="1:12" x14ac:dyDescent="0.3">
      <c r="A393" s="2">
        <f>B306*$C$319+$D$319</f>
        <v>-3.7118199999999999</v>
      </c>
      <c r="B393" s="2">
        <f>$A393-$E$381*SQRT(($F$381/14)*(1 + 1/16+((B305-$G$381)^2)/$H$381))</f>
        <v>-4.1779880223302097</v>
      </c>
      <c r="C393" s="2">
        <f>$A393+$E$381*SQRT(($F$381/14)*(1 + 1/16+((C305-$G$381)^2)/$H$381))</f>
        <v>-3.5014343566765365</v>
      </c>
      <c r="L393" s="2">
        <f>(C312-$G$381)^2</f>
        <v>0.34616923465138022</v>
      </c>
    </row>
    <row r="394" spans="1:12" x14ac:dyDescent="0.3">
      <c r="A394" s="2">
        <f>B307*$C$319+$D$319</f>
        <v>-3.4100899999999998</v>
      </c>
      <c r="B394" s="2">
        <f>$A394-$E$381*SQRT(($F$381/14)*(1 + 1/16+((B306-$G$381)^2)/$H$381))</f>
        <v>-3.8762761216602355</v>
      </c>
      <c r="C394" s="2">
        <f>$A394+$E$381*SQRT(($F$381/14)*(1 + 1/16+((C306-$G$381)^2)/$H$381))</f>
        <v>-3.1992231026495812</v>
      </c>
      <c r="L394" s="2">
        <f>(C313-$G$381)^2</f>
        <v>0.15321134424133651</v>
      </c>
    </row>
    <row r="395" spans="1:12" x14ac:dyDescent="0.3">
      <c r="A395" s="2">
        <f>B308*$C$319+$D$319</f>
        <v>-4.7678750000000001</v>
      </c>
      <c r="B395" s="2">
        <f>$A395-$E$381*SQRT(($F$381/14)*(1 + 1/16+((B307-$G$381)^2)/$H$381))</f>
        <v>-5.2340701713910498</v>
      </c>
      <c r="C395" s="2">
        <f>$A395+$E$381*SQRT(($F$381/14)*(1 + 1/16+((C307-$G$381)^2)/$H$381))</f>
        <v>-4.5467399990683539</v>
      </c>
      <c r="L395" s="2">
        <f>(C314-$G$381)^2</f>
        <v>1.3362501288548406E-3</v>
      </c>
    </row>
    <row r="396" spans="1:12" x14ac:dyDescent="0.3">
      <c r="A396" s="2">
        <f>B309*$C$319+$D$319</f>
        <v>-4.5164333333333335</v>
      </c>
      <c r="B396" s="2">
        <f>$A396-$E$381*SQRT(($F$381/14)*(1 + 1/16+((B308-$G$381)^2)/$H$381))</f>
        <v>-4.982587781281187</v>
      </c>
      <c r="C396" s="2">
        <f>$A396+$E$381*SQRT(($F$381/14)*(1 + 1/16+((C308-$G$381)^2)/$H$381))</f>
        <v>-4.300064796566109</v>
      </c>
      <c r="L396" s="2">
        <f>(C315-$G$381)^2</f>
        <v>7.7250729558166059E-2</v>
      </c>
    </row>
    <row r="397" spans="1:12" x14ac:dyDescent="0.3">
      <c r="A397" s="2">
        <f>B310*$C$319+$D$319</f>
        <v>-4.0135499999999995</v>
      </c>
      <c r="B397" s="2">
        <f>$A397-$E$381*SQRT(($F$381/14)*(1 + 1/16+((B309-$G$381)^2)/$H$381))</f>
        <v>-4.4797119892591972</v>
      </c>
      <c r="C397" s="2">
        <f>$A397+$E$381*SQRT(($F$381/14)*(1 + 1/16+((C309-$G$381)^2)/$H$381))</f>
        <v>-3.8019518183896035</v>
      </c>
    </row>
    <row r="398" spans="1:12" x14ac:dyDescent="0.3">
      <c r="A398" s="2">
        <f>B311*$C$319+$D$319</f>
        <v>-3.7621083333333329</v>
      </c>
      <c r="B398" s="2">
        <f>$A398-$E$381*SQRT(($F$381/14)*(1 + 1/16+((B310-$G$381)^2)/$H$381))</f>
        <v>-4.2282854053066208</v>
      </c>
      <c r="C398" s="2">
        <f>$A398+$E$381*SQRT(($F$381/14)*(1 + 1/16+((C310-$G$381)^2)/$H$381))</f>
        <v>-3.5534583786583882</v>
      </c>
    </row>
    <row r="399" spans="1:12" x14ac:dyDescent="0.3">
      <c r="A399" s="2">
        <f>B312*$C$319+$D$319</f>
        <v>-4.8258999999999999</v>
      </c>
      <c r="B399" s="2">
        <f>$A399-$E$381*SQRT(($F$381/14)*(1 + 1/16+((B311-$G$381)^2)/$H$381))</f>
        <v>-5.2920846133760309</v>
      </c>
      <c r="C399" s="2">
        <f>$A399+$E$381*SQRT(($F$381/14)*(1 + 1/16+((C311-$G$381)^2)/$H$381))</f>
        <v>-4.6140250878143574</v>
      </c>
    </row>
    <row r="400" spans="1:12" x14ac:dyDescent="0.3">
      <c r="A400" s="2">
        <f>B313*$C$319+$D$319</f>
        <v>-4.5937999999999999</v>
      </c>
      <c r="B400" s="2">
        <f>$A400-$E$381*SQRT(($F$381/14)*(1 + 1/16+((B312-$G$381)^2)/$H$381))</f>
        <v>-5.0599527076495621</v>
      </c>
      <c r="C400" s="2">
        <f>$A400+$E$381*SQRT(($F$381/14)*(1 + 1/16+((C312-$G$381)^2)/$H$381))</f>
        <v>-4.3770800843697195</v>
      </c>
    </row>
    <row r="401" spans="1:3" x14ac:dyDescent="0.3">
      <c r="A401" s="2">
        <f>B314*$C$319+$D$319</f>
        <v>-4.1295999999999999</v>
      </c>
      <c r="B401" s="2">
        <f>$A401-$E$381*SQRT(($F$381/14)*(1 + 1/16+((B313-$G$381)^2)/$H$381))</f>
        <v>-4.5957596688524616</v>
      </c>
      <c r="C401" s="2">
        <f>$A401+$E$381*SQRT(($F$381/14)*(1 + 1/16+((C313-$G$381)^2)/$H$381))</f>
        <v>-3.9174852866832381</v>
      </c>
    </row>
    <row r="402" spans="1:3" x14ac:dyDescent="0.3">
      <c r="A402" s="2">
        <f>B315*$C$319+$D$319</f>
        <v>-3.8975</v>
      </c>
      <c r="B402" s="2">
        <f>$A402-$E$381*SQRT(($F$381/14)*(1 + 1/16+((B314-$G$381)^2)/$H$381))</f>
        <v>-4.3636735913361431</v>
      </c>
      <c r="C402" s="2">
        <f>$A402+$E$381*SQRT(($F$381/14)*(1 + 1/16+((C314-$G$381)^2)/$H$381))</f>
        <v>-3.6890815450848033</v>
      </c>
    </row>
  </sheetData>
  <sortState xmlns:xlrd2="http://schemas.microsoft.com/office/spreadsheetml/2017/richdata2" ref="A323:A338">
    <sortCondition ref="A323:A338"/>
  </sortState>
  <mergeCells count="8">
    <mergeCell ref="A380:C380"/>
    <mergeCell ref="A385:C385"/>
    <mergeCell ref="A274:C274"/>
    <mergeCell ref="A297:D297"/>
    <mergeCell ref="C317:D317"/>
    <mergeCell ref="A321:C321"/>
    <mergeCell ref="A340:B340"/>
    <mergeCell ref="A359:B3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457B-BCA9-487A-BA48-EDA722295FDB}">
  <dimension ref="A1:L402"/>
  <sheetViews>
    <sheetView topLeftCell="A264" zoomScaleNormal="100" workbookViewId="0">
      <selection activeCell="H280" sqref="H280"/>
    </sheetView>
  </sheetViews>
  <sheetFormatPr defaultColWidth="9.109375" defaultRowHeight="14.4" x14ac:dyDescent="0.3"/>
  <cols>
    <col min="1" max="1" width="29.109375" style="2" customWidth="1"/>
    <col min="2" max="2" width="17.33203125" style="2" customWidth="1"/>
    <col min="3" max="3" width="17" style="5" customWidth="1"/>
    <col min="4" max="4" width="28" style="2" customWidth="1"/>
    <col min="5" max="5" width="16.88671875" style="2" customWidth="1"/>
    <col min="6" max="6" width="25.109375" style="2" customWidth="1"/>
    <col min="7" max="7" width="9.109375" style="2"/>
    <col min="8" max="8" width="21" style="2" customWidth="1"/>
    <col min="9" max="9" width="15.6640625" style="2" customWidth="1"/>
    <col min="10" max="10" width="15.88671875" style="2" customWidth="1"/>
    <col min="11" max="11" width="14.5546875" style="2" customWidth="1"/>
    <col min="12" max="12" width="14.109375" style="2" customWidth="1"/>
    <col min="13" max="16384" width="9.109375" style="2"/>
  </cols>
  <sheetData>
    <row r="1" spans="1:11" x14ac:dyDescent="0.3">
      <c r="A1" s="1" t="s">
        <v>72</v>
      </c>
      <c r="C1" s="3" t="s">
        <v>1</v>
      </c>
      <c r="D1" s="1" t="s">
        <v>2</v>
      </c>
      <c r="E1" s="1" t="s">
        <v>3</v>
      </c>
      <c r="H1" s="1" t="s">
        <v>4</v>
      </c>
      <c r="I1" s="1" t="s">
        <v>5</v>
      </c>
      <c r="J1" s="1" t="s">
        <v>6</v>
      </c>
      <c r="K1" s="1"/>
    </row>
    <row r="2" spans="1:11" x14ac:dyDescent="0.3">
      <c r="A2" s="12">
        <v>9.7870077611414003E-3</v>
      </c>
      <c r="C2" s="5">
        <f>AVERAGE(A2:A16)</f>
        <v>9.8113817342714797E-3</v>
      </c>
      <c r="D2" s="2">
        <f>_xlfn.VAR.S(A2:A16)</f>
        <v>2.583489258374448E-9</v>
      </c>
      <c r="E2" s="2">
        <f>SQRT(D2)/C2</f>
        <v>5.1805176397961804E-3</v>
      </c>
      <c r="H2" s="12">
        <v>9.6953091888462E-3</v>
      </c>
      <c r="I2" s="2">
        <f>1/15 - 0.5/15</f>
        <v>3.3333333333333333E-2</v>
      </c>
      <c r="J2" s="2">
        <f t="shared" ref="J2:J16" si="0">4.91*(I2^0.14-(1-I2)^0.14)</f>
        <v>-1.836858897688687</v>
      </c>
    </row>
    <row r="3" spans="1:11" x14ac:dyDescent="0.3">
      <c r="A3" s="12">
        <v>9.8032706727616999E-3</v>
      </c>
      <c r="H3" s="12">
        <v>9.7660398783830996E-3</v>
      </c>
      <c r="I3" s="2">
        <f>I2+1/15</f>
        <v>0.1</v>
      </c>
      <c r="J3" s="2">
        <f t="shared" si="0"/>
        <v>-1.2811261510381207</v>
      </c>
    </row>
    <row r="4" spans="1:11" x14ac:dyDescent="0.3">
      <c r="A4" s="12">
        <v>9.913994332902E-3</v>
      </c>
      <c r="C4" s="3" t="s">
        <v>7</v>
      </c>
      <c r="E4" s="1" t="s">
        <v>8</v>
      </c>
      <c r="H4" s="12">
        <v>9.7739862057435994E-3</v>
      </c>
      <c r="I4" s="2">
        <f t="shared" ref="I4:I16" si="1">I3+1/15</f>
        <v>0.16666666666666669</v>
      </c>
      <c r="J4" s="2">
        <f t="shared" si="0"/>
        <v>-0.96558119772402384</v>
      </c>
    </row>
    <row r="5" spans="1:11" x14ac:dyDescent="0.3">
      <c r="A5" s="12">
        <v>9.7660398783830996E-3</v>
      </c>
      <c r="C5" s="5">
        <f>MEDIAN(A2:A16)</f>
        <v>9.8106652524677998E-3</v>
      </c>
      <c r="E5" s="2">
        <v>2.145</v>
      </c>
      <c r="H5" s="12">
        <v>9.7857580250463004E-3</v>
      </c>
      <c r="I5" s="2">
        <f t="shared" si="1"/>
        <v>0.23333333333333334</v>
      </c>
      <c r="J5" s="2">
        <f t="shared" si="0"/>
        <v>-0.72575040815577163</v>
      </c>
    </row>
    <row r="6" spans="1:11" x14ac:dyDescent="0.3">
      <c r="A6" s="12">
        <v>9.8242978141037992E-3</v>
      </c>
      <c r="H6" s="12">
        <v>9.7870077611414003E-3</v>
      </c>
      <c r="I6" s="2">
        <f t="shared" si="1"/>
        <v>0.3</v>
      </c>
      <c r="J6" s="2">
        <f t="shared" si="0"/>
        <v>-0.52246305252576009</v>
      </c>
    </row>
    <row r="7" spans="1:11" x14ac:dyDescent="0.3">
      <c r="A7" s="12">
        <v>9.7857580250463004E-3</v>
      </c>
      <c r="C7" s="3"/>
      <c r="D7" s="1" t="s">
        <v>9</v>
      </c>
      <c r="H7" s="12">
        <v>9.7969382111840995E-3</v>
      </c>
      <c r="I7" s="2">
        <f t="shared" si="1"/>
        <v>0.36666666666666664</v>
      </c>
      <c r="J7" s="2">
        <f t="shared" si="0"/>
        <v>-0.33927638280750583</v>
      </c>
    </row>
    <row r="8" spans="1:11" x14ac:dyDescent="0.3">
      <c r="A8" s="12">
        <v>9.7739862057435994E-3</v>
      </c>
      <c r="C8" s="3" t="s">
        <v>10</v>
      </c>
      <c r="D8" s="2">
        <f>C2+E5*SQRT(D2)/(SQRT(15))</f>
        <v>9.8395321619355047E-3</v>
      </c>
      <c r="H8" s="12">
        <v>9.8032706727616999E-3</v>
      </c>
      <c r="I8" s="2">
        <f t="shared" si="1"/>
        <v>0.43333333333333329</v>
      </c>
      <c r="J8" s="2">
        <f t="shared" si="0"/>
        <v>-0.16715058832373922</v>
      </c>
    </row>
    <row r="9" spans="1:11" x14ac:dyDescent="0.3">
      <c r="A9" s="12">
        <v>9.8451328506039999E-3</v>
      </c>
      <c r="C9" s="3" t="s">
        <v>11</v>
      </c>
      <c r="D9" s="2">
        <f>C2-E5*SQRT(D2)/(SQRT(15))</f>
        <v>9.7832313066074546E-3</v>
      </c>
      <c r="H9" s="12">
        <v>9.8106652524677998E-3</v>
      </c>
      <c r="I9" s="2">
        <f t="shared" si="1"/>
        <v>0.49999999999999994</v>
      </c>
      <c r="J9" s="2">
        <f t="shared" si="0"/>
        <v>0</v>
      </c>
    </row>
    <row r="10" spans="1:11" x14ac:dyDescent="0.3">
      <c r="A10" s="12">
        <v>9.6953091888462E-3</v>
      </c>
      <c r="H10" s="12">
        <v>9.8187001124904003E-3</v>
      </c>
      <c r="I10" s="2">
        <f t="shared" si="1"/>
        <v>0.56666666666666665</v>
      </c>
      <c r="J10" s="2">
        <f t="shared" si="0"/>
        <v>0.16715058832373922</v>
      </c>
    </row>
    <row r="11" spans="1:11" x14ac:dyDescent="0.3">
      <c r="A11" s="12">
        <v>9.8368871064311997E-3</v>
      </c>
      <c r="H11" s="12">
        <v>9.8242978141037992E-3</v>
      </c>
      <c r="I11" s="2">
        <f t="shared" si="1"/>
        <v>0.6333333333333333</v>
      </c>
      <c r="J11" s="2">
        <f t="shared" si="0"/>
        <v>0.33927638280750583</v>
      </c>
    </row>
    <row r="12" spans="1:11" x14ac:dyDescent="0.3">
      <c r="A12" s="12">
        <v>9.8187001124904003E-3</v>
      </c>
      <c r="H12" s="12">
        <v>9.8326104295244996E-3</v>
      </c>
      <c r="I12" s="2">
        <f t="shared" si="1"/>
        <v>0.7</v>
      </c>
      <c r="J12" s="2">
        <f t="shared" si="0"/>
        <v>0.52246305252576009</v>
      </c>
    </row>
    <row r="13" spans="1:11" x14ac:dyDescent="0.3">
      <c r="A13" s="12">
        <v>9.8801281724421007E-3</v>
      </c>
      <c r="H13" s="12">
        <v>9.8368871064311997E-3</v>
      </c>
      <c r="I13" s="2">
        <f t="shared" si="1"/>
        <v>0.76666666666666661</v>
      </c>
      <c r="J13" s="2">
        <f t="shared" si="0"/>
        <v>0.72575040815577163</v>
      </c>
    </row>
    <row r="14" spans="1:11" x14ac:dyDescent="0.3">
      <c r="A14" s="12">
        <v>9.8106652524677998E-3</v>
      </c>
      <c r="H14" s="12">
        <v>9.8451328506039999E-3</v>
      </c>
      <c r="I14" s="2">
        <f t="shared" si="1"/>
        <v>0.83333333333333326</v>
      </c>
      <c r="J14" s="2">
        <f t="shared" si="0"/>
        <v>0.96558119772402329</v>
      </c>
    </row>
    <row r="15" spans="1:11" x14ac:dyDescent="0.3">
      <c r="A15" s="12">
        <v>9.7969382111840995E-3</v>
      </c>
      <c r="H15" s="12">
        <v>9.8801281724421007E-3</v>
      </c>
      <c r="I15" s="2">
        <f t="shared" si="1"/>
        <v>0.89999999999999991</v>
      </c>
      <c r="J15" s="2">
        <f t="shared" si="0"/>
        <v>1.2811261510381207</v>
      </c>
    </row>
    <row r="16" spans="1:11" x14ac:dyDescent="0.3">
      <c r="A16" s="12">
        <v>9.8326104295244996E-3</v>
      </c>
      <c r="H16" s="12">
        <v>9.913994332902E-3</v>
      </c>
      <c r="I16" s="2">
        <f t="shared" si="1"/>
        <v>0.96666666666666656</v>
      </c>
      <c r="J16" s="2">
        <f t="shared" si="0"/>
        <v>1.8368588976886859</v>
      </c>
    </row>
    <row r="17" spans="1:10" s="6" customFormat="1" ht="3.75" customHeight="1" x14ac:dyDescent="0.3">
      <c r="C17" s="7"/>
    </row>
    <row r="18" spans="1:10" x14ac:dyDescent="0.3">
      <c r="A18" s="1" t="s">
        <v>73</v>
      </c>
      <c r="C18" s="3" t="s">
        <v>1</v>
      </c>
      <c r="D18" s="1" t="s">
        <v>2</v>
      </c>
      <c r="E18" s="1" t="s">
        <v>3</v>
      </c>
      <c r="F18" s="1"/>
      <c r="G18" s="1"/>
      <c r="H18" s="1" t="s">
        <v>4</v>
      </c>
      <c r="I18" s="1" t="s">
        <v>5</v>
      </c>
      <c r="J18" s="1" t="s">
        <v>6</v>
      </c>
    </row>
    <row r="19" spans="1:10" x14ac:dyDescent="0.3">
      <c r="A19" s="8">
        <v>1.2854701060384E-2</v>
      </c>
      <c r="C19" s="5">
        <f>AVERAGE(A19:A33)</f>
        <v>1.2948571300472732E-2</v>
      </c>
      <c r="D19" s="2">
        <f>_xlfn.VAR.S(A19:A33)</f>
        <v>6.3888312894942092E-9</v>
      </c>
      <c r="E19" s="2">
        <f>SQRT(D19)/C19</f>
        <v>6.1728945397778482E-3</v>
      </c>
      <c r="H19" s="8">
        <v>1.2828443102954E-2</v>
      </c>
      <c r="I19" s="2">
        <f>1/15 - 0.5/15</f>
        <v>3.3333333333333333E-2</v>
      </c>
      <c r="J19" s="2">
        <f t="shared" ref="J19:J33" si="2">4.91*(I19^0.14-(1-I19)^0.14)</f>
        <v>-1.836858897688687</v>
      </c>
    </row>
    <row r="20" spans="1:10" x14ac:dyDescent="0.3">
      <c r="A20" s="8">
        <v>1.2922676502639001E-2</v>
      </c>
      <c r="H20" s="8">
        <v>1.2854701060384E-2</v>
      </c>
      <c r="I20" s="2">
        <f>I19+1/15</f>
        <v>0.1</v>
      </c>
      <c r="J20" s="2">
        <f t="shared" si="2"/>
        <v>-1.2811261510381207</v>
      </c>
    </row>
    <row r="21" spans="1:10" x14ac:dyDescent="0.3">
      <c r="A21" s="8">
        <v>1.2932048108786001E-2</v>
      </c>
      <c r="C21" s="3" t="s">
        <v>7</v>
      </c>
      <c r="E21" s="1" t="s">
        <v>8</v>
      </c>
      <c r="H21" s="8">
        <v>1.2854842403286999E-2</v>
      </c>
      <c r="I21" s="2">
        <f t="shared" ref="I21:I33" si="3">I20+1/15</f>
        <v>0.16666666666666669</v>
      </c>
      <c r="J21" s="2">
        <f t="shared" si="2"/>
        <v>-0.96558119772402384</v>
      </c>
    </row>
    <row r="22" spans="1:10" x14ac:dyDescent="0.3">
      <c r="A22" s="8">
        <v>1.2995542127655E-2</v>
      </c>
      <c r="C22" s="5">
        <f>MEDIAN(A19:A33)</f>
        <v>1.2932048108786001E-2</v>
      </c>
      <c r="E22" s="2">
        <v>2.145</v>
      </c>
      <c r="H22" s="8">
        <v>1.2871783377291999E-2</v>
      </c>
      <c r="I22" s="2">
        <f t="shared" si="3"/>
        <v>0.23333333333333334</v>
      </c>
      <c r="J22" s="2">
        <f t="shared" si="2"/>
        <v>-0.72575040815577163</v>
      </c>
    </row>
    <row r="23" spans="1:10" ht="14.25" customHeight="1" x14ac:dyDescent="0.3">
      <c r="A23" s="8">
        <v>1.2828443102954E-2</v>
      </c>
      <c r="H23" s="8">
        <v>1.2874919079826999E-2</v>
      </c>
      <c r="I23" s="2">
        <f t="shared" si="3"/>
        <v>0.3</v>
      </c>
      <c r="J23" s="2">
        <f t="shared" si="2"/>
        <v>-0.52246305252576009</v>
      </c>
    </row>
    <row r="24" spans="1:10" x14ac:dyDescent="0.3">
      <c r="A24" s="8">
        <v>1.2874919079826999E-2</v>
      </c>
      <c r="C24" s="3"/>
      <c r="D24" s="1" t="s">
        <v>9</v>
      </c>
      <c r="H24" s="8">
        <v>1.2908311061363999E-2</v>
      </c>
      <c r="I24" s="2">
        <f t="shared" si="3"/>
        <v>0.36666666666666664</v>
      </c>
      <c r="J24" s="2">
        <f t="shared" si="2"/>
        <v>-0.33927638280750583</v>
      </c>
    </row>
    <row r="25" spans="1:10" x14ac:dyDescent="0.3">
      <c r="A25" s="8">
        <v>1.3040588097385E-2</v>
      </c>
      <c r="C25" s="3" t="s">
        <v>10</v>
      </c>
      <c r="D25" s="2">
        <f>C19+E22*SQRT(D19)/(SQRT(15))</f>
        <v>1.299283955281663E-2</v>
      </c>
      <c r="H25" s="8">
        <v>1.2922676502639001E-2</v>
      </c>
      <c r="I25" s="2">
        <f t="shared" si="3"/>
        <v>0.43333333333333329</v>
      </c>
      <c r="J25" s="2">
        <f t="shared" si="2"/>
        <v>-0.16715058832373922</v>
      </c>
    </row>
    <row r="26" spans="1:10" x14ac:dyDescent="0.3">
      <c r="A26" s="8">
        <v>1.3021301762985001E-2</v>
      </c>
      <c r="C26" s="3" t="s">
        <v>11</v>
      </c>
      <c r="D26" s="2">
        <f>C19-E22*SQRT(D19)/(SQRT(15))</f>
        <v>1.2904303048128835E-2</v>
      </c>
      <c r="H26" s="8">
        <v>1.2932048108786001E-2</v>
      </c>
      <c r="I26" s="2">
        <f t="shared" si="3"/>
        <v>0.49999999999999994</v>
      </c>
      <c r="J26" s="2">
        <f t="shared" si="2"/>
        <v>0</v>
      </c>
    </row>
    <row r="27" spans="1:10" x14ac:dyDescent="0.3">
      <c r="A27" s="8">
        <v>1.2854842403286999E-2</v>
      </c>
      <c r="H27" s="8">
        <v>1.2995542127655E-2</v>
      </c>
      <c r="I27" s="2">
        <f t="shared" si="3"/>
        <v>0.56666666666666665</v>
      </c>
      <c r="J27" s="2">
        <f t="shared" si="2"/>
        <v>0.16715058832373922</v>
      </c>
    </row>
    <row r="28" spans="1:10" ht="16.5" customHeight="1" x14ac:dyDescent="0.3">
      <c r="A28" s="8">
        <v>1.3048991065972E-2</v>
      </c>
      <c r="H28" s="8">
        <v>1.3019364238455001E-2</v>
      </c>
      <c r="I28" s="2">
        <f t="shared" si="3"/>
        <v>0.6333333333333333</v>
      </c>
      <c r="J28" s="2">
        <f t="shared" si="2"/>
        <v>0.33927638280750583</v>
      </c>
    </row>
    <row r="29" spans="1:10" ht="16.5" customHeight="1" x14ac:dyDescent="0.3">
      <c r="A29" s="8">
        <v>1.2908311061363999E-2</v>
      </c>
      <c r="H29" s="8">
        <v>1.3021301762985001E-2</v>
      </c>
      <c r="I29" s="2">
        <f t="shared" si="3"/>
        <v>0.7</v>
      </c>
      <c r="J29" s="2">
        <f t="shared" si="2"/>
        <v>0.52246305252576009</v>
      </c>
    </row>
    <row r="30" spans="1:10" ht="16.5" customHeight="1" x14ac:dyDescent="0.3">
      <c r="A30" s="8">
        <v>1.3026254308484E-2</v>
      </c>
      <c r="H30" s="8">
        <v>1.3026254308484E-2</v>
      </c>
      <c r="I30" s="2">
        <f t="shared" si="3"/>
        <v>0.76666666666666661</v>
      </c>
      <c r="J30" s="2">
        <f t="shared" si="2"/>
        <v>0.72575040815577163</v>
      </c>
    </row>
    <row r="31" spans="1:10" ht="16.5" customHeight="1" x14ac:dyDescent="0.3">
      <c r="A31" s="8">
        <v>1.3028803209622001E-2</v>
      </c>
      <c r="H31" s="8">
        <v>1.3028803209622001E-2</v>
      </c>
      <c r="I31" s="2">
        <f t="shared" si="3"/>
        <v>0.83333333333333326</v>
      </c>
      <c r="J31" s="2">
        <f t="shared" si="2"/>
        <v>0.96558119772402329</v>
      </c>
    </row>
    <row r="32" spans="1:10" ht="16.5" customHeight="1" x14ac:dyDescent="0.3">
      <c r="A32" s="8">
        <v>1.2871783377291999E-2</v>
      </c>
      <c r="H32" s="8">
        <v>1.3040588097385E-2</v>
      </c>
      <c r="I32" s="2">
        <f t="shared" si="3"/>
        <v>0.89999999999999991</v>
      </c>
      <c r="J32" s="2">
        <f t="shared" si="2"/>
        <v>1.2811261510381207</v>
      </c>
    </row>
    <row r="33" spans="1:10" ht="16.5" customHeight="1" x14ac:dyDescent="0.3">
      <c r="A33" s="8">
        <v>1.3019364238455001E-2</v>
      </c>
      <c r="H33" s="8">
        <v>1.3048991065972E-2</v>
      </c>
      <c r="I33" s="2">
        <f t="shared" si="3"/>
        <v>0.96666666666666656</v>
      </c>
      <c r="J33" s="2">
        <f t="shared" si="2"/>
        <v>1.8368588976886859</v>
      </c>
    </row>
    <row r="34" spans="1:10" s="6" customFormat="1" ht="3.75" customHeight="1" x14ac:dyDescent="0.3">
      <c r="C34" s="7"/>
    </row>
    <row r="35" spans="1:10" x14ac:dyDescent="0.3">
      <c r="A35" s="1" t="s">
        <v>74</v>
      </c>
      <c r="C35" s="3" t="s">
        <v>1</v>
      </c>
      <c r="D35" s="1" t="s">
        <v>2</v>
      </c>
      <c r="E35" s="1" t="s">
        <v>3</v>
      </c>
      <c r="F35" s="1"/>
      <c r="H35" s="1" t="s">
        <v>4</v>
      </c>
      <c r="I35" s="1" t="s">
        <v>5</v>
      </c>
      <c r="J35" s="1" t="s">
        <v>6</v>
      </c>
    </row>
    <row r="36" spans="1:10" x14ac:dyDescent="0.3">
      <c r="A36" s="9">
        <v>2.696214821779E-2</v>
      </c>
      <c r="C36" s="5">
        <f>AVERAGE(A36:A50)</f>
        <v>2.7120278641667668E-2</v>
      </c>
      <c r="D36" s="2">
        <f>_xlfn.VAR.S(A36:A50)</f>
        <v>1.7278262295284954E-7</v>
      </c>
      <c r="E36" s="2">
        <f>SQRT(D36)/C36</f>
        <v>1.5326955059861614E-2</v>
      </c>
      <c r="H36" s="9">
        <v>2.6109488619915001E-2</v>
      </c>
      <c r="I36" s="2">
        <f>1/15 - 0.5/15</f>
        <v>3.3333333333333333E-2</v>
      </c>
      <c r="J36" s="2">
        <f t="shared" ref="J36:J50" si="4">4.91*(I36^0.14-(1-I36)^0.14)</f>
        <v>-1.836858897688687</v>
      </c>
    </row>
    <row r="37" spans="1:10" x14ac:dyDescent="0.3">
      <c r="A37" s="9">
        <v>2.6955938940508E-2</v>
      </c>
      <c r="H37" s="9">
        <v>2.6538231897573001E-2</v>
      </c>
      <c r="I37" s="2">
        <f>I36+1/15</f>
        <v>0.1</v>
      </c>
      <c r="J37" s="2">
        <f t="shared" si="4"/>
        <v>-1.2811261510381207</v>
      </c>
    </row>
    <row r="38" spans="1:10" x14ac:dyDescent="0.3">
      <c r="A38" s="9">
        <v>2.7358768686236001E-2</v>
      </c>
      <c r="C38" s="3" t="s">
        <v>7</v>
      </c>
      <c r="E38" s="1" t="s">
        <v>8</v>
      </c>
      <c r="H38" s="9">
        <v>2.6931122765371001E-2</v>
      </c>
      <c r="I38" s="2">
        <f t="shared" ref="I38:I50" si="5">I37+1/15</f>
        <v>0.16666666666666669</v>
      </c>
      <c r="J38" s="2">
        <f t="shared" si="4"/>
        <v>-0.96558119772402384</v>
      </c>
    </row>
    <row r="39" spans="1:10" x14ac:dyDescent="0.3">
      <c r="A39" s="9">
        <v>2.7235079154607999E-2</v>
      </c>
      <c r="C39" s="5">
        <f>MEDIAN(A36:A50)</f>
        <v>2.7207548285167998E-2</v>
      </c>
      <c r="E39" s="2">
        <v>2.145</v>
      </c>
      <c r="H39" s="9">
        <v>2.6949400295111999E-2</v>
      </c>
      <c r="I39" s="2">
        <f t="shared" si="5"/>
        <v>0.23333333333333334</v>
      </c>
      <c r="J39" s="2">
        <f t="shared" si="4"/>
        <v>-0.72575040815577163</v>
      </c>
    </row>
    <row r="40" spans="1:10" x14ac:dyDescent="0.3">
      <c r="A40" s="9">
        <v>2.6109488619915001E-2</v>
      </c>
      <c r="H40" s="9">
        <v>2.6955938940508E-2</v>
      </c>
      <c r="I40" s="2">
        <f t="shared" si="5"/>
        <v>0.3</v>
      </c>
      <c r="J40" s="2">
        <f t="shared" si="4"/>
        <v>-0.52246305252576009</v>
      </c>
    </row>
    <row r="41" spans="1:10" x14ac:dyDescent="0.3">
      <c r="A41" s="9">
        <v>2.6949400295111999E-2</v>
      </c>
      <c r="C41" s="3"/>
      <c r="D41" s="1" t="s">
        <v>9</v>
      </c>
      <c r="H41" s="9">
        <v>2.696214821779E-2</v>
      </c>
      <c r="I41" s="2">
        <f t="shared" si="5"/>
        <v>0.36666666666666664</v>
      </c>
      <c r="J41" s="2">
        <f t="shared" si="4"/>
        <v>-0.33927638280750583</v>
      </c>
    </row>
    <row r="42" spans="1:10" x14ac:dyDescent="0.3">
      <c r="A42" s="9">
        <v>2.7327077478116999E-2</v>
      </c>
      <c r="C42" s="3" t="s">
        <v>10</v>
      </c>
      <c r="D42" s="2">
        <f>C36+E39*SQRT(D36)/(SQRT(15))</f>
        <v>2.7350492624412946E-2</v>
      </c>
      <c r="H42" s="9">
        <v>2.7063130655315001E-2</v>
      </c>
      <c r="I42" s="2">
        <f t="shared" si="5"/>
        <v>0.43333333333333329</v>
      </c>
      <c r="J42" s="2">
        <f t="shared" si="4"/>
        <v>-0.16715058832373922</v>
      </c>
    </row>
    <row r="43" spans="1:10" x14ac:dyDescent="0.3">
      <c r="A43" s="9">
        <v>2.6931122765371001E-2</v>
      </c>
      <c r="C43" s="3" t="s">
        <v>11</v>
      </c>
      <c r="D43" s="2">
        <f>C36-E39*SQRT(D36)/(SQRT(15))</f>
        <v>2.6890064658922391E-2</v>
      </c>
      <c r="H43" s="9">
        <v>2.7207548285167998E-2</v>
      </c>
      <c r="I43" s="2">
        <f t="shared" si="5"/>
        <v>0.49999999999999994</v>
      </c>
      <c r="J43" s="2">
        <f t="shared" si="4"/>
        <v>0</v>
      </c>
    </row>
    <row r="44" spans="1:10" x14ac:dyDescent="0.3">
      <c r="A44" s="9">
        <v>2.7063130655315001E-2</v>
      </c>
      <c r="H44" s="9">
        <v>2.7235079154607999E-2</v>
      </c>
      <c r="I44" s="2">
        <f t="shared" si="5"/>
        <v>0.56666666666666665</v>
      </c>
      <c r="J44" s="2">
        <f t="shared" si="4"/>
        <v>0.16715058832373922</v>
      </c>
    </row>
    <row r="45" spans="1:10" x14ac:dyDescent="0.3">
      <c r="A45" s="9">
        <v>2.7207548285167998E-2</v>
      </c>
      <c r="H45" s="9">
        <v>2.7327077478116999E-2</v>
      </c>
      <c r="I45" s="2">
        <f t="shared" si="5"/>
        <v>0.6333333333333333</v>
      </c>
      <c r="J45" s="2">
        <f t="shared" si="4"/>
        <v>0.33927638280750583</v>
      </c>
    </row>
    <row r="46" spans="1:10" x14ac:dyDescent="0.3">
      <c r="A46" s="9">
        <v>2.7405593190374E-2</v>
      </c>
      <c r="H46" s="9">
        <v>2.7351342143787E-2</v>
      </c>
      <c r="I46" s="2">
        <f t="shared" si="5"/>
        <v>0.7</v>
      </c>
      <c r="J46" s="2">
        <f t="shared" si="4"/>
        <v>0.52246305252576009</v>
      </c>
    </row>
    <row r="47" spans="1:10" x14ac:dyDescent="0.3">
      <c r="A47" s="9">
        <v>2.6538231897573001E-2</v>
      </c>
      <c r="H47" s="9">
        <v>2.7358768686236001E-2</v>
      </c>
      <c r="I47" s="2">
        <f t="shared" si="5"/>
        <v>0.76666666666666661</v>
      </c>
      <c r="J47" s="2">
        <f t="shared" si="4"/>
        <v>0.72575040815577163</v>
      </c>
    </row>
    <row r="48" spans="1:10" x14ac:dyDescent="0.3">
      <c r="A48" s="9">
        <v>2.7704495604266001E-2</v>
      </c>
      <c r="H48" s="9">
        <v>2.7405593190374E-2</v>
      </c>
      <c r="I48" s="2">
        <f t="shared" si="5"/>
        <v>0.83333333333333326</v>
      </c>
      <c r="J48" s="2">
        <f t="shared" si="4"/>
        <v>0.96558119772402329</v>
      </c>
    </row>
    <row r="49" spans="1:10" x14ac:dyDescent="0.3">
      <c r="A49" s="9">
        <v>2.7351342143787E-2</v>
      </c>
      <c r="H49" s="9">
        <v>2.7704495604266001E-2</v>
      </c>
      <c r="I49" s="2">
        <f t="shared" si="5"/>
        <v>0.89999999999999991</v>
      </c>
      <c r="J49" s="2">
        <f t="shared" si="4"/>
        <v>1.2811261510381207</v>
      </c>
    </row>
    <row r="50" spans="1:10" x14ac:dyDescent="0.3">
      <c r="A50" s="9">
        <v>2.7704813690875001E-2</v>
      </c>
      <c r="H50" s="9">
        <v>2.7704813690875001E-2</v>
      </c>
      <c r="I50" s="2">
        <f t="shared" si="5"/>
        <v>0.96666666666666656</v>
      </c>
      <c r="J50" s="2">
        <f t="shared" si="4"/>
        <v>1.8368588976886859</v>
      </c>
    </row>
    <row r="51" spans="1:10" s="6" customFormat="1" ht="4.5" customHeight="1" x14ac:dyDescent="0.3">
      <c r="C51" s="7"/>
    </row>
    <row r="52" spans="1:10" x14ac:dyDescent="0.3">
      <c r="A52" s="1" t="s">
        <v>75</v>
      </c>
      <c r="C52" s="3" t="s">
        <v>1</v>
      </c>
      <c r="D52" s="1" t="s">
        <v>2</v>
      </c>
      <c r="E52" s="1" t="s">
        <v>3</v>
      </c>
      <c r="F52" s="1"/>
      <c r="H52" s="1" t="s">
        <v>4</v>
      </c>
      <c r="I52" s="1" t="s">
        <v>5</v>
      </c>
      <c r="J52" s="1" t="s">
        <v>6</v>
      </c>
    </row>
    <row r="53" spans="1:10" x14ac:dyDescent="0.3">
      <c r="A53" s="9">
        <v>5.0758645099396003E-2</v>
      </c>
      <c r="C53" s="5">
        <f>AVERAGE(A53:A67)</f>
        <v>4.9064986412869271E-2</v>
      </c>
      <c r="D53" s="2">
        <f>_xlfn.VAR.S(A53:A67)</f>
        <v>2.2041698176750693E-6</v>
      </c>
      <c r="E53" s="2">
        <f>SQRT(D53)/C53</f>
        <v>3.0258740209426736E-2</v>
      </c>
      <c r="H53" s="9">
        <v>4.6367373720597002E-2</v>
      </c>
      <c r="I53" s="2">
        <f>1/15 - 0.5/15</f>
        <v>3.3333333333333333E-2</v>
      </c>
      <c r="J53" s="2">
        <f t="shared" ref="J53:J67" si="6">4.91*(I53^0.14-(1-I53)^0.14)</f>
        <v>-1.836858897688687</v>
      </c>
    </row>
    <row r="54" spans="1:10" x14ac:dyDescent="0.3">
      <c r="A54" s="9">
        <v>4.8391054084948003E-2</v>
      </c>
      <c r="H54" s="9">
        <v>4.6969923720914998E-2</v>
      </c>
      <c r="I54" s="2">
        <f t="shared" ref="I54:I67" si="7">I53+1/15</f>
        <v>0.1</v>
      </c>
      <c r="J54" s="2">
        <f t="shared" si="6"/>
        <v>-1.2811261510381207</v>
      </c>
    </row>
    <row r="55" spans="1:10" x14ac:dyDescent="0.3">
      <c r="A55" s="9">
        <v>5.0111427253846999E-2</v>
      </c>
      <c r="C55" s="3" t="s">
        <v>7</v>
      </c>
      <c r="E55" s="1" t="s">
        <v>8</v>
      </c>
      <c r="H55" s="9">
        <v>4.7570472295978002E-2</v>
      </c>
      <c r="I55" s="2">
        <f t="shared" si="7"/>
        <v>0.16666666666666669</v>
      </c>
      <c r="J55" s="2">
        <f t="shared" si="6"/>
        <v>-0.96558119772402384</v>
      </c>
    </row>
    <row r="56" spans="1:10" x14ac:dyDescent="0.3">
      <c r="A56" s="9">
        <v>4.7953518445475997E-2</v>
      </c>
      <c r="C56" s="5">
        <f>MEDIAN(A53:A67)</f>
        <v>4.8905881375489998E-2</v>
      </c>
      <c r="E56" s="2">
        <v>2.145</v>
      </c>
      <c r="H56" s="9">
        <v>4.7953518445475997E-2</v>
      </c>
      <c r="I56" s="2">
        <f t="shared" si="7"/>
        <v>0.23333333333333334</v>
      </c>
      <c r="J56" s="2">
        <f t="shared" si="6"/>
        <v>-0.72575040815577163</v>
      </c>
    </row>
    <row r="57" spans="1:10" x14ac:dyDescent="0.3">
      <c r="A57" s="9">
        <v>5.0270273948836E-2</v>
      </c>
      <c r="H57" s="9">
        <v>4.8391054084948003E-2</v>
      </c>
      <c r="I57" s="2">
        <f t="shared" si="7"/>
        <v>0.3</v>
      </c>
      <c r="J57" s="2">
        <f t="shared" si="6"/>
        <v>-0.52246305252576009</v>
      </c>
    </row>
    <row r="58" spans="1:10" x14ac:dyDescent="0.3">
      <c r="A58" s="9">
        <v>4.6367373720597002E-2</v>
      </c>
      <c r="C58" s="3"/>
      <c r="D58" s="1" t="s">
        <v>9</v>
      </c>
      <c r="H58" s="9">
        <v>4.8396561820179998E-2</v>
      </c>
      <c r="I58" s="2">
        <f t="shared" si="7"/>
        <v>0.36666666666666664</v>
      </c>
      <c r="J58" s="2">
        <f t="shared" si="6"/>
        <v>-0.33927638280750583</v>
      </c>
    </row>
    <row r="59" spans="1:10" x14ac:dyDescent="0.3">
      <c r="A59" s="9">
        <v>4.8905881375489998E-2</v>
      </c>
      <c r="C59" s="3" t="s">
        <v>10</v>
      </c>
      <c r="D59" s="2">
        <f>C53+E56*SQRT(D53)/(SQRT(15))</f>
        <v>4.9887237000600632E-2</v>
      </c>
      <c r="H59" s="9">
        <v>4.8435904095052003E-2</v>
      </c>
      <c r="I59" s="2">
        <f t="shared" si="7"/>
        <v>0.43333333333333329</v>
      </c>
      <c r="J59" s="2">
        <f t="shared" si="6"/>
        <v>-0.16715058832373922</v>
      </c>
    </row>
    <row r="60" spans="1:10" x14ac:dyDescent="0.3">
      <c r="A60" s="9">
        <v>5.0698412247793999E-2</v>
      </c>
      <c r="C60" s="3" t="s">
        <v>11</v>
      </c>
      <c r="D60" s="2">
        <f>C53-E56*SQRT(D53)/(SQRT(15))</f>
        <v>4.8242735825137911E-2</v>
      </c>
      <c r="H60" s="9">
        <v>4.8905881375489998E-2</v>
      </c>
      <c r="I60" s="2">
        <f t="shared" si="7"/>
        <v>0.49999999999999994</v>
      </c>
      <c r="J60" s="2">
        <f t="shared" si="6"/>
        <v>0</v>
      </c>
    </row>
    <row r="61" spans="1:10" x14ac:dyDescent="0.3">
      <c r="A61" s="9">
        <v>4.9902057698127E-2</v>
      </c>
      <c r="H61" s="9">
        <v>4.9902057698127E-2</v>
      </c>
      <c r="I61" s="2">
        <f t="shared" si="7"/>
        <v>0.56666666666666665</v>
      </c>
      <c r="J61" s="2">
        <f t="shared" si="6"/>
        <v>0.16715058832373922</v>
      </c>
    </row>
    <row r="62" spans="1:10" x14ac:dyDescent="0.3">
      <c r="A62" s="9">
        <v>5.0001310925120002E-2</v>
      </c>
      <c r="H62" s="9">
        <v>5.0001310925120002E-2</v>
      </c>
      <c r="I62" s="2">
        <f t="shared" si="7"/>
        <v>0.6333333333333333</v>
      </c>
      <c r="J62" s="2">
        <f t="shared" si="6"/>
        <v>0.33927638280750583</v>
      </c>
    </row>
    <row r="63" spans="1:10" x14ac:dyDescent="0.3">
      <c r="A63" s="9">
        <v>4.6969923720914998E-2</v>
      </c>
      <c r="H63" s="9">
        <v>5.0111427253846999E-2</v>
      </c>
      <c r="I63" s="2">
        <f t="shared" si="7"/>
        <v>0.7</v>
      </c>
      <c r="J63" s="2">
        <f t="shared" si="6"/>
        <v>0.52246305252576009</v>
      </c>
    </row>
    <row r="64" spans="1:10" x14ac:dyDescent="0.3">
      <c r="A64" s="9">
        <v>5.1241979461282998E-2</v>
      </c>
      <c r="H64" s="9">
        <v>5.0270273948836E-2</v>
      </c>
      <c r="I64" s="2">
        <f t="shared" si="7"/>
        <v>0.76666666666666661</v>
      </c>
      <c r="J64" s="2">
        <f t="shared" si="6"/>
        <v>0.72575040815577163</v>
      </c>
    </row>
    <row r="65" spans="1:10" x14ac:dyDescent="0.3">
      <c r="A65" s="9">
        <v>4.8396561820179998E-2</v>
      </c>
      <c r="H65" s="9">
        <v>5.0698412247793999E-2</v>
      </c>
      <c r="I65" s="2">
        <f t="shared" si="7"/>
        <v>0.83333333333333326</v>
      </c>
      <c r="J65" s="2">
        <f t="shared" si="6"/>
        <v>0.96558119772402329</v>
      </c>
    </row>
    <row r="66" spans="1:10" x14ac:dyDescent="0.3">
      <c r="A66" s="9">
        <v>4.7570472295978002E-2</v>
      </c>
      <c r="H66" s="9">
        <v>5.0758645099396003E-2</v>
      </c>
      <c r="I66" s="2">
        <f t="shared" si="7"/>
        <v>0.89999999999999991</v>
      </c>
      <c r="J66" s="2">
        <f t="shared" si="6"/>
        <v>1.2811261510381207</v>
      </c>
    </row>
    <row r="67" spans="1:10" x14ac:dyDescent="0.3">
      <c r="A67" s="9">
        <v>4.8435904095052003E-2</v>
      </c>
      <c r="H67" s="9">
        <v>5.1241979461282998E-2</v>
      </c>
      <c r="I67" s="2">
        <f t="shared" si="7"/>
        <v>0.96666666666666656</v>
      </c>
      <c r="J67" s="2">
        <f t="shared" si="6"/>
        <v>1.8368588976886859</v>
      </c>
    </row>
    <row r="68" spans="1:10" s="6" customFormat="1" ht="4.5" customHeight="1" x14ac:dyDescent="0.3">
      <c r="C68" s="7"/>
    </row>
    <row r="69" spans="1:10" x14ac:dyDescent="0.3">
      <c r="A69" s="1" t="s">
        <v>76</v>
      </c>
      <c r="C69" s="3" t="s">
        <v>1</v>
      </c>
      <c r="D69" s="1" t="s">
        <v>2</v>
      </c>
      <c r="E69" s="1" t="s">
        <v>3</v>
      </c>
      <c r="F69" s="1"/>
      <c r="H69" s="1" t="s">
        <v>4</v>
      </c>
      <c r="I69" s="1" t="s">
        <v>5</v>
      </c>
      <c r="J69" s="1" t="s">
        <v>6</v>
      </c>
    </row>
    <row r="70" spans="1:10" x14ac:dyDescent="0.3">
      <c r="A70" s="4">
        <v>9.4918178227063991E-3</v>
      </c>
      <c r="C70" s="5">
        <f>AVERAGE(A70:A84)</f>
        <v>9.4952011103446587E-3</v>
      </c>
      <c r="D70" s="2">
        <f>_xlfn.VAR.S(A70:A84)</f>
        <v>1.7279890761513726E-9</v>
      </c>
      <c r="E70" s="2">
        <f>SQRT(D70)/C70</f>
        <v>4.3779049548175897E-3</v>
      </c>
      <c r="H70" s="4">
        <v>9.4383955133199998E-3</v>
      </c>
      <c r="I70" s="2">
        <f>1/15 - 0.5/15</f>
        <v>3.3333333333333333E-2</v>
      </c>
      <c r="J70" s="2">
        <f t="shared" ref="J70:J84" si="8">4.91*(I70^0.14-(1-I70)^0.14)</f>
        <v>-1.836858897688687</v>
      </c>
    </row>
    <row r="71" spans="1:10" x14ac:dyDescent="0.3">
      <c r="A71" s="4">
        <v>9.4801296491688995E-3</v>
      </c>
      <c r="H71" s="4">
        <v>9.4466588360978005E-3</v>
      </c>
      <c r="I71" s="2">
        <f t="shared" ref="I71:I84" si="9">I70+1/15</f>
        <v>0.1</v>
      </c>
      <c r="J71" s="2">
        <f t="shared" si="8"/>
        <v>-1.2811261510381207</v>
      </c>
    </row>
    <row r="72" spans="1:10" x14ac:dyDescent="0.3">
      <c r="A72" s="4">
        <v>9.4813937343978996E-3</v>
      </c>
      <c r="C72" s="3" t="s">
        <v>7</v>
      </c>
      <c r="E72" s="1" t="s">
        <v>8</v>
      </c>
      <c r="H72" s="4">
        <v>9.4580888957436996E-3</v>
      </c>
      <c r="I72" s="2">
        <f t="shared" si="9"/>
        <v>0.16666666666666669</v>
      </c>
      <c r="J72" s="2">
        <f t="shared" si="8"/>
        <v>-0.96558119772402384</v>
      </c>
    </row>
    <row r="73" spans="1:10" x14ac:dyDescent="0.3">
      <c r="A73" s="4">
        <v>9.5375517898871002E-3</v>
      </c>
      <c r="C73" s="5">
        <f>MEDIAN(A70:A84)</f>
        <v>9.4861270680099002E-3</v>
      </c>
      <c r="E73" s="2">
        <v>2.145</v>
      </c>
      <c r="H73" s="4">
        <v>9.4649293931175008E-3</v>
      </c>
      <c r="I73" s="2">
        <f t="shared" si="9"/>
        <v>0.23333333333333334</v>
      </c>
      <c r="J73" s="2">
        <f t="shared" si="8"/>
        <v>-0.72575040815577163</v>
      </c>
    </row>
    <row r="74" spans="1:10" x14ac:dyDescent="0.3">
      <c r="A74" s="4">
        <v>9.4861270680099002E-3</v>
      </c>
      <c r="H74" s="4">
        <v>9.4789234045403008E-3</v>
      </c>
      <c r="I74" s="2">
        <f t="shared" si="9"/>
        <v>0.3</v>
      </c>
      <c r="J74" s="2">
        <f t="shared" si="8"/>
        <v>-0.52246305252576009</v>
      </c>
    </row>
    <row r="75" spans="1:10" x14ac:dyDescent="0.3">
      <c r="A75" s="4">
        <v>9.4383955133199998E-3</v>
      </c>
      <c r="C75" s="3"/>
      <c r="D75" s="1" t="s">
        <v>9</v>
      </c>
      <c r="H75" s="4">
        <v>9.4801296491688995E-3</v>
      </c>
      <c r="I75" s="2">
        <f t="shared" si="9"/>
        <v>0.36666666666666664</v>
      </c>
      <c r="J75" s="2">
        <f t="shared" si="8"/>
        <v>-0.33927638280750583</v>
      </c>
    </row>
    <row r="76" spans="1:10" x14ac:dyDescent="0.3">
      <c r="A76" s="4">
        <v>9.4789234045403008E-3</v>
      </c>
      <c r="C76" s="3" t="s">
        <v>10</v>
      </c>
      <c r="D76" s="2">
        <f>C70+E73*SQRT(D70)/(SQRT(15))</f>
        <v>9.5182235934703624E-3</v>
      </c>
      <c r="H76" s="4">
        <v>9.4813937343978996E-3</v>
      </c>
      <c r="I76" s="2">
        <f t="shared" si="9"/>
        <v>0.43333333333333329</v>
      </c>
      <c r="J76" s="2">
        <f t="shared" si="8"/>
        <v>-0.16715058832373922</v>
      </c>
    </row>
    <row r="77" spans="1:10" x14ac:dyDescent="0.3">
      <c r="A77" s="4">
        <v>9.4580888957436996E-3</v>
      </c>
      <c r="C77" s="3" t="s">
        <v>11</v>
      </c>
      <c r="D77" s="2">
        <f>C70-E73*SQRT(D70)/(SQRT(15))</f>
        <v>9.4721786272189551E-3</v>
      </c>
      <c r="H77" s="4">
        <v>9.4861270680099002E-3</v>
      </c>
      <c r="I77" s="2">
        <f t="shared" si="9"/>
        <v>0.49999999999999994</v>
      </c>
      <c r="J77" s="2">
        <f t="shared" si="8"/>
        <v>0</v>
      </c>
    </row>
    <row r="78" spans="1:10" x14ac:dyDescent="0.3">
      <c r="A78" s="4">
        <v>9.4895210679932993E-3</v>
      </c>
      <c r="H78" s="4">
        <v>9.4880215403521009E-3</v>
      </c>
      <c r="I78" s="2">
        <f t="shared" si="9"/>
        <v>0.56666666666666665</v>
      </c>
      <c r="J78" s="2">
        <f t="shared" si="8"/>
        <v>0.16715058832373922</v>
      </c>
    </row>
    <row r="79" spans="1:10" x14ac:dyDescent="0.3">
      <c r="A79" s="4">
        <v>9.4880215403521009E-3</v>
      </c>
      <c r="H79" s="4">
        <v>9.4895210679932993E-3</v>
      </c>
      <c r="I79" s="2">
        <f t="shared" si="9"/>
        <v>0.6333333333333333</v>
      </c>
      <c r="J79" s="2">
        <f t="shared" si="8"/>
        <v>0.33927638280750583</v>
      </c>
    </row>
    <row r="80" spans="1:10" x14ac:dyDescent="0.3">
      <c r="A80" s="4">
        <v>9.5731407777941997E-3</v>
      </c>
      <c r="H80" s="4">
        <v>9.4918178227063991E-3</v>
      </c>
      <c r="I80" s="2">
        <f t="shared" si="9"/>
        <v>0.7</v>
      </c>
      <c r="J80" s="2">
        <f t="shared" si="8"/>
        <v>0.52246305252576009</v>
      </c>
    </row>
    <row r="81" spans="1:10" x14ac:dyDescent="0.3">
      <c r="A81" s="4">
        <v>9.4649293931175008E-3</v>
      </c>
      <c r="H81" s="4">
        <v>9.5375517898871002E-3</v>
      </c>
      <c r="I81" s="2">
        <f t="shared" si="9"/>
        <v>0.76666666666666661</v>
      </c>
      <c r="J81" s="2">
        <f t="shared" si="8"/>
        <v>0.72575040815577163</v>
      </c>
    </row>
    <row r="82" spans="1:10" x14ac:dyDescent="0.3">
      <c r="A82" s="4">
        <v>9.4466588360978005E-3</v>
      </c>
      <c r="H82" s="4">
        <v>9.5526360197091004E-3</v>
      </c>
      <c r="I82" s="2">
        <f t="shared" si="9"/>
        <v>0.83333333333333326</v>
      </c>
      <c r="J82" s="2">
        <f t="shared" si="8"/>
        <v>0.96558119772402329</v>
      </c>
    </row>
    <row r="83" spans="1:10" x14ac:dyDescent="0.3">
      <c r="A83" s="4">
        <v>9.5526360197091004E-3</v>
      </c>
      <c r="H83" s="4">
        <v>9.5606811423316999E-3</v>
      </c>
      <c r="I83" s="2">
        <f t="shared" si="9"/>
        <v>0.89999999999999991</v>
      </c>
      <c r="J83" s="2">
        <f t="shared" si="8"/>
        <v>1.2811261510381207</v>
      </c>
    </row>
    <row r="84" spans="1:10" x14ac:dyDescent="0.3">
      <c r="A84" s="4">
        <v>9.5606811423316999E-3</v>
      </c>
      <c r="H84" s="4">
        <v>9.5731407777941997E-3</v>
      </c>
      <c r="I84" s="2">
        <f t="shared" si="9"/>
        <v>0.96666666666666656</v>
      </c>
      <c r="J84" s="2">
        <f t="shared" si="8"/>
        <v>1.8368588976886859</v>
      </c>
    </row>
    <row r="85" spans="1:10" s="6" customFormat="1" ht="4.5" customHeight="1" x14ac:dyDescent="0.3">
      <c r="C85" s="7"/>
    </row>
    <row r="86" spans="1:10" x14ac:dyDescent="0.3">
      <c r="A86" s="1" t="s">
        <v>77</v>
      </c>
      <c r="C86" s="3" t="s">
        <v>1</v>
      </c>
      <c r="D86" s="1" t="s">
        <v>2</v>
      </c>
      <c r="E86" s="1" t="s">
        <v>3</v>
      </c>
      <c r="F86" s="1"/>
      <c r="H86" s="1" t="s">
        <v>4</v>
      </c>
      <c r="I86" s="1" t="s">
        <v>5</v>
      </c>
      <c r="J86" s="1" t="s">
        <v>6</v>
      </c>
    </row>
    <row r="87" spans="1:10" x14ac:dyDescent="0.3">
      <c r="A87" s="9">
        <v>1.2228180534827E-2</v>
      </c>
      <c r="C87" s="5">
        <f>AVERAGE(A87:A101)</f>
        <v>1.2184874943363668E-2</v>
      </c>
      <c r="D87" s="2">
        <f>_xlfn.VAR.S(A87:A101)</f>
        <v>6.5476621221863075E-9</v>
      </c>
      <c r="E87" s="2">
        <f>SQRT(D87)/C87</f>
        <v>6.6408252781328028E-3</v>
      </c>
      <c r="H87" s="9">
        <v>1.2029355942457E-2</v>
      </c>
      <c r="I87" s="2">
        <f>1/15 - 0.5/15</f>
        <v>3.3333333333333333E-2</v>
      </c>
      <c r="J87" s="2">
        <f t="shared" ref="J87:J101" si="10">4.91*(I87^0.14-(1-I87)^0.14)</f>
        <v>-1.836858897688687</v>
      </c>
    </row>
    <row r="88" spans="1:10" x14ac:dyDescent="0.3">
      <c r="A88" s="9">
        <v>1.2251901507794E-2</v>
      </c>
      <c r="H88" s="9">
        <v>1.2097957420023E-2</v>
      </c>
      <c r="I88" s="2">
        <f t="shared" ref="I88:I101" si="11">I87+1/15</f>
        <v>0.1</v>
      </c>
      <c r="J88" s="2">
        <f t="shared" si="10"/>
        <v>-1.2811261510381207</v>
      </c>
    </row>
    <row r="89" spans="1:10" x14ac:dyDescent="0.3">
      <c r="A89" s="9">
        <v>1.211190414965E-2</v>
      </c>
      <c r="C89" s="3" t="s">
        <v>7</v>
      </c>
      <c r="E89" s="1" t="s">
        <v>8</v>
      </c>
      <c r="H89" s="9">
        <v>1.2100847051791E-2</v>
      </c>
      <c r="I89" s="2">
        <f t="shared" si="11"/>
        <v>0.16666666666666669</v>
      </c>
      <c r="J89" s="2">
        <f t="shared" si="10"/>
        <v>-0.96558119772402384</v>
      </c>
    </row>
    <row r="90" spans="1:10" x14ac:dyDescent="0.3">
      <c r="A90" s="9">
        <v>1.2229409384734E-2</v>
      </c>
      <c r="C90" s="5">
        <f>MEDIAN(A87:A101)</f>
        <v>1.2228180534827E-2</v>
      </c>
      <c r="E90" s="2">
        <v>2.145</v>
      </c>
      <c r="H90" s="9">
        <v>1.211190414965E-2</v>
      </c>
      <c r="I90" s="2">
        <f t="shared" si="11"/>
        <v>0.23333333333333334</v>
      </c>
      <c r="J90" s="2">
        <f t="shared" si="10"/>
        <v>-0.72575040815577163</v>
      </c>
    </row>
    <row r="91" spans="1:10" x14ac:dyDescent="0.3">
      <c r="A91" s="9">
        <v>1.2029355942457E-2</v>
      </c>
      <c r="H91" s="9">
        <v>1.2124245703517E-2</v>
      </c>
      <c r="I91" s="2">
        <f t="shared" si="11"/>
        <v>0.3</v>
      </c>
      <c r="J91" s="2">
        <f t="shared" si="10"/>
        <v>-0.52246305252576009</v>
      </c>
    </row>
    <row r="92" spans="1:10" x14ac:dyDescent="0.3">
      <c r="A92" s="9">
        <v>1.2100847051791E-2</v>
      </c>
      <c r="C92" s="3"/>
      <c r="D92" s="1" t="s">
        <v>9</v>
      </c>
      <c r="H92" s="9">
        <v>1.2138944333759999E-2</v>
      </c>
      <c r="I92" s="2">
        <f t="shared" si="11"/>
        <v>0.36666666666666664</v>
      </c>
      <c r="J92" s="2">
        <f t="shared" si="10"/>
        <v>-0.33927638280750583</v>
      </c>
    </row>
    <row r="93" spans="1:10" x14ac:dyDescent="0.3">
      <c r="A93" s="9">
        <v>1.2247707031709E-2</v>
      </c>
      <c r="C93" s="3" t="s">
        <v>10</v>
      </c>
      <c r="D93" s="2">
        <f>C87+E90*SQRT(D87)/(SQRT(15))</f>
        <v>1.2229690087467519E-2</v>
      </c>
      <c r="H93" s="9">
        <v>1.2147929968125E-2</v>
      </c>
      <c r="I93" s="2">
        <f t="shared" si="11"/>
        <v>0.43333333333333329</v>
      </c>
      <c r="J93" s="2">
        <f t="shared" si="10"/>
        <v>-0.16715058832373922</v>
      </c>
    </row>
    <row r="94" spans="1:10" x14ac:dyDescent="0.3">
      <c r="A94" s="9">
        <v>1.2295383183445001E-2</v>
      </c>
      <c r="C94" s="3" t="s">
        <v>11</v>
      </c>
      <c r="D94" s="2">
        <f>C87-E90*SQRT(D87)/(SQRT(15))</f>
        <v>1.2140059799259818E-2</v>
      </c>
      <c r="H94" s="9">
        <v>1.2228180534827E-2</v>
      </c>
      <c r="I94" s="2">
        <f t="shared" si="11"/>
        <v>0.49999999999999994</v>
      </c>
      <c r="J94" s="2">
        <f t="shared" si="10"/>
        <v>0</v>
      </c>
    </row>
    <row r="95" spans="1:10" x14ac:dyDescent="0.3">
      <c r="A95" s="9">
        <v>1.2124245703517E-2</v>
      </c>
      <c r="H95" s="9">
        <v>1.2229409384734E-2</v>
      </c>
      <c r="I95" s="2">
        <f t="shared" si="11"/>
        <v>0.56666666666666665</v>
      </c>
      <c r="J95" s="2">
        <f t="shared" si="10"/>
        <v>0.16715058832373922</v>
      </c>
    </row>
    <row r="96" spans="1:10" x14ac:dyDescent="0.3">
      <c r="A96" s="9">
        <v>1.2239417345746E-2</v>
      </c>
      <c r="H96" s="9">
        <v>1.2239417345746E-2</v>
      </c>
      <c r="I96" s="2">
        <f t="shared" si="11"/>
        <v>0.6333333333333333</v>
      </c>
      <c r="J96" s="2">
        <f t="shared" si="10"/>
        <v>0.33927638280750583</v>
      </c>
    </row>
    <row r="97" spans="1:10" x14ac:dyDescent="0.3">
      <c r="A97" s="9">
        <v>1.2258888530616E-2</v>
      </c>
      <c r="H97" s="9">
        <v>1.2247707031709E-2</v>
      </c>
      <c r="I97" s="2">
        <f t="shared" si="11"/>
        <v>0.7</v>
      </c>
      <c r="J97" s="2">
        <f t="shared" si="10"/>
        <v>0.52246305252576009</v>
      </c>
    </row>
    <row r="98" spans="1:10" x14ac:dyDescent="0.3">
      <c r="A98" s="9">
        <v>1.2147929968125E-2</v>
      </c>
      <c r="H98" s="9">
        <v>1.2251901507794E-2</v>
      </c>
      <c r="I98" s="2">
        <f t="shared" si="11"/>
        <v>0.76666666666666661</v>
      </c>
      <c r="J98" s="2">
        <f t="shared" si="10"/>
        <v>0.72575040815577163</v>
      </c>
    </row>
    <row r="99" spans="1:10" x14ac:dyDescent="0.3">
      <c r="A99" s="9">
        <v>1.2271052062260999E-2</v>
      </c>
      <c r="H99" s="9">
        <v>1.2258888530616E-2</v>
      </c>
      <c r="I99" s="2">
        <f t="shared" si="11"/>
        <v>0.83333333333333326</v>
      </c>
      <c r="J99" s="2">
        <f t="shared" si="10"/>
        <v>0.96558119772402329</v>
      </c>
    </row>
    <row r="100" spans="1:10" x14ac:dyDescent="0.3">
      <c r="A100" s="9">
        <v>1.2138944333759999E-2</v>
      </c>
      <c r="H100" s="9">
        <v>1.2271052062260999E-2</v>
      </c>
      <c r="I100" s="2">
        <f t="shared" si="11"/>
        <v>0.89999999999999991</v>
      </c>
      <c r="J100" s="2">
        <f t="shared" si="10"/>
        <v>1.2811261510381207</v>
      </c>
    </row>
    <row r="101" spans="1:10" x14ac:dyDescent="0.3">
      <c r="A101" s="9">
        <v>1.2097957420023E-2</v>
      </c>
      <c r="H101" s="9">
        <v>1.2295383183445001E-2</v>
      </c>
      <c r="I101" s="2">
        <f t="shared" si="11"/>
        <v>0.96666666666666656</v>
      </c>
      <c r="J101" s="2">
        <f t="shared" si="10"/>
        <v>1.8368588976886859</v>
      </c>
    </row>
    <row r="102" spans="1:10" s="6" customFormat="1" ht="4.5" customHeight="1" x14ac:dyDescent="0.3">
      <c r="C102" s="7"/>
    </row>
    <row r="103" spans="1:10" x14ac:dyDescent="0.3">
      <c r="A103" s="1" t="s">
        <v>78</v>
      </c>
      <c r="C103" s="3" t="s">
        <v>1</v>
      </c>
      <c r="D103" s="1" t="s">
        <v>2</v>
      </c>
      <c r="E103" s="1" t="s">
        <v>3</v>
      </c>
      <c r="F103" s="1"/>
      <c r="H103" s="1" t="s">
        <v>4</v>
      </c>
      <c r="I103" s="1" t="s">
        <v>5</v>
      </c>
      <c r="J103" s="1" t="s">
        <v>6</v>
      </c>
    </row>
    <row r="104" spans="1:10" x14ac:dyDescent="0.3">
      <c r="A104" s="4">
        <v>2.2156904613354001E-2</v>
      </c>
      <c r="C104" s="5">
        <f>AVERAGE(A104:A118)</f>
        <v>2.2310859269481401E-2</v>
      </c>
      <c r="D104" s="2">
        <f>_xlfn.VAR.S(A104:A118)</f>
        <v>7.1301590945814718E-8</v>
      </c>
      <c r="E104" s="2">
        <f>SQRT(D104)/C104</f>
        <v>1.1968323330086262E-2</v>
      </c>
      <c r="H104" s="4">
        <v>2.1879699228863E-2</v>
      </c>
      <c r="I104" s="2">
        <f>1/15 - 0.5/15</f>
        <v>3.3333333333333333E-2</v>
      </c>
      <c r="J104" s="2">
        <f t="shared" ref="J104:J118" si="12">4.91*(I104^0.14-(1-I104)^0.14)</f>
        <v>-1.836858897688687</v>
      </c>
    </row>
    <row r="105" spans="1:10" x14ac:dyDescent="0.3">
      <c r="A105" s="4">
        <v>2.2341867635022002E-2</v>
      </c>
      <c r="H105" s="4">
        <v>2.1886875562694998E-2</v>
      </c>
      <c r="I105" s="2">
        <f t="shared" ref="I105:I118" si="13">I104+1/15</f>
        <v>0.1</v>
      </c>
      <c r="J105" s="2">
        <f t="shared" si="12"/>
        <v>-1.2811261510381207</v>
      </c>
    </row>
    <row r="106" spans="1:10" x14ac:dyDescent="0.3">
      <c r="A106" s="4">
        <v>2.1886875562694998E-2</v>
      </c>
      <c r="C106" s="3" t="s">
        <v>7</v>
      </c>
      <c r="E106" s="1" t="s">
        <v>8</v>
      </c>
      <c r="H106" s="4">
        <v>2.2028437458420001E-2</v>
      </c>
      <c r="I106" s="2">
        <f t="shared" si="13"/>
        <v>0.16666666666666669</v>
      </c>
      <c r="J106" s="2">
        <f t="shared" si="12"/>
        <v>-0.96558119772402384</v>
      </c>
    </row>
    <row r="107" spans="1:10" x14ac:dyDescent="0.3">
      <c r="A107" s="4">
        <v>2.2028437458420001E-2</v>
      </c>
      <c r="C107" s="5">
        <f>MEDIAN(A104:A118)</f>
        <v>2.2296149360884001E-2</v>
      </c>
      <c r="E107" s="2">
        <v>2.145</v>
      </c>
      <c r="H107" s="4">
        <v>2.2074577824553E-2</v>
      </c>
      <c r="I107" s="2">
        <f t="shared" si="13"/>
        <v>0.23333333333333334</v>
      </c>
      <c r="J107" s="2">
        <f t="shared" si="12"/>
        <v>-0.72575040815577163</v>
      </c>
    </row>
    <row r="108" spans="1:10" x14ac:dyDescent="0.3">
      <c r="A108" s="4">
        <v>2.2456499189911001E-2</v>
      </c>
      <c r="H108" s="4">
        <v>2.2156904613354001E-2</v>
      </c>
      <c r="I108" s="2">
        <f t="shared" si="13"/>
        <v>0.3</v>
      </c>
      <c r="J108" s="2">
        <f t="shared" si="12"/>
        <v>-0.52246305252576009</v>
      </c>
    </row>
    <row r="109" spans="1:10" x14ac:dyDescent="0.3">
      <c r="A109" s="4">
        <v>2.1879699228863E-2</v>
      </c>
      <c r="C109" s="3"/>
      <c r="D109" s="1" t="s">
        <v>9</v>
      </c>
      <c r="H109" s="4">
        <v>2.2259272348683998E-2</v>
      </c>
      <c r="I109" s="2">
        <f t="shared" si="13"/>
        <v>0.36666666666666664</v>
      </c>
      <c r="J109" s="2">
        <f t="shared" si="12"/>
        <v>-0.33927638280750583</v>
      </c>
    </row>
    <row r="110" spans="1:10" x14ac:dyDescent="0.3">
      <c r="A110" s="4">
        <v>2.2296149360884001E-2</v>
      </c>
      <c r="C110" s="3" t="s">
        <v>10</v>
      </c>
      <c r="D110" s="2">
        <f>C104+E107*SQRT(D104)/(SQRT(15))</f>
        <v>2.2458746704710916E-2</v>
      </c>
      <c r="H110" s="4">
        <v>2.2272762147162999E-2</v>
      </c>
      <c r="I110" s="2">
        <f t="shared" si="13"/>
        <v>0.43333333333333329</v>
      </c>
      <c r="J110" s="2">
        <f t="shared" si="12"/>
        <v>-0.16715058832373922</v>
      </c>
    </row>
    <row r="111" spans="1:10" x14ac:dyDescent="0.3">
      <c r="A111" s="4">
        <v>2.2472103753749001E-2</v>
      </c>
      <c r="C111" s="3" t="s">
        <v>11</v>
      </c>
      <c r="D111" s="2">
        <f>C104-E107*SQRT(D104)/(SQRT(15))</f>
        <v>2.2162971834251886E-2</v>
      </c>
      <c r="H111" s="4">
        <v>2.2296149360884001E-2</v>
      </c>
      <c r="I111" s="2">
        <f t="shared" si="13"/>
        <v>0.49999999999999994</v>
      </c>
      <c r="J111" s="2">
        <f t="shared" si="12"/>
        <v>0</v>
      </c>
    </row>
    <row r="112" spans="1:10" x14ac:dyDescent="0.3">
      <c r="A112" s="4">
        <v>2.2272762147162999E-2</v>
      </c>
      <c r="H112" s="4">
        <v>2.2341867635022002E-2</v>
      </c>
      <c r="I112" s="2">
        <f t="shared" si="13"/>
        <v>0.56666666666666665</v>
      </c>
      <c r="J112" s="2">
        <f t="shared" si="12"/>
        <v>0.16715058832373922</v>
      </c>
    </row>
    <row r="113" spans="1:10" x14ac:dyDescent="0.3">
      <c r="A113" s="4">
        <v>2.2074577824553E-2</v>
      </c>
      <c r="H113" s="4">
        <v>2.2456499189911001E-2</v>
      </c>
      <c r="I113" s="2">
        <f t="shared" si="13"/>
        <v>0.6333333333333333</v>
      </c>
      <c r="J113" s="2">
        <f t="shared" si="12"/>
        <v>0.33927638280750583</v>
      </c>
    </row>
    <row r="114" spans="1:10" x14ac:dyDescent="0.3">
      <c r="A114" s="4">
        <v>2.2606549979381999E-2</v>
      </c>
      <c r="H114" s="4">
        <v>2.2472103753749001E-2</v>
      </c>
      <c r="I114" s="2">
        <f t="shared" si="13"/>
        <v>0.7</v>
      </c>
      <c r="J114" s="2">
        <f t="shared" si="12"/>
        <v>0.52246305252576009</v>
      </c>
    </row>
    <row r="115" spans="1:10" x14ac:dyDescent="0.3">
      <c r="A115" s="4">
        <v>2.2661256572908E-2</v>
      </c>
      <c r="H115" s="4">
        <v>2.2606549979381999E-2</v>
      </c>
      <c r="I115" s="2">
        <f t="shared" si="13"/>
        <v>0.76666666666666661</v>
      </c>
      <c r="J115" s="2">
        <f t="shared" si="12"/>
        <v>0.72575040815577163</v>
      </c>
    </row>
    <row r="116" spans="1:10" x14ac:dyDescent="0.3">
      <c r="A116" s="4">
        <v>2.2259272348683998E-2</v>
      </c>
      <c r="H116" s="4">
        <v>2.2619730159845999E-2</v>
      </c>
      <c r="I116" s="2">
        <f t="shared" si="13"/>
        <v>0.83333333333333326</v>
      </c>
      <c r="J116" s="2">
        <f t="shared" si="12"/>
        <v>0.96558119772402329</v>
      </c>
    </row>
    <row r="117" spans="1:10" x14ac:dyDescent="0.3">
      <c r="A117" s="4">
        <v>2.2650203206787001E-2</v>
      </c>
      <c r="H117" s="4">
        <v>2.2650203206787001E-2</v>
      </c>
      <c r="I117" s="2">
        <f t="shared" si="13"/>
        <v>0.89999999999999991</v>
      </c>
      <c r="J117" s="2">
        <f t="shared" si="12"/>
        <v>1.2811261510381207</v>
      </c>
    </row>
    <row r="118" spans="1:10" x14ac:dyDescent="0.3">
      <c r="A118" s="4">
        <v>2.2619730159845999E-2</v>
      </c>
      <c r="H118" s="4">
        <v>2.2661256572908E-2</v>
      </c>
      <c r="I118" s="2">
        <f t="shared" si="13"/>
        <v>0.96666666666666656</v>
      </c>
      <c r="J118" s="2">
        <f t="shared" si="12"/>
        <v>1.8368588976886859</v>
      </c>
    </row>
    <row r="119" spans="1:10" s="6" customFormat="1" ht="3.75" customHeight="1" x14ac:dyDescent="0.3">
      <c r="C119" s="7"/>
    </row>
    <row r="120" spans="1:10" x14ac:dyDescent="0.3">
      <c r="A120" s="1" t="s">
        <v>79</v>
      </c>
      <c r="C120" s="3" t="s">
        <v>1</v>
      </c>
      <c r="D120" s="1" t="s">
        <v>2</v>
      </c>
      <c r="E120" s="1" t="s">
        <v>3</v>
      </c>
      <c r="F120" s="1"/>
      <c r="H120" s="1" t="s">
        <v>4</v>
      </c>
      <c r="I120" s="1" t="s">
        <v>5</v>
      </c>
      <c r="J120" s="1" t="s">
        <v>6</v>
      </c>
    </row>
    <row r="121" spans="1:10" x14ac:dyDescent="0.3">
      <c r="A121" s="13">
        <v>3.2599996440944003E-2</v>
      </c>
      <c r="C121" s="5">
        <f>AVERAGE(A121:A135)</f>
        <v>3.3707949319447129E-2</v>
      </c>
      <c r="D121" s="2">
        <f>_xlfn.VAR.S(A121:A135)</f>
        <v>4.1717828655215061E-7</v>
      </c>
      <c r="E121" s="2">
        <f>SQRT(D121)/C121</f>
        <v>1.9161456418721509E-2</v>
      </c>
      <c r="H121" s="13">
        <v>3.2599996440944003E-2</v>
      </c>
      <c r="I121" s="2">
        <f>1/15 - 0.5/15</f>
        <v>3.3333333333333333E-2</v>
      </c>
      <c r="J121" s="2">
        <f t="shared" ref="J121:J135" si="14">4.91*(I121^0.14-(1-I121)^0.14)</f>
        <v>-1.836858897688687</v>
      </c>
    </row>
    <row r="122" spans="1:10" x14ac:dyDescent="0.3">
      <c r="A122" s="13">
        <v>3.3610606325715997E-2</v>
      </c>
      <c r="H122" s="13">
        <v>3.2720510555415E-2</v>
      </c>
      <c r="I122" s="2">
        <f t="shared" ref="I122:I135" si="15">I121+1/15</f>
        <v>0.1</v>
      </c>
      <c r="J122" s="2">
        <f t="shared" si="14"/>
        <v>-1.2811261510381207</v>
      </c>
    </row>
    <row r="123" spans="1:10" x14ac:dyDescent="0.3">
      <c r="A123" s="13">
        <v>3.3526410387224002E-2</v>
      </c>
      <c r="C123" s="3" t="s">
        <v>7</v>
      </c>
      <c r="E123" s="1" t="s">
        <v>8</v>
      </c>
      <c r="H123" s="13">
        <v>3.2957623109732999E-2</v>
      </c>
      <c r="I123" s="2">
        <f t="shared" si="15"/>
        <v>0.16666666666666669</v>
      </c>
      <c r="J123" s="2">
        <f t="shared" si="14"/>
        <v>-0.96558119772402384</v>
      </c>
    </row>
    <row r="124" spans="1:10" x14ac:dyDescent="0.3">
      <c r="A124" s="13">
        <v>3.3456766362532003E-2</v>
      </c>
      <c r="C124" s="5">
        <f>MEDIAN(A121:A135)</f>
        <v>3.3740679157824999E-2</v>
      </c>
      <c r="E124" s="2">
        <v>2.145</v>
      </c>
      <c r="H124" s="13">
        <v>3.3411820641434997E-2</v>
      </c>
      <c r="I124" s="2">
        <f t="shared" si="15"/>
        <v>0.23333333333333334</v>
      </c>
      <c r="J124" s="2">
        <f t="shared" si="14"/>
        <v>-0.72575040815577163</v>
      </c>
    </row>
    <row r="125" spans="1:10" x14ac:dyDescent="0.3">
      <c r="A125" s="13">
        <v>3.2720510555415E-2</v>
      </c>
      <c r="H125" s="13">
        <v>3.3456766362532003E-2</v>
      </c>
      <c r="I125" s="2">
        <f t="shared" si="15"/>
        <v>0.3</v>
      </c>
      <c r="J125" s="2">
        <f t="shared" si="14"/>
        <v>-0.52246305252576009</v>
      </c>
    </row>
    <row r="126" spans="1:10" x14ac:dyDescent="0.3">
      <c r="A126" s="13">
        <v>3.3785711609510001E-2</v>
      </c>
      <c r="C126" s="3"/>
      <c r="D126" s="1" t="s">
        <v>9</v>
      </c>
      <c r="H126" s="13">
        <v>3.3526410387224002E-2</v>
      </c>
      <c r="I126" s="2">
        <f t="shared" si="15"/>
        <v>0.36666666666666664</v>
      </c>
      <c r="J126" s="2">
        <f t="shared" si="14"/>
        <v>-0.33927638280750583</v>
      </c>
    </row>
    <row r="127" spans="1:10" x14ac:dyDescent="0.3">
      <c r="A127" s="13">
        <v>3.4170245638984E-2</v>
      </c>
      <c r="C127" s="3" t="s">
        <v>10</v>
      </c>
      <c r="D127" s="2">
        <f>C121+E124*SQRT(D121)/(SQRT(15))</f>
        <v>3.4065668737043621E-2</v>
      </c>
      <c r="H127" s="13">
        <v>3.3610606325715997E-2</v>
      </c>
      <c r="I127" s="2">
        <f t="shared" si="15"/>
        <v>0.43333333333333329</v>
      </c>
      <c r="J127" s="2">
        <f t="shared" si="14"/>
        <v>-0.16715058832373922</v>
      </c>
    </row>
    <row r="128" spans="1:10" x14ac:dyDescent="0.3">
      <c r="A128" s="13">
        <v>3.3411820641434997E-2</v>
      </c>
      <c r="C128" s="3" t="s">
        <v>11</v>
      </c>
      <c r="D128" s="2">
        <f>C121-E124*SQRT(D121)/(SQRT(15))</f>
        <v>3.3350229901850638E-2</v>
      </c>
      <c r="H128" s="13">
        <v>3.3740679157824999E-2</v>
      </c>
      <c r="I128" s="2">
        <f t="shared" si="15"/>
        <v>0.49999999999999994</v>
      </c>
      <c r="J128" s="2">
        <f t="shared" si="14"/>
        <v>0</v>
      </c>
    </row>
    <row r="129" spans="1:10" x14ac:dyDescent="0.3">
      <c r="A129" s="13">
        <v>3.3740679157824999E-2</v>
      </c>
      <c r="H129" s="13">
        <v>3.3785711609510001E-2</v>
      </c>
      <c r="I129" s="2">
        <f t="shared" si="15"/>
        <v>0.56666666666666665</v>
      </c>
      <c r="J129" s="2">
        <f t="shared" si="14"/>
        <v>0.16715058832373922</v>
      </c>
    </row>
    <row r="130" spans="1:10" x14ac:dyDescent="0.3">
      <c r="A130" s="13">
        <v>3.4106726239019003E-2</v>
      </c>
      <c r="H130" s="13">
        <v>3.4022742722326998E-2</v>
      </c>
      <c r="I130" s="2">
        <f t="shared" si="15"/>
        <v>0.6333333333333333</v>
      </c>
      <c r="J130" s="2">
        <f t="shared" si="14"/>
        <v>0.33927638280750583</v>
      </c>
    </row>
    <row r="131" spans="1:10" x14ac:dyDescent="0.3">
      <c r="A131" s="13">
        <v>3.4209885902953999E-2</v>
      </c>
      <c r="H131" s="13">
        <v>3.4106726239019003E-2</v>
      </c>
      <c r="I131" s="2">
        <f t="shared" si="15"/>
        <v>0.7</v>
      </c>
      <c r="J131" s="2">
        <f t="shared" si="14"/>
        <v>0.52246305252576009</v>
      </c>
    </row>
    <row r="132" spans="1:10" x14ac:dyDescent="0.3">
      <c r="A132" s="13">
        <v>3.2957623109732999E-2</v>
      </c>
      <c r="H132" s="13">
        <v>3.4170245638984E-2</v>
      </c>
      <c r="I132" s="2">
        <f t="shared" si="15"/>
        <v>0.76666666666666661</v>
      </c>
      <c r="J132" s="2">
        <f t="shared" si="14"/>
        <v>0.72575040815577163</v>
      </c>
    </row>
    <row r="133" spans="1:10" x14ac:dyDescent="0.3">
      <c r="A133" s="13">
        <v>3.4215709253426999E-2</v>
      </c>
      <c r="H133" s="13">
        <v>3.4209885902953999E-2</v>
      </c>
      <c r="I133" s="2">
        <f t="shared" si="15"/>
        <v>0.83333333333333326</v>
      </c>
      <c r="J133" s="2">
        <f t="shared" si="14"/>
        <v>0.96558119772402329</v>
      </c>
    </row>
    <row r="134" spans="1:10" x14ac:dyDescent="0.3">
      <c r="A134" s="13">
        <v>3.4022742722326998E-2</v>
      </c>
      <c r="H134" s="13">
        <v>3.4215709253426999E-2</v>
      </c>
      <c r="I134" s="2">
        <f t="shared" si="15"/>
        <v>0.89999999999999991</v>
      </c>
      <c r="J134" s="2">
        <f t="shared" si="14"/>
        <v>1.2811261510381207</v>
      </c>
    </row>
    <row r="135" spans="1:10" x14ac:dyDescent="0.3">
      <c r="A135" s="13">
        <v>3.5083805444661997E-2</v>
      </c>
      <c r="H135" s="13">
        <v>3.5083805444661997E-2</v>
      </c>
      <c r="I135" s="2">
        <f t="shared" si="15"/>
        <v>0.96666666666666656</v>
      </c>
      <c r="J135" s="2">
        <f t="shared" si="14"/>
        <v>1.8368588976886859</v>
      </c>
    </row>
    <row r="136" spans="1:10" s="6" customFormat="1" ht="4.5" customHeight="1" x14ac:dyDescent="0.3">
      <c r="C136" s="7"/>
    </row>
    <row r="137" spans="1:10" x14ac:dyDescent="0.3">
      <c r="A137" s="1" t="s">
        <v>80</v>
      </c>
      <c r="C137" s="3" t="s">
        <v>1</v>
      </c>
      <c r="D137" s="1" t="s">
        <v>2</v>
      </c>
      <c r="E137" s="1" t="s">
        <v>3</v>
      </c>
      <c r="F137" s="1"/>
      <c r="H137" s="1" t="s">
        <v>4</v>
      </c>
      <c r="I137" s="1" t="s">
        <v>5</v>
      </c>
      <c r="J137" s="1" t="s">
        <v>6</v>
      </c>
    </row>
    <row r="138" spans="1:10" x14ac:dyDescent="0.3">
      <c r="A138" s="13">
        <v>9.0977080206105006E-3</v>
      </c>
      <c r="C138" s="5">
        <f>AVERAGE(A138:A152)</f>
        <v>9.1218614569602927E-3</v>
      </c>
      <c r="D138" s="2">
        <f>_xlfn.VAR.S(A138:A152)</f>
        <v>7.2798994400060736E-10</v>
      </c>
      <c r="E138" s="2">
        <f>SQRT(D138)/C138</f>
        <v>2.9578709239401961E-3</v>
      </c>
      <c r="H138" s="13">
        <v>9.0550539326126993E-3</v>
      </c>
      <c r="I138" s="2">
        <f>1/15 - 0.5/15</f>
        <v>3.3333333333333333E-2</v>
      </c>
      <c r="J138" s="2">
        <f t="shared" ref="J138:J152" si="16">4.91*(I138^0.14-(1-I138)^0.14)</f>
        <v>-1.836858897688687</v>
      </c>
    </row>
    <row r="139" spans="1:10" x14ac:dyDescent="0.3">
      <c r="A139" s="13">
        <v>9.1288011662624003E-3</v>
      </c>
      <c r="H139" s="13">
        <v>9.0977080206105006E-3</v>
      </c>
      <c r="I139" s="2">
        <f t="shared" ref="I139:I152" si="17">I138+1/15</f>
        <v>0.1</v>
      </c>
      <c r="J139" s="2">
        <f t="shared" si="16"/>
        <v>-1.2811261510381207</v>
      </c>
    </row>
    <row r="140" spans="1:10" x14ac:dyDescent="0.3">
      <c r="A140" s="13">
        <v>9.1182686464572997E-3</v>
      </c>
      <c r="C140" s="3" t="s">
        <v>7</v>
      </c>
      <c r="E140" s="1" t="s">
        <v>8</v>
      </c>
      <c r="H140" s="13">
        <v>9.1028968319480999E-3</v>
      </c>
      <c r="I140" s="2">
        <f t="shared" si="17"/>
        <v>0.16666666666666669</v>
      </c>
      <c r="J140" s="2">
        <f t="shared" si="16"/>
        <v>-0.96558119772402384</v>
      </c>
    </row>
    <row r="141" spans="1:10" x14ac:dyDescent="0.3">
      <c r="A141" s="13">
        <v>9.1445252234399008E-3</v>
      </c>
      <c r="C141" s="5">
        <f>MEDIAN(A138:A152)</f>
        <v>9.1225809455513993E-3</v>
      </c>
      <c r="E141" s="2">
        <v>2.145</v>
      </c>
      <c r="H141" s="13">
        <v>9.1046320482448002E-3</v>
      </c>
      <c r="I141" s="2">
        <f t="shared" si="17"/>
        <v>0.23333333333333334</v>
      </c>
      <c r="J141" s="2">
        <f t="shared" si="16"/>
        <v>-0.72575040815577163</v>
      </c>
    </row>
    <row r="142" spans="1:10" x14ac:dyDescent="0.3">
      <c r="A142" s="13">
        <v>9.1107579170644996E-3</v>
      </c>
      <c r="H142" s="13">
        <v>9.1107579170644996E-3</v>
      </c>
      <c r="I142" s="2">
        <f t="shared" si="17"/>
        <v>0.3</v>
      </c>
      <c r="J142" s="2">
        <f t="shared" si="16"/>
        <v>-0.52246305252576009</v>
      </c>
    </row>
    <row r="143" spans="1:10" x14ac:dyDescent="0.3">
      <c r="A143" s="13">
        <v>9.1524166049588001E-3</v>
      </c>
      <c r="C143" s="3"/>
      <c r="D143" s="1" t="s">
        <v>9</v>
      </c>
      <c r="H143" s="13">
        <v>9.1160563486025002E-3</v>
      </c>
      <c r="I143" s="2">
        <f t="shared" si="17"/>
        <v>0.36666666666666664</v>
      </c>
      <c r="J143" s="2">
        <f t="shared" si="16"/>
        <v>-0.33927638280750583</v>
      </c>
    </row>
    <row r="144" spans="1:10" x14ac:dyDescent="0.3">
      <c r="A144" s="13">
        <v>9.1028968319480999E-3</v>
      </c>
      <c r="C144" s="3" t="s">
        <v>10</v>
      </c>
      <c r="D144" s="2">
        <f>C138+E141*SQRT(D138)/(SQRT(15))</f>
        <v>9.1368046826988351E-3</v>
      </c>
      <c r="H144" s="13">
        <v>9.1182686464572997E-3</v>
      </c>
      <c r="I144" s="2">
        <f t="shared" si="17"/>
        <v>0.43333333333333329</v>
      </c>
      <c r="J144" s="2">
        <f t="shared" si="16"/>
        <v>-0.16715058832373922</v>
      </c>
    </row>
    <row r="145" spans="1:10" x14ac:dyDescent="0.3">
      <c r="A145" s="13">
        <v>9.0550539326126993E-3</v>
      </c>
      <c r="C145" s="3" t="s">
        <v>11</v>
      </c>
      <c r="D145" s="2">
        <f>C138-E141*SQRT(D138)/(SQRT(15))</f>
        <v>9.1069182312217504E-3</v>
      </c>
      <c r="H145" s="13">
        <v>9.1225809455513993E-3</v>
      </c>
      <c r="I145" s="2">
        <f t="shared" si="17"/>
        <v>0.49999999999999994</v>
      </c>
      <c r="J145" s="2">
        <f t="shared" si="16"/>
        <v>0</v>
      </c>
    </row>
    <row r="146" spans="1:10" x14ac:dyDescent="0.3">
      <c r="A146" s="13">
        <v>9.1227370253381002E-3</v>
      </c>
      <c r="H146" s="13">
        <v>9.1227370253381002E-3</v>
      </c>
      <c r="I146" s="2">
        <f t="shared" si="17"/>
        <v>0.56666666666666665</v>
      </c>
      <c r="J146" s="2">
        <f t="shared" si="16"/>
        <v>0.16715058832373922</v>
      </c>
    </row>
    <row r="147" spans="1:10" x14ac:dyDescent="0.3">
      <c r="A147" s="13">
        <v>9.1160563486025002E-3</v>
      </c>
      <c r="H147" s="13">
        <v>9.1288011662624003E-3</v>
      </c>
      <c r="I147" s="2">
        <f t="shared" si="17"/>
        <v>0.6333333333333333</v>
      </c>
      <c r="J147" s="2">
        <f t="shared" si="16"/>
        <v>0.33927638280750583</v>
      </c>
    </row>
    <row r="148" spans="1:10" x14ac:dyDescent="0.3">
      <c r="A148" s="13">
        <v>9.1493700618115997E-3</v>
      </c>
      <c r="H148" s="13">
        <v>9.1376337549042997E-3</v>
      </c>
      <c r="I148" s="2">
        <f t="shared" si="17"/>
        <v>0.7</v>
      </c>
      <c r="J148" s="2">
        <f t="shared" si="16"/>
        <v>0.52246305252576009</v>
      </c>
    </row>
    <row r="149" spans="1:10" x14ac:dyDescent="0.3">
      <c r="A149" s="13">
        <v>9.1376337549042997E-3</v>
      </c>
      <c r="H149" s="13">
        <v>9.1445252234399008E-3</v>
      </c>
      <c r="I149" s="2">
        <f t="shared" si="17"/>
        <v>0.76666666666666661</v>
      </c>
      <c r="J149" s="2">
        <f t="shared" si="16"/>
        <v>0.72575040815577163</v>
      </c>
    </row>
    <row r="150" spans="1:10" x14ac:dyDescent="0.3">
      <c r="A150" s="13">
        <v>9.1046320482448002E-3</v>
      </c>
      <c r="H150" s="13">
        <v>9.1493700618115997E-3</v>
      </c>
      <c r="I150" s="2">
        <f t="shared" si="17"/>
        <v>0.83333333333333326</v>
      </c>
      <c r="J150" s="2">
        <f t="shared" si="16"/>
        <v>0.96558119772402329</v>
      </c>
    </row>
    <row r="151" spans="1:10" x14ac:dyDescent="0.3">
      <c r="A151" s="13">
        <v>9.1644833265975001E-3</v>
      </c>
      <c r="H151" s="13">
        <v>9.1524166049588001E-3</v>
      </c>
      <c r="I151" s="2">
        <f t="shared" si="17"/>
        <v>0.89999999999999991</v>
      </c>
      <c r="J151" s="2">
        <f t="shared" si="16"/>
        <v>1.2811261510381207</v>
      </c>
    </row>
    <row r="152" spans="1:10" x14ac:dyDescent="0.3">
      <c r="A152" s="13">
        <v>9.1225809455513993E-3</v>
      </c>
      <c r="H152" s="13">
        <v>9.1644833265975001E-3</v>
      </c>
      <c r="I152" s="2">
        <f t="shared" si="17"/>
        <v>0.96666666666666656</v>
      </c>
      <c r="J152" s="2">
        <f t="shared" si="16"/>
        <v>1.8368588976886859</v>
      </c>
    </row>
    <row r="153" spans="1:10" s="6" customFormat="1" ht="5.4" customHeight="1" x14ac:dyDescent="0.3">
      <c r="C153" s="7"/>
    </row>
    <row r="154" spans="1:10" ht="13.95" customHeight="1" x14ac:dyDescent="0.3">
      <c r="A154" s="1" t="s">
        <v>81</v>
      </c>
      <c r="C154" s="3" t="s">
        <v>1</v>
      </c>
      <c r="D154" s="1" t="s">
        <v>2</v>
      </c>
      <c r="E154" s="1" t="s">
        <v>3</v>
      </c>
      <c r="F154" s="1"/>
      <c r="H154" s="1" t="s">
        <v>4</v>
      </c>
      <c r="I154" s="1" t="s">
        <v>5</v>
      </c>
      <c r="J154" s="1" t="s">
        <v>6</v>
      </c>
    </row>
    <row r="155" spans="1:10" ht="15.6" customHeight="1" x14ac:dyDescent="0.3">
      <c r="A155" s="4">
        <v>1.1274002514161999E-2</v>
      </c>
      <c r="C155" s="5">
        <f>AVERAGE(A155:A169)</f>
        <v>1.1281687232157602E-2</v>
      </c>
      <c r="D155" s="2">
        <f>_xlfn.VAR.S(A155:A169)</f>
        <v>2.5496930519541867E-9</v>
      </c>
      <c r="E155" s="2">
        <f>SQRT(D155)/C155</f>
        <v>4.4757919912795201E-3</v>
      </c>
      <c r="H155" s="4">
        <v>1.1166876536318E-2</v>
      </c>
      <c r="I155" s="2">
        <f>1/15 - 0.5/15</f>
        <v>3.3333333333333333E-2</v>
      </c>
      <c r="J155" s="2">
        <f t="shared" ref="J155:J169" si="18">4.91*(I155^0.14-(1-I155)^0.14)</f>
        <v>-1.836858897688687</v>
      </c>
    </row>
    <row r="156" spans="1:10" ht="16.95" customHeight="1" x14ac:dyDescent="0.3">
      <c r="A156" s="4">
        <v>1.1315046703204001E-2</v>
      </c>
      <c r="H156" s="4">
        <v>1.1234930659498E-2</v>
      </c>
      <c r="I156" s="2">
        <f t="shared" ref="I156:I169" si="19">I155+1/15</f>
        <v>0.1</v>
      </c>
      <c r="J156" s="2">
        <f t="shared" si="18"/>
        <v>-1.2811261510381207</v>
      </c>
    </row>
    <row r="157" spans="1:10" ht="15.6" customHeight="1" x14ac:dyDescent="0.3">
      <c r="A157" s="4">
        <v>1.1347434048896999E-2</v>
      </c>
      <c r="C157" s="3" t="s">
        <v>7</v>
      </c>
      <c r="E157" s="1" t="s">
        <v>8</v>
      </c>
      <c r="H157" s="4">
        <v>1.1239426829704999E-2</v>
      </c>
      <c r="I157" s="2">
        <f t="shared" si="19"/>
        <v>0.16666666666666669</v>
      </c>
      <c r="J157" s="2">
        <f t="shared" si="18"/>
        <v>-0.96558119772402384</v>
      </c>
    </row>
    <row r="158" spans="1:10" ht="15" customHeight="1" x14ac:dyDescent="0.3">
      <c r="A158" s="4">
        <v>1.1239426829704999E-2</v>
      </c>
      <c r="C158" s="5">
        <f>MEDIAN(A155:A169)</f>
        <v>1.1274002514161999E-2</v>
      </c>
      <c r="E158" s="2">
        <v>2.145</v>
      </c>
      <c r="H158" s="4">
        <v>1.1254517617297E-2</v>
      </c>
      <c r="I158" s="2">
        <f t="shared" si="19"/>
        <v>0.23333333333333334</v>
      </c>
      <c r="J158" s="2">
        <f t="shared" si="18"/>
        <v>-0.72575040815577163</v>
      </c>
    </row>
    <row r="159" spans="1:10" ht="15" customHeight="1" x14ac:dyDescent="0.3">
      <c r="A159" s="4">
        <v>1.1234930659498E-2</v>
      </c>
      <c r="H159" s="4">
        <v>1.1254928387586001E-2</v>
      </c>
      <c r="I159" s="2">
        <f t="shared" si="19"/>
        <v>0.3</v>
      </c>
      <c r="J159" s="2">
        <f t="shared" si="18"/>
        <v>-0.52246305252576009</v>
      </c>
    </row>
    <row r="160" spans="1:10" ht="15.6" customHeight="1" x14ac:dyDescent="0.3">
      <c r="A160" s="4">
        <v>1.1329506251412E-2</v>
      </c>
      <c r="C160" s="3"/>
      <c r="D160" s="1" t="s">
        <v>9</v>
      </c>
      <c r="H160" s="4">
        <v>1.1264641480100999E-2</v>
      </c>
      <c r="I160" s="2">
        <f t="shared" si="19"/>
        <v>0.36666666666666664</v>
      </c>
      <c r="J160" s="2">
        <f t="shared" si="18"/>
        <v>-0.33927638280750583</v>
      </c>
    </row>
    <row r="161" spans="1:10" ht="16.95" customHeight="1" x14ac:dyDescent="0.3">
      <c r="A161" s="4">
        <v>1.1254517617297E-2</v>
      </c>
      <c r="C161" s="3" t="s">
        <v>10</v>
      </c>
      <c r="D161" s="2">
        <f>C155+E158*SQRT(D155)/(SQRT(15))</f>
        <v>1.1309652927183673E-2</v>
      </c>
      <c r="H161" s="4">
        <v>1.126880099696E-2</v>
      </c>
      <c r="I161" s="2">
        <f t="shared" si="19"/>
        <v>0.43333333333333329</v>
      </c>
      <c r="J161" s="2">
        <f t="shared" si="18"/>
        <v>-0.16715058832373922</v>
      </c>
    </row>
    <row r="162" spans="1:10" ht="16.2" customHeight="1" x14ac:dyDescent="0.3">
      <c r="A162" s="4">
        <v>1.1166876536318E-2</v>
      </c>
      <c r="C162" s="3" t="s">
        <v>11</v>
      </c>
      <c r="D162" s="2">
        <f>C155-E158*SQRT(D155)/(SQRT(15))</f>
        <v>1.1253721537131531E-2</v>
      </c>
      <c r="H162" s="4">
        <v>1.1274002514161999E-2</v>
      </c>
      <c r="I162" s="2">
        <f t="shared" si="19"/>
        <v>0.49999999999999994</v>
      </c>
      <c r="J162" s="2">
        <f t="shared" si="18"/>
        <v>0</v>
      </c>
    </row>
    <row r="163" spans="1:10" ht="14.25" customHeight="1" x14ac:dyDescent="0.3">
      <c r="A163" s="4">
        <v>1.1316548221092E-2</v>
      </c>
      <c r="H163" s="4">
        <v>1.1285936838964001E-2</v>
      </c>
      <c r="I163" s="2">
        <f t="shared" si="19"/>
        <v>0.56666666666666665</v>
      </c>
      <c r="J163" s="2">
        <f t="shared" si="18"/>
        <v>0.16715058832373922</v>
      </c>
    </row>
    <row r="164" spans="1:10" ht="16.5" customHeight="1" x14ac:dyDescent="0.3">
      <c r="A164" s="4">
        <v>1.1254928387586001E-2</v>
      </c>
      <c r="H164" s="4">
        <v>1.1307725209352E-2</v>
      </c>
      <c r="I164" s="2">
        <f t="shared" si="19"/>
        <v>0.6333333333333333</v>
      </c>
      <c r="J164" s="2">
        <f t="shared" si="18"/>
        <v>0.33927638280750583</v>
      </c>
    </row>
    <row r="165" spans="1:10" ht="12.6" customHeight="1" x14ac:dyDescent="0.3">
      <c r="A165" s="4">
        <v>1.1285936838964001E-2</v>
      </c>
      <c r="H165" s="4">
        <v>1.1315046703204001E-2</v>
      </c>
      <c r="I165" s="2">
        <f t="shared" si="19"/>
        <v>0.7</v>
      </c>
      <c r="J165" s="2">
        <f t="shared" si="18"/>
        <v>0.52246305252576009</v>
      </c>
    </row>
    <row r="166" spans="1:10" ht="13.95" customHeight="1" x14ac:dyDescent="0.3">
      <c r="A166" s="4">
        <v>1.126880099696E-2</v>
      </c>
      <c r="H166" s="4">
        <v>1.1316548221092E-2</v>
      </c>
      <c r="I166" s="2">
        <f t="shared" si="19"/>
        <v>0.76666666666666661</v>
      </c>
      <c r="J166" s="2">
        <f t="shared" si="18"/>
        <v>0.72575040815577163</v>
      </c>
    </row>
    <row r="167" spans="1:10" ht="18" customHeight="1" x14ac:dyDescent="0.3">
      <c r="A167" s="4">
        <v>1.1364986187815999E-2</v>
      </c>
      <c r="H167" s="4">
        <v>1.1329506251412E-2</v>
      </c>
      <c r="I167" s="2">
        <f t="shared" si="19"/>
        <v>0.83333333333333326</v>
      </c>
      <c r="J167" s="2">
        <f t="shared" si="18"/>
        <v>0.96558119772402329</v>
      </c>
    </row>
    <row r="168" spans="1:10" ht="17.399999999999999" customHeight="1" x14ac:dyDescent="0.3">
      <c r="A168" s="4">
        <v>1.1307725209352E-2</v>
      </c>
      <c r="H168" s="4">
        <v>1.1347434048896999E-2</v>
      </c>
      <c r="I168" s="2">
        <f t="shared" si="19"/>
        <v>0.89999999999999991</v>
      </c>
      <c r="J168" s="2">
        <f t="shared" si="18"/>
        <v>1.2811261510381207</v>
      </c>
    </row>
    <row r="169" spans="1:10" ht="15.6" customHeight="1" x14ac:dyDescent="0.3">
      <c r="A169" s="4">
        <v>1.1264641480100999E-2</v>
      </c>
      <c r="H169" s="4">
        <v>1.1364986187815999E-2</v>
      </c>
      <c r="I169" s="2">
        <f t="shared" si="19"/>
        <v>0.96666666666666656</v>
      </c>
      <c r="J169" s="2">
        <f t="shared" si="18"/>
        <v>1.8368588976886859</v>
      </c>
    </row>
    <row r="170" spans="1:10" s="6" customFormat="1" ht="3.6" customHeight="1" x14ac:dyDescent="0.3">
      <c r="C170" s="7"/>
    </row>
    <row r="171" spans="1:10" ht="15.6" customHeight="1" x14ac:dyDescent="0.3">
      <c r="A171" s="1" t="s">
        <v>82</v>
      </c>
      <c r="C171" s="3" t="s">
        <v>1</v>
      </c>
      <c r="D171" s="1" t="s">
        <v>2</v>
      </c>
      <c r="E171" s="1" t="s">
        <v>3</v>
      </c>
      <c r="F171" s="1"/>
      <c r="H171" s="1" t="s">
        <v>4</v>
      </c>
      <c r="I171" s="1" t="s">
        <v>5</v>
      </c>
      <c r="J171" s="1" t="s">
        <v>6</v>
      </c>
    </row>
    <row r="172" spans="1:10" ht="15.6" customHeight="1" x14ac:dyDescent="0.3">
      <c r="A172" s="4">
        <v>1.8059909793896E-2</v>
      </c>
      <c r="C172" s="5">
        <f>AVERAGE(A172:A186)</f>
        <v>1.7994016058381263E-2</v>
      </c>
      <c r="D172" s="2">
        <f>_xlfn.VAR.S(A172:A186)</f>
        <v>1.5480623129493011E-8</v>
      </c>
      <c r="E172" s="2">
        <f>SQRT(D172)/C172</f>
        <v>6.9145849295377667E-3</v>
      </c>
      <c r="H172" s="4">
        <v>1.7687344656093999E-2</v>
      </c>
      <c r="I172" s="2">
        <f>1/15 - 0.5/15</f>
        <v>3.3333333333333333E-2</v>
      </c>
      <c r="J172" s="2">
        <f t="shared" ref="J172:J186" si="20">4.91*(I172^0.14-(1-I172)^0.14)</f>
        <v>-1.836858897688687</v>
      </c>
    </row>
    <row r="173" spans="1:10" ht="15.6" customHeight="1" x14ac:dyDescent="0.3">
      <c r="A173" s="4">
        <v>1.7687344656093999E-2</v>
      </c>
      <c r="H173" s="4">
        <v>1.7899208993029998E-2</v>
      </c>
      <c r="I173" s="2">
        <f t="shared" ref="I173:I186" si="21">I172+1/15</f>
        <v>0.1</v>
      </c>
      <c r="J173" s="2">
        <f t="shared" si="20"/>
        <v>-1.2811261510381207</v>
      </c>
    </row>
    <row r="174" spans="1:10" ht="15.6" customHeight="1" x14ac:dyDescent="0.3">
      <c r="A174" s="4">
        <v>1.8040204088123998E-2</v>
      </c>
      <c r="C174" s="3" t="s">
        <v>7</v>
      </c>
      <c r="E174" s="1" t="s">
        <v>8</v>
      </c>
      <c r="H174" s="4">
        <v>1.7906733102269E-2</v>
      </c>
      <c r="I174" s="2">
        <f t="shared" si="21"/>
        <v>0.16666666666666669</v>
      </c>
      <c r="J174" s="2">
        <f t="shared" si="20"/>
        <v>-0.96558119772402384</v>
      </c>
    </row>
    <row r="175" spans="1:10" ht="15.6" customHeight="1" x14ac:dyDescent="0.3">
      <c r="A175" s="4">
        <v>1.8111160579685998E-2</v>
      </c>
      <c r="C175" s="5">
        <f>MEDIAN(A172:A186)</f>
        <v>1.7998732590702001E-2</v>
      </c>
      <c r="E175" s="2">
        <v>2.145</v>
      </c>
      <c r="H175" s="4">
        <v>1.79091285259E-2</v>
      </c>
      <c r="I175" s="2">
        <f t="shared" si="21"/>
        <v>0.23333333333333334</v>
      </c>
      <c r="J175" s="2">
        <f t="shared" si="20"/>
        <v>-0.72575040815577163</v>
      </c>
    </row>
    <row r="176" spans="1:10" ht="15.6" customHeight="1" x14ac:dyDescent="0.3">
      <c r="A176" s="4">
        <v>1.7906733102269E-2</v>
      </c>
      <c r="H176" s="4">
        <v>1.7921036226353999E-2</v>
      </c>
      <c r="I176" s="2">
        <f t="shared" si="21"/>
        <v>0.3</v>
      </c>
      <c r="J176" s="2">
        <f t="shared" si="20"/>
        <v>-0.52246305252576009</v>
      </c>
    </row>
    <row r="177" spans="1:10" ht="15.6" customHeight="1" x14ac:dyDescent="0.3">
      <c r="A177" s="4">
        <v>1.7998732590702001E-2</v>
      </c>
      <c r="C177" s="3"/>
      <c r="D177" s="1" t="s">
        <v>9</v>
      </c>
      <c r="H177" s="4">
        <v>1.7939920694085999E-2</v>
      </c>
      <c r="I177" s="2">
        <f t="shared" si="21"/>
        <v>0.36666666666666664</v>
      </c>
      <c r="J177" s="2">
        <f t="shared" si="20"/>
        <v>-0.33927638280750583</v>
      </c>
    </row>
    <row r="178" spans="1:10" ht="15.6" customHeight="1" x14ac:dyDescent="0.3">
      <c r="A178" s="4">
        <v>1.8183235753543001E-2</v>
      </c>
      <c r="C178" s="3" t="s">
        <v>10</v>
      </c>
      <c r="D178" s="2">
        <f>C172+E175*SQRT(D172)/(SQRT(15))</f>
        <v>1.8062925048619293E-2</v>
      </c>
      <c r="H178" s="4">
        <v>1.7973696832186001E-2</v>
      </c>
      <c r="I178" s="2">
        <f t="shared" si="21"/>
        <v>0.43333333333333329</v>
      </c>
      <c r="J178" s="2">
        <f t="shared" si="20"/>
        <v>-0.16715058832373922</v>
      </c>
    </row>
    <row r="179" spans="1:10" ht="15.6" customHeight="1" x14ac:dyDescent="0.3">
      <c r="A179" s="4">
        <v>1.8131373609058001E-2</v>
      </c>
      <c r="C179" s="3" t="s">
        <v>11</v>
      </c>
      <c r="D179" s="2">
        <f>C172-E175*SQRT(D172)/(SQRT(15))</f>
        <v>1.7925107068143233E-2</v>
      </c>
      <c r="H179" s="4">
        <v>1.7998732590702001E-2</v>
      </c>
      <c r="I179" s="2">
        <f t="shared" si="21"/>
        <v>0.49999999999999994</v>
      </c>
      <c r="J179" s="2">
        <f t="shared" si="20"/>
        <v>0</v>
      </c>
    </row>
    <row r="180" spans="1:10" ht="15.6" customHeight="1" x14ac:dyDescent="0.3">
      <c r="A180" s="4">
        <v>1.7921036226353999E-2</v>
      </c>
      <c r="H180" s="4">
        <v>1.8039434549923999E-2</v>
      </c>
      <c r="I180" s="2">
        <f t="shared" si="21"/>
        <v>0.56666666666666665</v>
      </c>
      <c r="J180" s="2">
        <f t="shared" si="20"/>
        <v>0.16715058832373922</v>
      </c>
    </row>
    <row r="181" spans="1:10" ht="15.6" customHeight="1" x14ac:dyDescent="0.3">
      <c r="A181" s="4">
        <v>1.7899208993029998E-2</v>
      </c>
      <c r="H181" s="4">
        <v>1.8040204088123998E-2</v>
      </c>
      <c r="I181" s="2">
        <f t="shared" si="21"/>
        <v>0.6333333333333333</v>
      </c>
      <c r="J181" s="2">
        <f t="shared" si="20"/>
        <v>0.33927638280750583</v>
      </c>
    </row>
    <row r="182" spans="1:10" ht="15.6" customHeight="1" x14ac:dyDescent="0.3">
      <c r="A182" s="4">
        <v>1.8039434549923999E-2</v>
      </c>
      <c r="H182" s="4">
        <v>1.8059909793896E-2</v>
      </c>
      <c r="I182" s="2">
        <f t="shared" si="21"/>
        <v>0.7</v>
      </c>
      <c r="J182" s="2">
        <f t="shared" si="20"/>
        <v>0.52246305252576009</v>
      </c>
    </row>
    <row r="183" spans="1:10" ht="15.6" customHeight="1" x14ac:dyDescent="0.3">
      <c r="A183" s="4">
        <v>1.79091285259E-2</v>
      </c>
      <c r="H183" s="4">
        <v>1.8109120880867E-2</v>
      </c>
      <c r="I183" s="2">
        <f t="shared" si="21"/>
        <v>0.76666666666666661</v>
      </c>
      <c r="J183" s="2">
        <f t="shared" si="20"/>
        <v>0.72575040815577163</v>
      </c>
    </row>
    <row r="184" spans="1:10" ht="15.6" customHeight="1" x14ac:dyDescent="0.3">
      <c r="A184" s="4">
        <v>1.8109120880867E-2</v>
      </c>
      <c r="H184" s="4">
        <v>1.8111160579685998E-2</v>
      </c>
      <c r="I184" s="2">
        <f t="shared" si="21"/>
        <v>0.83333333333333326</v>
      </c>
      <c r="J184" s="2">
        <f t="shared" si="20"/>
        <v>0.96558119772402329</v>
      </c>
    </row>
    <row r="185" spans="1:10" ht="15.6" customHeight="1" x14ac:dyDescent="0.3">
      <c r="A185" s="4">
        <v>1.7939920694085999E-2</v>
      </c>
      <c r="H185" s="4">
        <v>1.8131373609058001E-2</v>
      </c>
      <c r="I185" s="2">
        <f t="shared" si="21"/>
        <v>0.89999999999999991</v>
      </c>
      <c r="J185" s="2">
        <f t="shared" si="20"/>
        <v>1.2811261510381207</v>
      </c>
    </row>
    <row r="186" spans="1:10" ht="15.6" customHeight="1" x14ac:dyDescent="0.3">
      <c r="A186" s="4">
        <v>1.7973696832186001E-2</v>
      </c>
      <c r="H186" s="4">
        <v>1.8183235753543001E-2</v>
      </c>
      <c r="I186" s="2">
        <f t="shared" si="21"/>
        <v>0.96666666666666656</v>
      </c>
      <c r="J186" s="2">
        <f t="shared" si="20"/>
        <v>1.8368588976886859</v>
      </c>
    </row>
    <row r="187" spans="1:10" s="6" customFormat="1" ht="4.2" customHeight="1" x14ac:dyDescent="0.3">
      <c r="C187" s="7"/>
    </row>
    <row r="188" spans="1:10" ht="16.5" customHeight="1" x14ac:dyDescent="0.3">
      <c r="A188" s="1" t="s">
        <v>83</v>
      </c>
      <c r="C188" s="3" t="s">
        <v>1</v>
      </c>
      <c r="D188" s="1" t="s">
        <v>2</v>
      </c>
      <c r="E188" s="1" t="s">
        <v>3</v>
      </c>
      <c r="F188" s="1"/>
      <c r="H188" s="1" t="s">
        <v>4</v>
      </c>
      <c r="I188" s="1" t="s">
        <v>5</v>
      </c>
      <c r="J188" s="1" t="s">
        <v>6</v>
      </c>
    </row>
    <row r="189" spans="1:10" ht="11.4" customHeight="1" x14ac:dyDescent="0.3">
      <c r="A189" s="4">
        <v>2.3151070084579999E-2</v>
      </c>
      <c r="C189" s="5">
        <f>AVERAGE(A189:A203)</f>
        <v>2.3683548845140463E-2</v>
      </c>
      <c r="D189" s="2">
        <f>_xlfn.VAR.S(A189:A203)</f>
        <v>5.9948803741196991E-8</v>
      </c>
      <c r="E189" s="2">
        <f>SQRT(D189)/C189</f>
        <v>1.0338165519515311E-2</v>
      </c>
      <c r="H189" s="4">
        <v>2.3151070084579999E-2</v>
      </c>
      <c r="I189" s="2">
        <f>1/15 - 0.5/15</f>
        <v>3.3333333333333333E-2</v>
      </c>
      <c r="J189" s="2">
        <f t="shared" ref="J189:J203" si="22">4.91*(I189^0.14-(1-I189)^0.14)</f>
        <v>-1.836858897688687</v>
      </c>
    </row>
    <row r="190" spans="1:10" ht="11.4" customHeight="1" x14ac:dyDescent="0.3">
      <c r="A190" s="4">
        <v>2.3548826207685999E-2</v>
      </c>
      <c r="H190" s="4">
        <v>2.3374032512526E-2</v>
      </c>
      <c r="I190" s="2">
        <f t="shared" ref="I190:I203" si="23">I189+1/15</f>
        <v>0.1</v>
      </c>
      <c r="J190" s="2">
        <f t="shared" si="22"/>
        <v>-1.2811261510381207</v>
      </c>
    </row>
    <row r="191" spans="1:10" ht="11.4" customHeight="1" x14ac:dyDescent="0.3">
      <c r="A191" s="4">
        <v>2.3936131667524001E-2</v>
      </c>
      <c r="C191" s="3" t="s">
        <v>7</v>
      </c>
      <c r="E191" s="1" t="s">
        <v>8</v>
      </c>
      <c r="H191" s="4">
        <v>2.3491136521017999E-2</v>
      </c>
      <c r="I191" s="2">
        <f t="shared" si="23"/>
        <v>0.16666666666666669</v>
      </c>
      <c r="J191" s="2">
        <f t="shared" si="22"/>
        <v>-0.96558119772402384</v>
      </c>
    </row>
    <row r="192" spans="1:10" ht="11.4" customHeight="1" x14ac:dyDescent="0.3">
      <c r="A192" s="4">
        <v>2.3989865027974001E-2</v>
      </c>
      <c r="C192" s="5">
        <f>MEDIAN(A189:A203)</f>
        <v>2.3727971190017998E-2</v>
      </c>
      <c r="E192" s="2">
        <v>2.145</v>
      </c>
      <c r="H192" s="4">
        <v>2.3520761483514001E-2</v>
      </c>
      <c r="I192" s="2">
        <f t="shared" si="23"/>
        <v>0.23333333333333334</v>
      </c>
      <c r="J192" s="2">
        <f t="shared" si="22"/>
        <v>-0.72575040815577163</v>
      </c>
    </row>
    <row r="193" spans="1:10" ht="11.4" customHeight="1" x14ac:dyDescent="0.3">
      <c r="A193" s="4">
        <v>2.3374032512526E-2</v>
      </c>
      <c r="H193" s="4">
        <v>2.3526361972621999E-2</v>
      </c>
      <c r="I193" s="2">
        <f t="shared" si="23"/>
        <v>0.3</v>
      </c>
      <c r="J193" s="2">
        <f t="shared" si="22"/>
        <v>-0.52246305252576009</v>
      </c>
    </row>
    <row r="194" spans="1:10" ht="11.4" customHeight="1" x14ac:dyDescent="0.3">
      <c r="A194" s="4">
        <v>2.3520761483514001E-2</v>
      </c>
      <c r="C194" s="3"/>
      <c r="D194" s="1" t="s">
        <v>9</v>
      </c>
      <c r="H194" s="4">
        <v>2.3548826207685999E-2</v>
      </c>
      <c r="I194" s="2">
        <f t="shared" si="23"/>
        <v>0.36666666666666664</v>
      </c>
      <c r="J194" s="2">
        <f t="shared" si="22"/>
        <v>-0.33927638280750583</v>
      </c>
    </row>
    <row r="195" spans="1:10" ht="11.4" customHeight="1" x14ac:dyDescent="0.3">
      <c r="A195" s="4">
        <v>2.3979585449048001E-2</v>
      </c>
      <c r="C195" s="3" t="s">
        <v>10</v>
      </c>
      <c r="D195" s="2">
        <f>C189+E192*SQRT(D189)/(SQRT(15))</f>
        <v>2.3819152666309174E-2</v>
      </c>
      <c r="H195" s="4">
        <v>2.3642412634951999E-2</v>
      </c>
      <c r="I195" s="2">
        <f t="shared" si="23"/>
        <v>0.43333333333333329</v>
      </c>
      <c r="J195" s="2">
        <f t="shared" si="22"/>
        <v>-0.16715058832373922</v>
      </c>
    </row>
    <row r="196" spans="1:10" ht="11.4" customHeight="1" x14ac:dyDescent="0.3">
      <c r="A196" s="4">
        <v>2.3789629920025999E-2</v>
      </c>
      <c r="C196" s="3" t="s">
        <v>11</v>
      </c>
      <c r="D196" s="2">
        <f>C189-E192*SQRT(D189)/(SQRT(15))</f>
        <v>2.3547945023971752E-2</v>
      </c>
      <c r="H196" s="4">
        <v>2.3727971190017998E-2</v>
      </c>
      <c r="I196" s="2">
        <f t="shared" si="23"/>
        <v>0.49999999999999994</v>
      </c>
      <c r="J196" s="2">
        <f t="shared" si="22"/>
        <v>0</v>
      </c>
    </row>
    <row r="197" spans="1:10" ht="11.4" customHeight="1" x14ac:dyDescent="0.3">
      <c r="A197" s="4">
        <v>2.3526361972621999E-2</v>
      </c>
      <c r="H197" s="4">
        <v>2.3789629920025999E-2</v>
      </c>
      <c r="I197" s="2">
        <f t="shared" si="23"/>
        <v>0.56666666666666665</v>
      </c>
      <c r="J197" s="2">
        <f t="shared" si="22"/>
        <v>0.16715058832373922</v>
      </c>
    </row>
    <row r="198" spans="1:10" ht="11.4" customHeight="1" x14ac:dyDescent="0.3">
      <c r="A198" s="4">
        <v>2.3849482712354E-2</v>
      </c>
      <c r="H198" s="4">
        <v>2.3835982443938E-2</v>
      </c>
      <c r="I198" s="2">
        <f t="shared" si="23"/>
        <v>0.6333333333333333</v>
      </c>
      <c r="J198" s="2">
        <f t="shared" si="22"/>
        <v>0.33927638280750583</v>
      </c>
    </row>
    <row r="199" spans="1:10" ht="11.4" customHeight="1" x14ac:dyDescent="0.3">
      <c r="A199" s="4">
        <v>2.3727971190017998E-2</v>
      </c>
      <c r="H199" s="4">
        <v>2.3849482712354E-2</v>
      </c>
      <c r="I199" s="2">
        <f t="shared" si="23"/>
        <v>0.7</v>
      </c>
      <c r="J199" s="2">
        <f t="shared" si="22"/>
        <v>0.52246305252576009</v>
      </c>
    </row>
    <row r="200" spans="1:10" ht="11.4" customHeight="1" x14ac:dyDescent="0.3">
      <c r="A200" s="4">
        <v>2.3889982849327002E-2</v>
      </c>
      <c r="H200" s="4">
        <v>2.3889982849327002E-2</v>
      </c>
      <c r="I200" s="2">
        <f t="shared" si="23"/>
        <v>0.76666666666666661</v>
      </c>
      <c r="J200" s="2">
        <f t="shared" si="22"/>
        <v>0.72575040815577163</v>
      </c>
    </row>
    <row r="201" spans="1:10" ht="11.4" customHeight="1" x14ac:dyDescent="0.3">
      <c r="A201" s="4">
        <v>2.3642412634951999E-2</v>
      </c>
      <c r="H201" s="4">
        <v>2.3936131667524001E-2</v>
      </c>
      <c r="I201" s="2">
        <f t="shared" si="23"/>
        <v>0.83333333333333326</v>
      </c>
      <c r="J201" s="2">
        <f t="shared" si="22"/>
        <v>0.96558119772402329</v>
      </c>
    </row>
    <row r="202" spans="1:10" ht="11.4" customHeight="1" x14ac:dyDescent="0.3">
      <c r="A202" s="4">
        <v>2.3835982443938E-2</v>
      </c>
      <c r="H202" s="4">
        <v>2.3979585449048001E-2</v>
      </c>
      <c r="I202" s="2">
        <f t="shared" si="23"/>
        <v>0.89999999999999991</v>
      </c>
      <c r="J202" s="2">
        <f t="shared" si="22"/>
        <v>1.2811261510381207</v>
      </c>
    </row>
    <row r="203" spans="1:10" ht="11.4" customHeight="1" x14ac:dyDescent="0.3">
      <c r="A203" s="4">
        <v>2.3491136521017999E-2</v>
      </c>
      <c r="H203" s="4">
        <v>2.3989865027974001E-2</v>
      </c>
      <c r="I203" s="2">
        <f t="shared" si="23"/>
        <v>0.96666666666666656</v>
      </c>
      <c r="J203" s="2">
        <f t="shared" si="22"/>
        <v>1.8368588976886859</v>
      </c>
    </row>
    <row r="204" spans="1:10" s="6" customFormat="1" ht="5.4" customHeight="1" x14ac:dyDescent="0.3">
      <c r="C204" s="7"/>
    </row>
    <row r="205" spans="1:10" ht="11.4" customHeight="1" x14ac:dyDescent="0.3">
      <c r="A205" s="1" t="s">
        <v>84</v>
      </c>
      <c r="C205" s="3" t="s">
        <v>1</v>
      </c>
      <c r="D205" s="1" t="s">
        <v>2</v>
      </c>
      <c r="E205" s="1" t="s">
        <v>3</v>
      </c>
      <c r="F205" s="1"/>
      <c r="H205" s="1" t="s">
        <v>4</v>
      </c>
      <c r="I205" s="1" t="s">
        <v>5</v>
      </c>
      <c r="J205" s="1" t="s">
        <v>6</v>
      </c>
    </row>
    <row r="206" spans="1:10" x14ac:dyDescent="0.3">
      <c r="A206" s="4">
        <v>9.0323511563586995E-3</v>
      </c>
      <c r="C206" s="5">
        <f>AVERAGE(A206:A220)</f>
        <v>9.0060757541527876E-3</v>
      </c>
      <c r="D206" s="2">
        <f>_xlfn.VAR.S(A206:A220)</f>
        <v>1.0479302971134126E-9</v>
      </c>
      <c r="E206" s="2">
        <f>SQRT(D206)/C206</f>
        <v>3.5944347364578232E-3</v>
      </c>
      <c r="H206" s="4">
        <v>8.9610402817489002E-3</v>
      </c>
      <c r="I206" s="2">
        <f>1/15 - 0.5/15</f>
        <v>3.3333333333333333E-2</v>
      </c>
      <c r="J206" s="2">
        <f t="shared" ref="J206:J220" si="24">4.91*(I206^0.14-(1-I206)^0.14)</f>
        <v>-1.836858897688687</v>
      </c>
    </row>
    <row r="207" spans="1:10" x14ac:dyDescent="0.3">
      <c r="A207" s="4">
        <v>9.0463378647427008E-3</v>
      </c>
      <c r="H207" s="4">
        <v>8.9612695581197006E-3</v>
      </c>
      <c r="I207" s="2">
        <f t="shared" ref="I207:I220" si="25">I206+1/15</f>
        <v>0.1</v>
      </c>
      <c r="J207" s="2">
        <f t="shared" si="24"/>
        <v>-1.2811261510381207</v>
      </c>
    </row>
    <row r="208" spans="1:10" ht="11.4" customHeight="1" x14ac:dyDescent="0.3">
      <c r="A208" s="4">
        <v>8.9610402817489002E-3</v>
      </c>
      <c r="C208" s="3" t="s">
        <v>7</v>
      </c>
      <c r="E208" s="1" t="s">
        <v>8</v>
      </c>
      <c r="H208" s="4">
        <v>8.9637330611283001E-3</v>
      </c>
      <c r="I208" s="2">
        <f t="shared" si="25"/>
        <v>0.16666666666666669</v>
      </c>
      <c r="J208" s="2">
        <f t="shared" si="24"/>
        <v>-0.96558119772402384</v>
      </c>
    </row>
    <row r="209" spans="1:10" x14ac:dyDescent="0.3">
      <c r="A209" s="4">
        <v>9.0060714577983002E-3</v>
      </c>
      <c r="C209" s="5">
        <f>MEDIAN(A206:A220)</f>
        <v>9.0060714577983002E-3</v>
      </c>
      <c r="E209" s="2">
        <v>2.145</v>
      </c>
      <c r="H209" s="4">
        <v>8.9836093442722999E-3</v>
      </c>
      <c r="I209" s="2">
        <f t="shared" si="25"/>
        <v>0.23333333333333334</v>
      </c>
      <c r="J209" s="2">
        <f t="shared" si="24"/>
        <v>-0.72575040815577163</v>
      </c>
    </row>
    <row r="210" spans="1:10" x14ac:dyDescent="0.3">
      <c r="A210" s="4">
        <v>8.9836093442722999E-3</v>
      </c>
      <c r="H210" s="4">
        <v>8.9846431406736E-3</v>
      </c>
      <c r="I210" s="2">
        <f t="shared" si="25"/>
        <v>0.3</v>
      </c>
      <c r="J210" s="2">
        <f t="shared" si="24"/>
        <v>-0.52246305252576009</v>
      </c>
    </row>
    <row r="211" spans="1:10" ht="11.4" customHeight="1" x14ac:dyDescent="0.3">
      <c r="A211" s="4">
        <v>9.0582641812672008E-3</v>
      </c>
      <c r="C211" s="3"/>
      <c r="D211" s="1" t="s">
        <v>9</v>
      </c>
      <c r="H211" s="4">
        <v>8.9925504433545998E-3</v>
      </c>
      <c r="I211" s="2">
        <f t="shared" si="25"/>
        <v>0.36666666666666664</v>
      </c>
      <c r="J211" s="2">
        <f t="shared" si="24"/>
        <v>-0.33927638280750583</v>
      </c>
    </row>
    <row r="212" spans="1:10" ht="11.4" customHeight="1" x14ac:dyDescent="0.3">
      <c r="A212" s="4">
        <v>8.9925504433545998E-3</v>
      </c>
      <c r="C212" s="3" t="s">
        <v>10</v>
      </c>
      <c r="D212" s="2">
        <f>C206+E209*SQRT(D206)/(SQRT(15))</f>
        <v>9.0240044155552764E-3</v>
      </c>
      <c r="H212" s="4">
        <v>9.0059603823504E-3</v>
      </c>
      <c r="I212" s="2">
        <f t="shared" si="25"/>
        <v>0.43333333333333329</v>
      </c>
      <c r="J212" s="2">
        <f t="shared" si="24"/>
        <v>-0.16715058832373922</v>
      </c>
    </row>
    <row r="213" spans="1:10" ht="11.4" customHeight="1" x14ac:dyDescent="0.3">
      <c r="A213" s="4">
        <v>9.0059603823504E-3</v>
      </c>
      <c r="C213" s="3" t="s">
        <v>11</v>
      </c>
      <c r="D213" s="2">
        <f>C206-E209*SQRT(D206)/(SQRT(15))</f>
        <v>8.9881470927502989E-3</v>
      </c>
      <c r="H213" s="4">
        <v>9.0060714577983002E-3</v>
      </c>
      <c r="I213" s="2">
        <f t="shared" si="25"/>
        <v>0.49999999999999994</v>
      </c>
      <c r="J213" s="2">
        <f t="shared" si="24"/>
        <v>0</v>
      </c>
    </row>
    <row r="214" spans="1:10" x14ac:dyDescent="0.3">
      <c r="A214" s="4">
        <v>8.9612695581197006E-3</v>
      </c>
      <c r="H214" s="4">
        <v>9.0065308478508993E-3</v>
      </c>
      <c r="I214" s="2">
        <f t="shared" si="25"/>
        <v>0.56666666666666665</v>
      </c>
      <c r="J214" s="2">
        <f t="shared" si="24"/>
        <v>0.16715058832373922</v>
      </c>
    </row>
    <row r="215" spans="1:10" x14ac:dyDescent="0.3">
      <c r="A215" s="4">
        <v>8.9846431406736E-3</v>
      </c>
      <c r="H215" s="4">
        <v>9.0071485980609996E-3</v>
      </c>
      <c r="I215" s="2">
        <f t="shared" si="25"/>
        <v>0.6333333333333333</v>
      </c>
      <c r="J215" s="2">
        <f t="shared" si="24"/>
        <v>0.33927638280750583</v>
      </c>
    </row>
    <row r="216" spans="1:10" x14ac:dyDescent="0.3">
      <c r="A216" s="4">
        <v>9.0065308478508993E-3</v>
      </c>
      <c r="H216" s="4">
        <v>9.0297334843217007E-3</v>
      </c>
      <c r="I216" s="2">
        <f t="shared" si="25"/>
        <v>0.7</v>
      </c>
      <c r="J216" s="2">
        <f t="shared" si="24"/>
        <v>0.52246305252576009</v>
      </c>
    </row>
    <row r="217" spans="1:10" x14ac:dyDescent="0.3">
      <c r="A217" s="4">
        <v>9.0518925102435008E-3</v>
      </c>
      <c r="H217" s="4">
        <v>9.0323511563586995E-3</v>
      </c>
      <c r="I217" s="2">
        <f t="shared" si="25"/>
        <v>0.76666666666666661</v>
      </c>
      <c r="J217" s="2">
        <f t="shared" si="24"/>
        <v>0.72575040815577163</v>
      </c>
    </row>
    <row r="218" spans="1:10" x14ac:dyDescent="0.3">
      <c r="A218" s="4">
        <v>8.9637330611283001E-3</v>
      </c>
      <c r="H218" s="4">
        <v>9.0463378647427008E-3</v>
      </c>
      <c r="I218" s="2">
        <f t="shared" si="25"/>
        <v>0.83333333333333326</v>
      </c>
      <c r="J218" s="2">
        <f t="shared" si="24"/>
        <v>0.96558119772402329</v>
      </c>
    </row>
    <row r="219" spans="1:10" x14ac:dyDescent="0.3">
      <c r="A219" s="4">
        <v>9.0297334843217007E-3</v>
      </c>
      <c r="H219" s="4">
        <v>9.0518925102435008E-3</v>
      </c>
      <c r="I219" s="2">
        <f t="shared" si="25"/>
        <v>0.89999999999999991</v>
      </c>
      <c r="J219" s="2">
        <f t="shared" si="24"/>
        <v>1.2811261510381207</v>
      </c>
    </row>
    <row r="220" spans="1:10" x14ac:dyDescent="0.3">
      <c r="A220" s="4">
        <v>9.0071485980609996E-3</v>
      </c>
      <c r="H220" s="4">
        <v>9.0582641812672008E-3</v>
      </c>
      <c r="I220" s="2">
        <f t="shared" si="25"/>
        <v>0.96666666666666656</v>
      </c>
      <c r="J220" s="2">
        <f t="shared" si="24"/>
        <v>1.8368588976886859</v>
      </c>
    </row>
    <row r="221" spans="1:10" s="6" customFormat="1" x14ac:dyDescent="0.3">
      <c r="C221" s="7"/>
    </row>
    <row r="222" spans="1:10" x14ac:dyDescent="0.3">
      <c r="A222" s="1" t="s">
        <v>85</v>
      </c>
      <c r="C222" s="3" t="s">
        <v>1</v>
      </c>
      <c r="D222" s="1" t="s">
        <v>2</v>
      </c>
      <c r="E222" s="1" t="s">
        <v>3</v>
      </c>
      <c r="F222" s="1"/>
      <c r="H222" s="1" t="s">
        <v>4</v>
      </c>
      <c r="I222" s="1" t="s">
        <v>5</v>
      </c>
      <c r="J222" s="1" t="s">
        <v>6</v>
      </c>
    </row>
    <row r="223" spans="1:10" x14ac:dyDescent="0.3">
      <c r="A223" s="4">
        <v>1.0950879859368001E-2</v>
      </c>
      <c r="C223" s="5">
        <f>AVERAGE(A223:A237)</f>
        <v>1.0966429132334733E-2</v>
      </c>
      <c r="D223" s="2">
        <f>_xlfn.VAR.S(A223:A237)</f>
        <v>2.8339141541877638E-9</v>
      </c>
      <c r="E223" s="2">
        <f>SQRT(D223)/C223</f>
        <v>4.8543167226251984E-3</v>
      </c>
      <c r="H223" s="4">
        <v>1.0853521760298E-2</v>
      </c>
      <c r="I223" s="2">
        <f>1/15 - 0.5/15</f>
        <v>3.3333333333333333E-2</v>
      </c>
      <c r="J223" s="2">
        <f t="shared" ref="J223:J237" si="26">4.91*(I223^0.14-(1-I223)^0.14)</f>
        <v>-1.836858897688687</v>
      </c>
    </row>
    <row r="224" spans="1:10" x14ac:dyDescent="0.3">
      <c r="A224" s="4">
        <v>1.1064290757279001E-2</v>
      </c>
      <c r="H224" s="4">
        <v>1.0907429681999E-2</v>
      </c>
      <c r="I224" s="2">
        <f t="shared" ref="I224:I237" si="27">I223+1/15</f>
        <v>0.1</v>
      </c>
      <c r="J224" s="2">
        <f t="shared" si="26"/>
        <v>-1.2811261510381207</v>
      </c>
    </row>
    <row r="225" spans="1:10" x14ac:dyDescent="0.3">
      <c r="A225" s="4">
        <v>1.1044260064278E-2</v>
      </c>
      <c r="C225" s="3" t="s">
        <v>7</v>
      </c>
      <c r="E225" s="1" t="s">
        <v>8</v>
      </c>
      <c r="H225" s="4">
        <v>1.0937554563782001E-2</v>
      </c>
      <c r="I225" s="2">
        <f t="shared" si="27"/>
        <v>0.16666666666666669</v>
      </c>
      <c r="J225" s="2">
        <f t="shared" si="26"/>
        <v>-0.96558119772402384</v>
      </c>
    </row>
    <row r="226" spans="1:10" x14ac:dyDescent="0.3">
      <c r="A226" s="4">
        <v>1.0937554563782001E-2</v>
      </c>
      <c r="C226" s="5">
        <f>MEDIAN(A223:A237)</f>
        <v>1.0954282063683001E-2</v>
      </c>
      <c r="E226" s="2">
        <v>2.145</v>
      </c>
      <c r="H226" s="4">
        <v>1.0937867290985E-2</v>
      </c>
      <c r="I226" s="2">
        <f t="shared" si="27"/>
        <v>0.23333333333333334</v>
      </c>
      <c r="J226" s="2">
        <f t="shared" si="26"/>
        <v>-0.72575040815577163</v>
      </c>
    </row>
    <row r="227" spans="1:10" x14ac:dyDescent="0.3">
      <c r="A227" s="4">
        <v>1.0907429681999E-2</v>
      </c>
      <c r="H227" s="4">
        <v>1.0944964351674E-2</v>
      </c>
      <c r="I227" s="2">
        <f t="shared" si="27"/>
        <v>0.3</v>
      </c>
      <c r="J227" s="2">
        <f t="shared" si="26"/>
        <v>-0.52246305252576009</v>
      </c>
    </row>
    <row r="228" spans="1:10" x14ac:dyDescent="0.3">
      <c r="A228" s="4">
        <v>1.0994750725793E-2</v>
      </c>
      <c r="C228" s="3"/>
      <c r="D228" s="1" t="s">
        <v>9</v>
      </c>
      <c r="H228" s="4">
        <v>1.0950879859368001E-2</v>
      </c>
      <c r="I228" s="2">
        <f t="shared" si="27"/>
        <v>0.36666666666666664</v>
      </c>
      <c r="J228" s="2">
        <f t="shared" si="26"/>
        <v>-0.33927638280750583</v>
      </c>
    </row>
    <row r="229" spans="1:10" x14ac:dyDescent="0.3">
      <c r="A229" s="4">
        <v>1.0973492195188001E-2</v>
      </c>
      <c r="C229" s="3" t="s">
        <v>10</v>
      </c>
      <c r="D229" s="2">
        <f>C223+E226*SQRT(D223)/(SQRT(15))</f>
        <v>1.0995912359059175E-2</v>
      </c>
      <c r="H229" s="4">
        <v>1.0951052408027E-2</v>
      </c>
      <c r="I229" s="2">
        <f t="shared" si="27"/>
        <v>0.43333333333333329</v>
      </c>
      <c r="J229" s="2">
        <f t="shared" si="26"/>
        <v>-0.16715058832373922</v>
      </c>
    </row>
    <row r="230" spans="1:10" x14ac:dyDescent="0.3">
      <c r="A230" s="4">
        <v>1.0853521760298E-2</v>
      </c>
      <c r="C230" s="3" t="s">
        <v>11</v>
      </c>
      <c r="D230" s="2">
        <f>C223-E226*SQRT(D223)/(SQRT(15))</f>
        <v>1.0936945905610292E-2</v>
      </c>
      <c r="H230" s="4">
        <v>1.0954282063683001E-2</v>
      </c>
      <c r="I230" s="2">
        <f t="shared" si="27"/>
        <v>0.49999999999999994</v>
      </c>
      <c r="J230" s="2">
        <f t="shared" si="26"/>
        <v>0</v>
      </c>
    </row>
    <row r="231" spans="1:10" x14ac:dyDescent="0.3">
      <c r="A231" s="4">
        <v>1.0954282063683001E-2</v>
      </c>
      <c r="H231" s="4">
        <v>1.0967684812664E-2</v>
      </c>
      <c r="I231" s="2">
        <f t="shared" si="27"/>
        <v>0.56666666666666665</v>
      </c>
      <c r="J231" s="2">
        <f t="shared" si="26"/>
        <v>0.16715058832373922</v>
      </c>
    </row>
    <row r="232" spans="1:10" x14ac:dyDescent="0.3">
      <c r="A232" s="4">
        <v>1.0986030410749E-2</v>
      </c>
      <c r="H232" s="4">
        <v>1.0973492195188001E-2</v>
      </c>
      <c r="I232" s="2">
        <f t="shared" si="27"/>
        <v>0.6333333333333333</v>
      </c>
      <c r="J232" s="2">
        <f t="shared" si="26"/>
        <v>0.33927638280750583</v>
      </c>
    </row>
    <row r="233" spans="1:10" x14ac:dyDescent="0.3">
      <c r="A233" s="4">
        <v>1.0951052408027E-2</v>
      </c>
      <c r="H233" s="4">
        <v>1.0986030410749E-2</v>
      </c>
      <c r="I233" s="2">
        <f t="shared" si="27"/>
        <v>0.7</v>
      </c>
      <c r="J233" s="2">
        <f t="shared" si="26"/>
        <v>0.52246305252576009</v>
      </c>
    </row>
    <row r="234" spans="1:10" x14ac:dyDescent="0.3">
      <c r="A234" s="4">
        <v>1.0967684812664E-2</v>
      </c>
      <c r="H234" s="4">
        <v>1.0994750725793E-2</v>
      </c>
      <c r="I234" s="2">
        <f t="shared" si="27"/>
        <v>0.76666666666666661</v>
      </c>
      <c r="J234" s="2">
        <f t="shared" si="26"/>
        <v>0.72575040815577163</v>
      </c>
    </row>
    <row r="235" spans="1:10" x14ac:dyDescent="0.3">
      <c r="A235" s="4">
        <v>1.0937867290985E-2</v>
      </c>
      <c r="H235" s="4">
        <v>1.1028376039254001E-2</v>
      </c>
      <c r="I235" s="2">
        <f t="shared" si="27"/>
        <v>0.83333333333333326</v>
      </c>
      <c r="J235" s="2">
        <f t="shared" si="26"/>
        <v>0.96558119772402329</v>
      </c>
    </row>
    <row r="236" spans="1:10" x14ac:dyDescent="0.3">
      <c r="A236" s="4">
        <v>1.1028376039254001E-2</v>
      </c>
      <c r="H236" s="4">
        <v>1.1044260064278E-2</v>
      </c>
      <c r="I236" s="2">
        <f t="shared" si="27"/>
        <v>0.89999999999999991</v>
      </c>
      <c r="J236" s="2">
        <f t="shared" si="26"/>
        <v>1.2811261510381207</v>
      </c>
    </row>
    <row r="237" spans="1:10" x14ac:dyDescent="0.3">
      <c r="A237" s="4">
        <v>1.0944964351674E-2</v>
      </c>
      <c r="H237" s="4">
        <v>1.1064290757279001E-2</v>
      </c>
      <c r="I237" s="2">
        <f t="shared" si="27"/>
        <v>0.96666666666666656</v>
      </c>
      <c r="J237" s="2">
        <f t="shared" si="26"/>
        <v>1.8368588976886859</v>
      </c>
    </row>
    <row r="238" spans="1:10" s="6" customFormat="1" x14ac:dyDescent="0.3">
      <c r="C238" s="7"/>
    </row>
    <row r="239" spans="1:10" x14ac:dyDescent="0.3">
      <c r="A239" s="1" t="s">
        <v>86</v>
      </c>
      <c r="C239" s="3" t="s">
        <v>1</v>
      </c>
      <c r="D239" s="1" t="s">
        <v>2</v>
      </c>
      <c r="E239" s="1" t="s">
        <v>3</v>
      </c>
      <c r="F239" s="1"/>
      <c r="H239" s="1" t="s">
        <v>4</v>
      </c>
      <c r="I239" s="1" t="s">
        <v>5</v>
      </c>
      <c r="J239" s="1" t="s">
        <v>6</v>
      </c>
    </row>
    <row r="240" spans="1:10" x14ac:dyDescent="0.3">
      <c r="A240" s="4">
        <v>1.6812646179312E-2</v>
      </c>
      <c r="C240" s="5">
        <f>AVERAGE(A240:A254)</f>
        <v>1.682415533934687E-2</v>
      </c>
      <c r="D240" s="2">
        <f>_xlfn.VAR.S(A240:A254)</f>
        <v>1.0279876066399039E-8</v>
      </c>
      <c r="E240" s="2">
        <f>SQRT(D240)/C240</f>
        <v>6.0264376800803366E-3</v>
      </c>
      <c r="H240" s="4">
        <v>1.6631474679056998E-2</v>
      </c>
      <c r="I240" s="2">
        <f>1/15 - 0.5/15</f>
        <v>3.3333333333333333E-2</v>
      </c>
      <c r="J240" s="2">
        <f t="shared" ref="J240:J254" si="28">4.91*(I240^0.14-(1-I240)^0.14)</f>
        <v>-1.836858897688687</v>
      </c>
    </row>
    <row r="241" spans="1:10" x14ac:dyDescent="0.3">
      <c r="A241" s="4">
        <v>1.6781404939445001E-2</v>
      </c>
      <c r="H241" s="4">
        <v>1.6689801953589E-2</v>
      </c>
      <c r="I241" s="2">
        <f t="shared" ref="I241:I254" si="29">I240+1/15</f>
        <v>0.1</v>
      </c>
      <c r="J241" s="2">
        <f t="shared" si="28"/>
        <v>-1.2811261510381207</v>
      </c>
    </row>
    <row r="242" spans="1:10" x14ac:dyDescent="0.3">
      <c r="A242" s="4">
        <v>1.6883779746317999E-2</v>
      </c>
      <c r="C242" s="3" t="s">
        <v>7</v>
      </c>
      <c r="E242" s="1" t="s">
        <v>8</v>
      </c>
      <c r="H242" s="4">
        <v>1.669241590642E-2</v>
      </c>
      <c r="I242" s="2">
        <f t="shared" si="29"/>
        <v>0.16666666666666669</v>
      </c>
      <c r="J242" s="2">
        <f t="shared" si="28"/>
        <v>-0.96558119772402384</v>
      </c>
    </row>
    <row r="243" spans="1:10" x14ac:dyDescent="0.3">
      <c r="A243" s="4">
        <v>1.6931233322677E-2</v>
      </c>
      <c r="C243" s="5">
        <f>MEDIAN(A240:A254)</f>
        <v>1.6836008062290998E-2</v>
      </c>
      <c r="E243" s="2">
        <v>2.145</v>
      </c>
      <c r="H243" s="4">
        <v>1.6778576696014E-2</v>
      </c>
      <c r="I243" s="2">
        <f t="shared" si="29"/>
        <v>0.23333333333333334</v>
      </c>
      <c r="J243" s="2">
        <f t="shared" si="28"/>
        <v>-0.72575040815577163</v>
      </c>
    </row>
    <row r="244" spans="1:10" x14ac:dyDescent="0.3">
      <c r="A244" s="4">
        <v>1.6689801953589E-2</v>
      </c>
      <c r="H244" s="4">
        <v>1.6781404939445001E-2</v>
      </c>
      <c r="I244" s="2">
        <f t="shared" si="29"/>
        <v>0.3</v>
      </c>
      <c r="J244" s="2">
        <f t="shared" si="28"/>
        <v>-0.52246305252576009</v>
      </c>
    </row>
    <row r="245" spans="1:10" x14ac:dyDescent="0.3">
      <c r="A245" s="4">
        <v>1.669241590642E-2</v>
      </c>
      <c r="C245" s="3"/>
      <c r="D245" s="1" t="s">
        <v>9</v>
      </c>
      <c r="H245" s="4">
        <v>1.6812646179312E-2</v>
      </c>
      <c r="I245" s="2">
        <f t="shared" si="29"/>
        <v>0.36666666666666664</v>
      </c>
      <c r="J245" s="2">
        <f t="shared" si="28"/>
        <v>-0.33927638280750583</v>
      </c>
    </row>
    <row r="246" spans="1:10" x14ac:dyDescent="0.3">
      <c r="A246" s="4">
        <v>1.7029921634667999E-2</v>
      </c>
      <c r="C246" s="3" t="s">
        <v>10</v>
      </c>
      <c r="D246" s="2">
        <f>C240+E243*SQRT(D240)/(SQRT(15))</f>
        <v>1.688030868105711E-2</v>
      </c>
      <c r="H246" s="4">
        <v>1.6812712776908E-2</v>
      </c>
      <c r="I246" s="2">
        <f t="shared" si="29"/>
        <v>0.43333333333333329</v>
      </c>
      <c r="J246" s="2">
        <f t="shared" si="28"/>
        <v>-0.16715058832373922</v>
      </c>
    </row>
    <row r="247" spans="1:10" x14ac:dyDescent="0.3">
      <c r="A247" s="4">
        <v>1.6898626330528001E-2</v>
      </c>
      <c r="C247" s="3" t="s">
        <v>11</v>
      </c>
      <c r="D247" s="2">
        <f>C240-E243*SQRT(D240)/(SQRT(15))</f>
        <v>1.6768001997636631E-2</v>
      </c>
      <c r="H247" s="4">
        <v>1.6836008062290998E-2</v>
      </c>
      <c r="I247" s="2">
        <f t="shared" si="29"/>
        <v>0.49999999999999994</v>
      </c>
      <c r="J247" s="2">
        <f t="shared" si="28"/>
        <v>0</v>
      </c>
    </row>
    <row r="248" spans="1:10" x14ac:dyDescent="0.3">
      <c r="A248" s="4">
        <v>1.6631474679056998E-2</v>
      </c>
      <c r="H248" s="4">
        <v>1.6856342423899998E-2</v>
      </c>
      <c r="I248" s="2">
        <f t="shared" si="29"/>
        <v>0.56666666666666665</v>
      </c>
      <c r="J248" s="2">
        <f t="shared" si="28"/>
        <v>0.16715058832373922</v>
      </c>
    </row>
    <row r="249" spans="1:10" x14ac:dyDescent="0.3">
      <c r="A249" s="4">
        <v>1.6812712776908E-2</v>
      </c>
      <c r="H249" s="4">
        <v>1.6861625154391002E-2</v>
      </c>
      <c r="I249" s="2">
        <f t="shared" si="29"/>
        <v>0.6333333333333333</v>
      </c>
      <c r="J249" s="2">
        <f t="shared" si="28"/>
        <v>0.33927638280750583</v>
      </c>
    </row>
    <row r="250" spans="1:10" x14ac:dyDescent="0.3">
      <c r="A250" s="4">
        <v>1.6778576696014E-2</v>
      </c>
      <c r="H250" s="4">
        <v>1.6865760284684998E-2</v>
      </c>
      <c r="I250" s="2">
        <f t="shared" si="29"/>
        <v>0.7</v>
      </c>
      <c r="J250" s="2">
        <f t="shared" si="28"/>
        <v>0.52246305252576009</v>
      </c>
    </row>
    <row r="251" spans="1:10" x14ac:dyDescent="0.3">
      <c r="A251" s="4">
        <v>1.6856342423899998E-2</v>
      </c>
      <c r="H251" s="4">
        <v>1.6883779746317999E-2</v>
      </c>
      <c r="I251" s="2">
        <f t="shared" si="29"/>
        <v>0.76666666666666661</v>
      </c>
      <c r="J251" s="2">
        <f t="shared" si="28"/>
        <v>0.72575040815577163</v>
      </c>
    </row>
    <row r="252" spans="1:10" x14ac:dyDescent="0.3">
      <c r="A252" s="4">
        <v>1.6861625154391002E-2</v>
      </c>
      <c r="H252" s="4">
        <v>1.6898626330528001E-2</v>
      </c>
      <c r="I252" s="2">
        <f t="shared" si="29"/>
        <v>0.83333333333333326</v>
      </c>
      <c r="J252" s="2">
        <f t="shared" si="28"/>
        <v>0.96558119772402329</v>
      </c>
    </row>
    <row r="253" spans="1:10" x14ac:dyDescent="0.3">
      <c r="A253" s="4">
        <v>1.6865760284684998E-2</v>
      </c>
      <c r="H253" s="4">
        <v>1.6931233322677E-2</v>
      </c>
      <c r="I253" s="2">
        <f t="shared" si="29"/>
        <v>0.89999999999999991</v>
      </c>
      <c r="J253" s="2">
        <f t="shared" si="28"/>
        <v>1.2811261510381207</v>
      </c>
    </row>
    <row r="254" spans="1:10" x14ac:dyDescent="0.3">
      <c r="A254" s="4">
        <v>1.6836008062290998E-2</v>
      </c>
      <c r="H254" s="4">
        <v>1.7029921634667999E-2</v>
      </c>
      <c r="I254" s="2">
        <f t="shared" si="29"/>
        <v>0.96666666666666656</v>
      </c>
      <c r="J254" s="2">
        <f t="shared" si="28"/>
        <v>1.8368588976886859</v>
      </c>
    </row>
    <row r="255" spans="1:10" s="6" customFormat="1" ht="4.2" customHeight="1" x14ac:dyDescent="0.3">
      <c r="C255" s="7"/>
    </row>
    <row r="256" spans="1:10" x14ac:dyDescent="0.3">
      <c r="A256" s="1" t="s">
        <v>87</v>
      </c>
      <c r="C256" s="3" t="s">
        <v>1</v>
      </c>
      <c r="D256" s="1" t="s">
        <v>2</v>
      </c>
      <c r="E256" s="1" t="s">
        <v>3</v>
      </c>
      <c r="F256" s="1"/>
      <c r="H256" s="1" t="s">
        <v>4</v>
      </c>
      <c r="I256" s="1" t="s">
        <v>5</v>
      </c>
      <c r="J256" s="1" t="s">
        <v>6</v>
      </c>
    </row>
    <row r="257" spans="1:10" x14ac:dyDescent="0.3">
      <c r="A257" s="4">
        <v>2.1549137315787E-2</v>
      </c>
      <c r="C257" s="5">
        <f>AVERAGE(A257:A271)</f>
        <v>2.1417344212244064E-2</v>
      </c>
      <c r="D257" s="2">
        <f>_xlfn.VAR.S(A257:A271)</f>
        <v>2.0281947595163236E-8</v>
      </c>
      <c r="E257" s="2">
        <f>SQRT(D257)/C257</f>
        <v>6.6495033868039328E-3</v>
      </c>
      <c r="H257" s="4">
        <v>2.1033075287623E-2</v>
      </c>
      <c r="I257" s="2">
        <f>1/15 - 0.5/15</f>
        <v>3.3333333333333333E-2</v>
      </c>
      <c r="J257" s="2">
        <f t="shared" ref="J257:J271" si="30">4.91*(I257^0.14-(1-I257)^0.14)</f>
        <v>-1.836858897688687</v>
      </c>
    </row>
    <row r="258" spans="1:10" x14ac:dyDescent="0.3">
      <c r="A258" s="4">
        <v>2.1564184544703002E-2</v>
      </c>
      <c r="H258" s="4">
        <v>2.1243002560439001E-2</v>
      </c>
      <c r="I258" s="2">
        <f t="shared" ref="I258:I271" si="31">I257+1/15</f>
        <v>0.1</v>
      </c>
      <c r="J258" s="2">
        <f t="shared" si="30"/>
        <v>-1.2811261510381207</v>
      </c>
    </row>
    <row r="259" spans="1:10" x14ac:dyDescent="0.3">
      <c r="A259" s="4">
        <v>2.1493649627054998E-2</v>
      </c>
      <c r="C259" s="3" t="s">
        <v>7</v>
      </c>
      <c r="E259" s="1" t="s">
        <v>8</v>
      </c>
      <c r="H259" s="4">
        <v>2.1311045280217999E-2</v>
      </c>
      <c r="I259" s="2">
        <f t="shared" si="31"/>
        <v>0.16666666666666669</v>
      </c>
      <c r="J259" s="2">
        <f t="shared" si="30"/>
        <v>-0.96558119772402384</v>
      </c>
    </row>
    <row r="260" spans="1:10" x14ac:dyDescent="0.3">
      <c r="A260" s="4">
        <v>2.1243002560439001E-2</v>
      </c>
      <c r="C260" s="5">
        <f>MEDIAN(A257:A271)</f>
        <v>2.1479777592701001E-2</v>
      </c>
      <c r="E260" s="2">
        <v>2.145</v>
      </c>
      <c r="H260" s="4">
        <v>2.134686810072E-2</v>
      </c>
      <c r="I260" s="2">
        <f t="shared" si="31"/>
        <v>0.23333333333333334</v>
      </c>
      <c r="J260" s="2">
        <f t="shared" si="30"/>
        <v>-0.72575040815577163</v>
      </c>
    </row>
    <row r="261" spans="1:10" x14ac:dyDescent="0.3">
      <c r="A261" s="4">
        <v>2.134686810072E-2</v>
      </c>
      <c r="H261" s="4">
        <v>2.1355071471684001E-2</v>
      </c>
      <c r="I261" s="2">
        <f t="shared" si="31"/>
        <v>0.3</v>
      </c>
      <c r="J261" s="2">
        <f t="shared" si="30"/>
        <v>-0.52246305252576009</v>
      </c>
    </row>
    <row r="262" spans="1:10" x14ac:dyDescent="0.3">
      <c r="A262" s="4">
        <v>2.1519081118733002E-2</v>
      </c>
      <c r="C262" s="3"/>
      <c r="D262" s="1" t="s">
        <v>9</v>
      </c>
      <c r="H262" s="4">
        <v>2.141514673821E-2</v>
      </c>
      <c r="I262" s="2">
        <f t="shared" si="31"/>
        <v>0.36666666666666664</v>
      </c>
      <c r="J262" s="2">
        <f t="shared" si="30"/>
        <v>-0.33927638280750583</v>
      </c>
    </row>
    <row r="263" spans="1:10" x14ac:dyDescent="0.3">
      <c r="A263" s="4">
        <v>2.1491107388706E-2</v>
      </c>
      <c r="C263" s="3" t="s">
        <v>10</v>
      </c>
      <c r="D263" s="2">
        <f>C257+E260*SQRT(D257)/(SQRT(15))</f>
        <v>2.1496218689710495E-2</v>
      </c>
      <c r="H263" s="4">
        <v>2.141799155897E-2</v>
      </c>
      <c r="I263" s="2">
        <f t="shared" si="31"/>
        <v>0.43333333333333329</v>
      </c>
      <c r="J263" s="2">
        <f t="shared" si="30"/>
        <v>-0.16715058832373922</v>
      </c>
    </row>
    <row r="264" spans="1:10" x14ac:dyDescent="0.3">
      <c r="A264" s="4">
        <v>2.1033075287623E-2</v>
      </c>
      <c r="C264" s="3" t="s">
        <v>11</v>
      </c>
      <c r="D264" s="2">
        <f>C257-E260*SQRT(D257)/(SQRT(15))</f>
        <v>2.1338469734777633E-2</v>
      </c>
      <c r="H264" s="4">
        <v>2.1479777592701001E-2</v>
      </c>
      <c r="I264" s="2">
        <f t="shared" si="31"/>
        <v>0.49999999999999994</v>
      </c>
      <c r="J264" s="2">
        <f t="shared" si="30"/>
        <v>0</v>
      </c>
    </row>
    <row r="265" spans="1:10" x14ac:dyDescent="0.3">
      <c r="A265" s="4">
        <v>2.1518332893508001E-2</v>
      </c>
      <c r="H265" s="4">
        <v>2.1491107388706E-2</v>
      </c>
      <c r="I265" s="2">
        <f t="shared" si="31"/>
        <v>0.56666666666666665</v>
      </c>
      <c r="J265" s="2">
        <f t="shared" si="30"/>
        <v>0.16715058832373922</v>
      </c>
    </row>
    <row r="266" spans="1:10" x14ac:dyDescent="0.3">
      <c r="A266" s="4">
        <v>2.1355071471684001E-2</v>
      </c>
      <c r="H266" s="4">
        <v>2.1493649627054998E-2</v>
      </c>
      <c r="I266" s="2">
        <f t="shared" si="31"/>
        <v>0.6333333333333333</v>
      </c>
      <c r="J266" s="2">
        <f t="shared" si="30"/>
        <v>0.33927638280750583</v>
      </c>
    </row>
    <row r="267" spans="1:10" x14ac:dyDescent="0.3">
      <c r="A267" s="4">
        <v>2.141799155897E-2</v>
      </c>
      <c r="H267" s="4">
        <v>2.1518332893508001E-2</v>
      </c>
      <c r="I267" s="2">
        <f t="shared" si="31"/>
        <v>0.7</v>
      </c>
      <c r="J267" s="2">
        <f t="shared" si="30"/>
        <v>0.52246305252576009</v>
      </c>
    </row>
    <row r="268" spans="1:10" x14ac:dyDescent="0.3">
      <c r="A268" s="4">
        <v>2.141514673821E-2</v>
      </c>
      <c r="H268" s="4">
        <v>2.1519081118733002E-2</v>
      </c>
      <c r="I268" s="2">
        <f t="shared" si="31"/>
        <v>0.76666666666666661</v>
      </c>
      <c r="J268" s="2">
        <f t="shared" si="30"/>
        <v>0.72575040815577163</v>
      </c>
    </row>
    <row r="269" spans="1:10" x14ac:dyDescent="0.3">
      <c r="A269" s="4">
        <v>2.1522691704604E-2</v>
      </c>
      <c r="H269" s="4">
        <v>2.1522691704604E-2</v>
      </c>
      <c r="I269" s="2">
        <f t="shared" si="31"/>
        <v>0.83333333333333326</v>
      </c>
      <c r="J269" s="2">
        <f t="shared" si="30"/>
        <v>0.96558119772402329</v>
      </c>
    </row>
    <row r="270" spans="1:10" x14ac:dyDescent="0.3">
      <c r="A270" s="4">
        <v>2.1311045280217999E-2</v>
      </c>
      <c r="H270" s="4">
        <v>2.1549137315787E-2</v>
      </c>
      <c r="I270" s="2">
        <f t="shared" si="31"/>
        <v>0.89999999999999991</v>
      </c>
      <c r="J270" s="2">
        <f t="shared" si="30"/>
        <v>1.2811261510381207</v>
      </c>
    </row>
    <row r="271" spans="1:10" x14ac:dyDescent="0.3">
      <c r="A271" s="4">
        <v>2.1479777592701001E-2</v>
      </c>
      <c r="H271" s="4">
        <v>2.1564184544703002E-2</v>
      </c>
      <c r="I271" s="2">
        <f t="shared" si="31"/>
        <v>0.96666666666666656</v>
      </c>
      <c r="J271" s="2">
        <f t="shared" si="30"/>
        <v>1.8368588976886859</v>
      </c>
    </row>
    <row r="272" spans="1:10" s="10" customFormat="1" ht="4.5" customHeight="1" x14ac:dyDescent="0.3">
      <c r="C272" s="11"/>
    </row>
    <row r="273" spans="1:5" x14ac:dyDescent="0.3">
      <c r="A273" s="1"/>
      <c r="C273" s="1"/>
      <c r="D273" s="1"/>
      <c r="E273" s="1"/>
    </row>
    <row r="274" spans="1:5" x14ac:dyDescent="0.3">
      <c r="A274" s="14" t="s">
        <v>67</v>
      </c>
      <c r="B274" s="14"/>
      <c r="C274" s="14"/>
    </row>
    <row r="275" spans="1:5" x14ac:dyDescent="0.3">
      <c r="A275" s="1" t="s">
        <v>21</v>
      </c>
      <c r="B275" s="1" t="s">
        <v>88</v>
      </c>
      <c r="C275" s="1" t="s">
        <v>23</v>
      </c>
    </row>
    <row r="276" spans="1:5" x14ac:dyDescent="0.3">
      <c r="A276" s="1"/>
      <c r="C276" s="2"/>
    </row>
    <row r="277" spans="1:5" x14ac:dyDescent="0.3">
      <c r="A277" s="1" t="s">
        <v>89</v>
      </c>
      <c r="B277" s="2">
        <f>0.001*6</f>
        <v>6.0000000000000001E-3</v>
      </c>
      <c r="C277" s="2">
        <f>C2</f>
        <v>9.8113817342714797E-3</v>
      </c>
    </row>
    <row r="278" spans="1:5" x14ac:dyDescent="0.3">
      <c r="A278" s="1" t="s">
        <v>90</v>
      </c>
      <c r="B278" s="2">
        <f>0.001*5</f>
        <v>5.0000000000000001E-3</v>
      </c>
      <c r="C278" s="2">
        <f>C19</f>
        <v>1.2948571300472732E-2</v>
      </c>
    </row>
    <row r="279" spans="1:5" x14ac:dyDescent="0.3">
      <c r="A279" s="1" t="s">
        <v>91</v>
      </c>
      <c r="B279" s="2">
        <f>0.001*3</f>
        <v>3.0000000000000001E-3</v>
      </c>
      <c r="C279" s="2">
        <f>C36</f>
        <v>2.7120278641667668E-2</v>
      </c>
    </row>
    <row r="280" spans="1:5" x14ac:dyDescent="0.3">
      <c r="A280" s="1" t="s">
        <v>92</v>
      </c>
      <c r="B280" s="2">
        <f>0.001*2</f>
        <v>2E-3</v>
      </c>
      <c r="C280" s="2">
        <f>C53</f>
        <v>4.9064986412869271E-2</v>
      </c>
    </row>
    <row r="281" spans="1:5" x14ac:dyDescent="0.3">
      <c r="A281" s="1" t="s">
        <v>93</v>
      </c>
      <c r="B281" s="2">
        <f>0.001*7</f>
        <v>7.0000000000000001E-3</v>
      </c>
      <c r="C281" s="2">
        <f>C70</f>
        <v>9.4952011103446587E-3</v>
      </c>
    </row>
    <row r="282" spans="1:5" x14ac:dyDescent="0.3">
      <c r="A282" s="1" t="s">
        <v>94</v>
      </c>
      <c r="B282" s="2">
        <f>0.001*6</f>
        <v>6.0000000000000001E-3</v>
      </c>
      <c r="C282" s="2">
        <f>C87</f>
        <v>1.2184874943363668E-2</v>
      </c>
    </row>
    <row r="283" spans="1:5" x14ac:dyDescent="0.3">
      <c r="A283" s="1" t="s">
        <v>95</v>
      </c>
      <c r="B283" s="2">
        <f>0.001*4</f>
        <v>4.0000000000000001E-3</v>
      </c>
      <c r="C283" s="2">
        <f>C104</f>
        <v>2.2310859269481401E-2</v>
      </c>
    </row>
    <row r="284" spans="1:5" x14ac:dyDescent="0.3">
      <c r="A284" s="1" t="s">
        <v>96</v>
      </c>
      <c r="B284" s="2">
        <f>0.001*3</f>
        <v>3.0000000000000001E-3</v>
      </c>
      <c r="C284" s="2">
        <f>C121</f>
        <v>3.3707949319447129E-2</v>
      </c>
    </row>
    <row r="285" spans="1:5" x14ac:dyDescent="0.3">
      <c r="A285" s="1" t="s">
        <v>97</v>
      </c>
      <c r="B285" s="2">
        <f>0.001*9</f>
        <v>9.0000000000000011E-3</v>
      </c>
      <c r="C285" s="2">
        <f>C138</f>
        <v>9.1218614569602927E-3</v>
      </c>
    </row>
    <row r="286" spans="1:5" x14ac:dyDescent="0.3">
      <c r="A286" s="1" t="s">
        <v>98</v>
      </c>
      <c r="B286" s="2">
        <f>0.001*8</f>
        <v>8.0000000000000002E-3</v>
      </c>
      <c r="C286" s="2">
        <f>C155</f>
        <v>1.1281687232157602E-2</v>
      </c>
    </row>
    <row r="287" spans="1:5" x14ac:dyDescent="0.3">
      <c r="A287" s="1" t="s">
        <v>99</v>
      </c>
      <c r="B287" s="2">
        <f>0.001*6</f>
        <v>6.0000000000000001E-3</v>
      </c>
      <c r="C287" s="2">
        <f>C172</f>
        <v>1.7994016058381263E-2</v>
      </c>
    </row>
    <row r="288" spans="1:5" x14ac:dyDescent="0.3">
      <c r="A288" s="1" t="s">
        <v>100</v>
      </c>
      <c r="B288" s="2">
        <f>0.001*5</f>
        <v>5.0000000000000001E-3</v>
      </c>
      <c r="C288" s="2">
        <f>C189</f>
        <v>2.3683548845140463E-2</v>
      </c>
    </row>
    <row r="289" spans="1:7" x14ac:dyDescent="0.3">
      <c r="A289" s="1" t="s">
        <v>101</v>
      </c>
      <c r="B289" s="2">
        <f>0.001*10</f>
        <v>0.01</v>
      </c>
      <c r="C289" s="2">
        <f>C206</f>
        <v>9.0060757541527876E-3</v>
      </c>
    </row>
    <row r="290" spans="1:7" x14ac:dyDescent="0.3">
      <c r="A290" s="1" t="s">
        <v>102</v>
      </c>
      <c r="B290" s="2">
        <f>0.001*9</f>
        <v>9.0000000000000011E-3</v>
      </c>
      <c r="C290" s="2">
        <f>C223</f>
        <v>1.0966429132334733E-2</v>
      </c>
    </row>
    <row r="291" spans="1:7" x14ac:dyDescent="0.3">
      <c r="A291" s="1" t="s">
        <v>103</v>
      </c>
      <c r="B291" s="2">
        <f>0.001*7</f>
        <v>7.0000000000000001E-3</v>
      </c>
      <c r="C291" s="2">
        <f>C240</f>
        <v>1.682415533934687E-2</v>
      </c>
    </row>
    <row r="292" spans="1:7" x14ac:dyDescent="0.3">
      <c r="A292" s="1" t="s">
        <v>104</v>
      </c>
      <c r="B292" s="2">
        <f>0.001*6</f>
        <v>6.0000000000000001E-3</v>
      </c>
      <c r="C292" s="2">
        <f>C257</f>
        <v>2.1417344212244064E-2</v>
      </c>
    </row>
    <row r="297" spans="1:7" x14ac:dyDescent="0.3">
      <c r="A297" s="14" t="s">
        <v>69</v>
      </c>
      <c r="B297" s="14"/>
      <c r="C297" s="14"/>
      <c r="D297" s="14"/>
    </row>
    <row r="298" spans="1:7" x14ac:dyDescent="0.3">
      <c r="A298" s="1" t="s">
        <v>21</v>
      </c>
      <c r="B298" s="1" t="s">
        <v>88</v>
      </c>
      <c r="C298" s="1" t="s">
        <v>71</v>
      </c>
      <c r="D298" s="1" t="s">
        <v>38</v>
      </c>
      <c r="F298" s="3"/>
      <c r="G298" s="3"/>
    </row>
    <row r="299" spans="1:7" x14ac:dyDescent="0.3">
      <c r="A299" s="1"/>
      <c r="C299" s="2"/>
      <c r="F299" s="1"/>
      <c r="G299" s="1"/>
    </row>
    <row r="300" spans="1:7" x14ac:dyDescent="0.3">
      <c r="A300" s="1" t="s">
        <v>89</v>
      </c>
      <c r="B300" s="2">
        <f>0.001*6</f>
        <v>6.0000000000000001E-3</v>
      </c>
      <c r="C300" s="2">
        <f t="shared" ref="C300:C315" si="32">LN(C277)</f>
        <v>-4.6242121657542761</v>
      </c>
      <c r="D300" s="2">
        <f>C300-B300*$C$319-$D$319</f>
        <v>-0.5027321657542756</v>
      </c>
    </row>
    <row r="301" spans="1:7" x14ac:dyDescent="0.3">
      <c r="A301" s="1" t="s">
        <v>90</v>
      </c>
      <c r="B301" s="2">
        <f>0.001*5</f>
        <v>5.0000000000000001E-3</v>
      </c>
      <c r="C301" s="2">
        <f t="shared" si="32"/>
        <v>-4.3467698212105823</v>
      </c>
      <c r="D301" s="2">
        <f t="shared" ref="D301:D315" si="33">C301-B301*$C$319-$D$319</f>
        <v>-0.41821982121058232</v>
      </c>
    </row>
    <row r="302" spans="1:7" x14ac:dyDescent="0.3">
      <c r="A302" s="1" t="s">
        <v>91</v>
      </c>
      <c r="B302" s="2">
        <f>0.001*3</f>
        <v>3.0000000000000001E-3</v>
      </c>
      <c r="C302" s="2">
        <f t="shared" si="32"/>
        <v>-3.6074735415649481</v>
      </c>
      <c r="D302" s="2">
        <f t="shared" si="33"/>
        <v>-6.4783541564947811E-2</v>
      </c>
    </row>
    <row r="303" spans="1:7" x14ac:dyDescent="0.3">
      <c r="A303" s="1" t="s">
        <v>92</v>
      </c>
      <c r="B303" s="2">
        <f>0.001*2</f>
        <v>2E-3</v>
      </c>
      <c r="C303" s="2">
        <f t="shared" si="32"/>
        <v>-3.0146096062447563</v>
      </c>
      <c r="D303" s="2">
        <f t="shared" si="33"/>
        <v>0.33515039375524402</v>
      </c>
    </row>
    <row r="304" spans="1:7" x14ac:dyDescent="0.3">
      <c r="A304" s="1" t="s">
        <v>93</v>
      </c>
      <c r="B304" s="2">
        <f>0.001*7</f>
        <v>7.0000000000000001E-3</v>
      </c>
      <c r="C304" s="2">
        <f t="shared" si="32"/>
        <v>-4.6569687542845157</v>
      </c>
      <c r="D304" s="2">
        <f t="shared" si="33"/>
        <v>-0.34255875428451565</v>
      </c>
    </row>
    <row r="305" spans="1:4" x14ac:dyDescent="0.3">
      <c r="A305" s="1" t="s">
        <v>94</v>
      </c>
      <c r="B305" s="2">
        <f>0.001*6</f>
        <v>6.0000000000000001E-3</v>
      </c>
      <c r="C305" s="2">
        <f t="shared" si="32"/>
        <v>-4.4075598551202386</v>
      </c>
      <c r="D305" s="2">
        <f t="shared" si="33"/>
        <v>-0.28607985512023815</v>
      </c>
    </row>
    <row r="306" spans="1:4" x14ac:dyDescent="0.3">
      <c r="A306" s="1" t="s">
        <v>95</v>
      </c>
      <c r="B306" s="2">
        <f>0.001*4</f>
        <v>4.0000000000000001E-3</v>
      </c>
      <c r="C306" s="2">
        <f t="shared" si="32"/>
        <v>-3.8026817562869364</v>
      </c>
      <c r="D306" s="2">
        <f t="shared" si="33"/>
        <v>-6.7061756286936003E-2</v>
      </c>
    </row>
    <row r="307" spans="1:4" x14ac:dyDescent="0.3">
      <c r="A307" s="1" t="s">
        <v>96</v>
      </c>
      <c r="B307" s="2">
        <f>0.001*3</f>
        <v>3.0000000000000001E-3</v>
      </c>
      <c r="C307" s="2">
        <f t="shared" si="32"/>
        <v>-3.3900215845902149</v>
      </c>
      <c r="D307" s="2">
        <f t="shared" si="33"/>
        <v>0.15266841540978549</v>
      </c>
    </row>
    <row r="308" spans="1:4" x14ac:dyDescent="0.3">
      <c r="A308" s="1" t="s">
        <v>97</v>
      </c>
      <c r="B308" s="2">
        <f>0.001*9</f>
        <v>9.0000000000000011E-3</v>
      </c>
      <c r="C308" s="2">
        <f t="shared" si="32"/>
        <v>-4.6970813886000826</v>
      </c>
      <c r="D308" s="2">
        <f t="shared" si="33"/>
        <v>3.1886113999175514E-3</v>
      </c>
    </row>
    <row r="309" spans="1:4" x14ac:dyDescent="0.3">
      <c r="A309" s="1" t="s">
        <v>98</v>
      </c>
      <c r="B309" s="2">
        <f>0.001*8</f>
        <v>8.0000000000000002E-3</v>
      </c>
      <c r="C309" s="2">
        <f t="shared" si="32"/>
        <v>-4.4845744667788594</v>
      </c>
      <c r="D309" s="2">
        <f t="shared" si="33"/>
        <v>2.2765533221141165E-2</v>
      </c>
    </row>
    <row r="310" spans="1:4" x14ac:dyDescent="0.3">
      <c r="A310" s="1" t="s">
        <v>99</v>
      </c>
      <c r="B310" s="2">
        <f>0.001*6</f>
        <v>6.0000000000000001E-3</v>
      </c>
      <c r="C310" s="2">
        <f t="shared" si="32"/>
        <v>-4.0177160175578388</v>
      </c>
      <c r="D310" s="2">
        <f t="shared" si="33"/>
        <v>0.10376398244216167</v>
      </c>
    </row>
    <row r="311" spans="1:4" x14ac:dyDescent="0.3">
      <c r="A311" s="1" t="s">
        <v>100</v>
      </c>
      <c r="B311" s="2">
        <f>0.001*5</f>
        <v>5.0000000000000001E-3</v>
      </c>
      <c r="C311" s="2">
        <f t="shared" si="32"/>
        <v>-3.7429746134241002</v>
      </c>
      <c r="D311" s="2">
        <f t="shared" si="33"/>
        <v>0.18557538657589978</v>
      </c>
    </row>
    <row r="312" spans="1:4" x14ac:dyDescent="0.3">
      <c r="A312" s="1" t="s">
        <v>101</v>
      </c>
      <c r="B312" s="2">
        <f>0.001*10</f>
        <v>0.01</v>
      </c>
      <c r="C312" s="2">
        <f t="shared" si="32"/>
        <v>-4.7098558456177262</v>
      </c>
      <c r="D312" s="2">
        <f t="shared" si="33"/>
        <v>0.18334415438227403</v>
      </c>
    </row>
    <row r="313" spans="1:4" x14ac:dyDescent="0.3">
      <c r="A313" s="1" t="s">
        <v>102</v>
      </c>
      <c r="B313" s="2">
        <f>0.001*9</f>
        <v>9.0000000000000011E-3</v>
      </c>
      <c r="C313" s="2">
        <f t="shared" si="32"/>
        <v>-4.5129165697790201</v>
      </c>
      <c r="D313" s="2">
        <f t="shared" si="33"/>
        <v>0.18735343022098006</v>
      </c>
    </row>
    <row r="314" spans="1:4" x14ac:dyDescent="0.3">
      <c r="A314" s="1" t="s">
        <v>103</v>
      </c>
      <c r="B314" s="2">
        <f>0.001*7</f>
        <v>7.0000000000000001E-3</v>
      </c>
      <c r="C314" s="2">
        <f t="shared" si="32"/>
        <v>-4.0849396074249542</v>
      </c>
      <c r="D314" s="2">
        <f t="shared" si="33"/>
        <v>0.22947039257504587</v>
      </c>
    </row>
    <row r="315" spans="1:4" x14ac:dyDescent="0.3">
      <c r="A315" s="1" t="s">
        <v>104</v>
      </c>
      <c r="B315" s="2">
        <f>0.001*6</f>
        <v>6.0000000000000001E-3</v>
      </c>
      <c r="C315" s="2">
        <f t="shared" si="32"/>
        <v>-3.8435542080059641</v>
      </c>
      <c r="D315" s="2">
        <f t="shared" si="33"/>
        <v>0.27792579199403589</v>
      </c>
    </row>
    <row r="316" spans="1:4" x14ac:dyDescent="0.3">
      <c r="A316" s="1"/>
      <c r="C316" s="2"/>
    </row>
    <row r="317" spans="1:4" x14ac:dyDescent="0.3">
      <c r="A317" s="1"/>
      <c r="C317" s="14" t="s">
        <v>39</v>
      </c>
      <c r="D317" s="14"/>
    </row>
    <row r="318" spans="1:4" x14ac:dyDescent="0.3">
      <c r="A318" s="1"/>
      <c r="C318" s="1" t="s">
        <v>40</v>
      </c>
      <c r="D318" s="1" t="s">
        <v>41</v>
      </c>
    </row>
    <row r="319" spans="1:4" x14ac:dyDescent="0.3">
      <c r="A319" s="1"/>
      <c r="C319" s="2">
        <v>-192.93</v>
      </c>
      <c r="D319" s="2">
        <v>-2.9639000000000002</v>
      </c>
    </row>
    <row r="320" spans="1:4" x14ac:dyDescent="0.3">
      <c r="A320" s="1"/>
      <c r="C320" s="2"/>
    </row>
    <row r="321" spans="1:3" x14ac:dyDescent="0.3">
      <c r="A321" s="14" t="s">
        <v>42</v>
      </c>
      <c r="B321" s="14"/>
      <c r="C321" s="14"/>
    </row>
    <row r="322" spans="1:3" x14ac:dyDescent="0.3">
      <c r="A322" s="1" t="s">
        <v>38</v>
      </c>
      <c r="B322" s="1" t="s">
        <v>5</v>
      </c>
      <c r="C322" s="1" t="s">
        <v>43</v>
      </c>
    </row>
    <row r="323" spans="1:3" x14ac:dyDescent="0.3">
      <c r="A323" s="2">
        <v>-0.5027321657542756</v>
      </c>
      <c r="B323" s="2">
        <f>1/16-0.5/16</f>
        <v>3.125E-2</v>
      </c>
      <c r="C323" s="2">
        <f t="shared" ref="C323:C338" si="34">4.91*(B323^0.14-(1-B323)^0.14)</f>
        <v>-1.8657648402099227</v>
      </c>
    </row>
    <row r="324" spans="1:3" x14ac:dyDescent="0.3">
      <c r="A324" s="2">
        <v>-0.41821982121058232</v>
      </c>
      <c r="B324" s="2">
        <f>B323+1/16</f>
        <v>9.375E-2</v>
      </c>
      <c r="C324" s="2">
        <f t="shared" si="34"/>
        <v>-1.3178098407415364</v>
      </c>
    </row>
    <row r="325" spans="1:3" x14ac:dyDescent="0.3">
      <c r="A325" s="2">
        <v>-0.34255875428451599</v>
      </c>
      <c r="B325" s="2">
        <f t="shared" ref="B325:B338" si="35">B324+1/16</f>
        <v>0.15625</v>
      </c>
      <c r="C325" s="2">
        <f t="shared" si="34"/>
        <v>-1.0082783038771823</v>
      </c>
    </row>
    <row r="326" spans="1:3" x14ac:dyDescent="0.3">
      <c r="A326" s="2">
        <v>-0.28607985512023815</v>
      </c>
      <c r="B326" s="2">
        <f t="shared" si="35"/>
        <v>0.21875</v>
      </c>
      <c r="C326" s="2">
        <f t="shared" si="34"/>
        <v>-0.77427005635431245</v>
      </c>
    </row>
    <row r="327" spans="1:3" x14ac:dyDescent="0.3">
      <c r="A327" s="2">
        <v>-6.7061756286936003E-2</v>
      </c>
      <c r="B327" s="2">
        <f t="shared" si="35"/>
        <v>0.28125</v>
      </c>
      <c r="C327" s="2">
        <f t="shared" si="34"/>
        <v>-0.57709366971925891</v>
      </c>
    </row>
    <row r="328" spans="1:3" x14ac:dyDescent="0.3">
      <c r="A328" s="2">
        <v>-6.4783541564947811E-2</v>
      </c>
      <c r="B328" s="2">
        <f t="shared" si="35"/>
        <v>0.34375</v>
      </c>
      <c r="C328" s="2">
        <f t="shared" si="34"/>
        <v>-0.4006301257381869</v>
      </c>
    </row>
    <row r="329" spans="1:3" x14ac:dyDescent="0.3">
      <c r="A329" s="2">
        <v>3.1886113999175514E-3</v>
      </c>
      <c r="B329" s="2">
        <f t="shared" si="35"/>
        <v>0.40625</v>
      </c>
      <c r="C329" s="2">
        <f t="shared" si="34"/>
        <v>-0.23617194000999964</v>
      </c>
    </row>
    <row r="330" spans="1:3" x14ac:dyDescent="0.3">
      <c r="A330" s="2">
        <v>2.2765533221141165E-2</v>
      </c>
      <c r="B330" s="2">
        <f t="shared" si="35"/>
        <v>0.46875</v>
      </c>
      <c r="C330" s="2">
        <f t="shared" si="34"/>
        <v>-7.8059966366998385E-2</v>
      </c>
    </row>
    <row r="331" spans="1:3" x14ac:dyDescent="0.3">
      <c r="A331" s="2">
        <v>0.10376398244216167</v>
      </c>
      <c r="B331" s="2">
        <f t="shared" si="35"/>
        <v>0.53125</v>
      </c>
      <c r="C331" s="2">
        <f t="shared" si="34"/>
        <v>7.8059966366998385E-2</v>
      </c>
    </row>
    <row r="332" spans="1:3" x14ac:dyDescent="0.3">
      <c r="A332" s="2">
        <v>0.15266841540978549</v>
      </c>
      <c r="B332" s="2">
        <f t="shared" si="35"/>
        <v>0.59375</v>
      </c>
      <c r="C332" s="2">
        <f t="shared" si="34"/>
        <v>0.23617194000999964</v>
      </c>
    </row>
    <row r="333" spans="1:3" x14ac:dyDescent="0.3">
      <c r="A333" s="2">
        <v>0.18334415438227403</v>
      </c>
      <c r="B333" s="2">
        <f t="shared" si="35"/>
        <v>0.65625</v>
      </c>
      <c r="C333" s="2">
        <f t="shared" si="34"/>
        <v>0.4006301257381869</v>
      </c>
    </row>
    <row r="334" spans="1:3" x14ac:dyDescent="0.3">
      <c r="A334" s="2">
        <v>0.18557538657589978</v>
      </c>
      <c r="B334" s="2">
        <f t="shared" si="35"/>
        <v>0.71875</v>
      </c>
      <c r="C334" s="2">
        <f t="shared" si="34"/>
        <v>0.57709366971925891</v>
      </c>
    </row>
    <row r="335" spans="1:3" x14ac:dyDescent="0.3">
      <c r="A335" s="2">
        <v>0.18735343022098006</v>
      </c>
      <c r="B335" s="2">
        <f t="shared" si="35"/>
        <v>0.78125</v>
      </c>
      <c r="C335" s="2">
        <f t="shared" si="34"/>
        <v>0.77427005635431245</v>
      </c>
    </row>
    <row r="336" spans="1:3" x14ac:dyDescent="0.3">
      <c r="A336" s="2">
        <v>0.22947039257504587</v>
      </c>
      <c r="B336" s="2">
        <f t="shared" si="35"/>
        <v>0.84375</v>
      </c>
      <c r="C336" s="2">
        <f t="shared" si="34"/>
        <v>1.0082783038771823</v>
      </c>
    </row>
    <row r="337" spans="1:3" x14ac:dyDescent="0.3">
      <c r="A337" s="2">
        <v>0.27792579199403589</v>
      </c>
      <c r="B337" s="2">
        <f t="shared" si="35"/>
        <v>0.90625</v>
      </c>
      <c r="C337" s="2">
        <f t="shared" si="34"/>
        <v>1.3178098407415364</v>
      </c>
    </row>
    <row r="338" spans="1:3" x14ac:dyDescent="0.3">
      <c r="A338" s="2">
        <v>0.33515039375524402</v>
      </c>
      <c r="B338" s="2">
        <f t="shared" si="35"/>
        <v>0.96875</v>
      </c>
      <c r="C338" s="2">
        <f t="shared" si="34"/>
        <v>1.8657648402099227</v>
      </c>
    </row>
    <row r="340" spans="1:3" x14ac:dyDescent="0.3">
      <c r="A340" s="14" t="s">
        <v>44</v>
      </c>
      <c r="B340" s="14"/>
    </row>
    <row r="341" spans="1:3" x14ac:dyDescent="0.3">
      <c r="A341" s="1" t="s">
        <v>38</v>
      </c>
      <c r="B341" s="1" t="s">
        <v>45</v>
      </c>
    </row>
    <row r="342" spans="1:3" x14ac:dyDescent="0.3">
      <c r="A342" s="2">
        <v>-0.5027321657542756</v>
      </c>
      <c r="B342" s="2">
        <f t="shared" ref="B342:B357" si="36">B299*$C$319+$D$319</f>
        <v>-2.9639000000000002</v>
      </c>
    </row>
    <row r="343" spans="1:3" x14ac:dyDescent="0.3">
      <c r="A343" s="2">
        <v>-0.41821982121058232</v>
      </c>
      <c r="B343" s="2">
        <f t="shared" si="36"/>
        <v>-4.12148</v>
      </c>
    </row>
    <row r="344" spans="1:3" x14ac:dyDescent="0.3">
      <c r="A344" s="2">
        <v>-6.4783541564947811E-2</v>
      </c>
      <c r="B344" s="2">
        <f t="shared" si="36"/>
        <v>-3.9285500000000004</v>
      </c>
    </row>
    <row r="345" spans="1:3" x14ac:dyDescent="0.3">
      <c r="A345" s="2">
        <v>0.33515039375524402</v>
      </c>
      <c r="B345" s="2">
        <f t="shared" si="36"/>
        <v>-3.5426900000000003</v>
      </c>
    </row>
    <row r="346" spans="1:3" x14ac:dyDescent="0.3">
      <c r="A346" s="2">
        <v>-0.34255875428451565</v>
      </c>
      <c r="B346" s="2">
        <f t="shared" si="36"/>
        <v>-3.3497600000000003</v>
      </c>
    </row>
    <row r="347" spans="1:3" x14ac:dyDescent="0.3">
      <c r="A347" s="2">
        <v>-0.28607985512023815</v>
      </c>
      <c r="B347" s="2">
        <f t="shared" si="36"/>
        <v>-4.3144100000000005</v>
      </c>
    </row>
    <row r="348" spans="1:3" x14ac:dyDescent="0.3">
      <c r="A348" s="2">
        <v>-6.7061756286936003E-2</v>
      </c>
      <c r="B348" s="2">
        <f t="shared" si="36"/>
        <v>-4.12148</v>
      </c>
    </row>
    <row r="349" spans="1:3" x14ac:dyDescent="0.3">
      <c r="A349" s="2">
        <v>0.15266841540978549</v>
      </c>
      <c r="B349" s="2">
        <f t="shared" si="36"/>
        <v>-3.7356200000000004</v>
      </c>
    </row>
    <row r="350" spans="1:3" x14ac:dyDescent="0.3">
      <c r="A350" s="2">
        <v>3.1886113999175514E-3</v>
      </c>
      <c r="B350" s="2">
        <f t="shared" si="36"/>
        <v>-3.5426900000000003</v>
      </c>
    </row>
    <row r="351" spans="1:3" x14ac:dyDescent="0.3">
      <c r="A351" s="2">
        <v>2.2765533221141165E-2</v>
      </c>
      <c r="B351" s="2">
        <f t="shared" si="36"/>
        <v>-4.7002700000000006</v>
      </c>
    </row>
    <row r="352" spans="1:3" x14ac:dyDescent="0.3">
      <c r="A352" s="2">
        <v>0.10376398244216167</v>
      </c>
      <c r="B352" s="2">
        <f t="shared" si="36"/>
        <v>-4.5073400000000001</v>
      </c>
    </row>
    <row r="353" spans="1:2" x14ac:dyDescent="0.3">
      <c r="A353" s="2">
        <v>0.18557538657589978</v>
      </c>
      <c r="B353" s="2">
        <f t="shared" si="36"/>
        <v>-4.12148</v>
      </c>
    </row>
    <row r="354" spans="1:2" x14ac:dyDescent="0.3">
      <c r="A354" s="2">
        <v>0.18334415438227403</v>
      </c>
      <c r="B354" s="2">
        <f t="shared" si="36"/>
        <v>-3.9285500000000004</v>
      </c>
    </row>
    <row r="355" spans="1:2" x14ac:dyDescent="0.3">
      <c r="A355" s="2">
        <v>0.18735343022098006</v>
      </c>
      <c r="B355" s="2">
        <f t="shared" si="36"/>
        <v>-4.8932000000000002</v>
      </c>
    </row>
    <row r="356" spans="1:2" x14ac:dyDescent="0.3">
      <c r="A356" s="2">
        <v>0.22947039257504587</v>
      </c>
      <c r="B356" s="2">
        <f t="shared" si="36"/>
        <v>-4.7002700000000006</v>
      </c>
    </row>
    <row r="357" spans="1:2" x14ac:dyDescent="0.3">
      <c r="A357" s="2">
        <v>0.27792579199403589</v>
      </c>
      <c r="B357" s="2">
        <f t="shared" si="36"/>
        <v>-4.3144100000000005</v>
      </c>
    </row>
    <row r="359" spans="1:2" x14ac:dyDescent="0.3">
      <c r="A359" s="14" t="s">
        <v>46</v>
      </c>
      <c r="B359" s="14"/>
    </row>
    <row r="360" spans="1:2" x14ac:dyDescent="0.3">
      <c r="A360" s="1" t="s">
        <v>38</v>
      </c>
      <c r="B360" s="1" t="s">
        <v>47</v>
      </c>
    </row>
    <row r="361" spans="1:2" x14ac:dyDescent="0.3">
      <c r="A361" s="2">
        <v>-0.5027321657542756</v>
      </c>
      <c r="B361" s="2">
        <v>1</v>
      </c>
    </row>
    <row r="362" spans="1:2" x14ac:dyDescent="0.3">
      <c r="A362" s="2">
        <v>-0.41821982121058232</v>
      </c>
      <c r="B362" s="2">
        <v>2</v>
      </c>
    </row>
    <row r="363" spans="1:2" x14ac:dyDescent="0.3">
      <c r="A363" s="2">
        <v>-6.4783541564947811E-2</v>
      </c>
      <c r="B363" s="2">
        <v>3</v>
      </c>
    </row>
    <row r="364" spans="1:2" x14ac:dyDescent="0.3">
      <c r="A364" s="2">
        <v>0.33515039375524402</v>
      </c>
      <c r="B364" s="2">
        <v>4</v>
      </c>
    </row>
    <row r="365" spans="1:2" x14ac:dyDescent="0.3">
      <c r="A365" s="2">
        <v>-0.34255875428451565</v>
      </c>
      <c r="B365" s="2">
        <v>5</v>
      </c>
    </row>
    <row r="366" spans="1:2" x14ac:dyDescent="0.3">
      <c r="A366" s="2">
        <v>-0.28607985512023815</v>
      </c>
      <c r="B366" s="2">
        <v>6</v>
      </c>
    </row>
    <row r="367" spans="1:2" x14ac:dyDescent="0.3">
      <c r="A367" s="2">
        <v>-6.7061756286936003E-2</v>
      </c>
      <c r="B367" s="2">
        <v>7</v>
      </c>
    </row>
    <row r="368" spans="1:2" x14ac:dyDescent="0.3">
      <c r="A368" s="2">
        <v>0.15266841540978549</v>
      </c>
      <c r="B368" s="2">
        <v>8</v>
      </c>
    </row>
    <row r="369" spans="1:12" x14ac:dyDescent="0.3">
      <c r="A369" s="2">
        <v>3.1886113999175514E-3</v>
      </c>
      <c r="B369" s="2">
        <v>9</v>
      </c>
    </row>
    <row r="370" spans="1:12" x14ac:dyDescent="0.3">
      <c r="A370" s="2">
        <v>2.2765533221141165E-2</v>
      </c>
      <c r="B370" s="2">
        <v>10</v>
      </c>
    </row>
    <row r="371" spans="1:12" x14ac:dyDescent="0.3">
      <c r="A371" s="2">
        <v>0.10376398244216167</v>
      </c>
      <c r="B371" s="2">
        <v>11</v>
      </c>
    </row>
    <row r="372" spans="1:12" x14ac:dyDescent="0.3">
      <c r="A372" s="2">
        <v>0.18557538657589978</v>
      </c>
      <c r="B372" s="2">
        <v>12</v>
      </c>
    </row>
    <row r="373" spans="1:12" x14ac:dyDescent="0.3">
      <c r="A373" s="2">
        <v>0.18334415438227403</v>
      </c>
      <c r="B373" s="2">
        <v>13</v>
      </c>
    </row>
    <row r="374" spans="1:12" x14ac:dyDescent="0.3">
      <c r="A374" s="2">
        <v>0.18735343022098006</v>
      </c>
      <c r="B374" s="2">
        <v>14</v>
      </c>
    </row>
    <row r="375" spans="1:12" x14ac:dyDescent="0.3">
      <c r="A375" s="2">
        <v>0.22947039257504587</v>
      </c>
      <c r="B375" s="2">
        <v>15</v>
      </c>
    </row>
    <row r="376" spans="1:12" x14ac:dyDescent="0.3">
      <c r="A376" s="2">
        <v>0.27792579199403589</v>
      </c>
      <c r="B376" s="2">
        <v>16</v>
      </c>
    </row>
    <row r="380" spans="1:12" x14ac:dyDescent="0.3">
      <c r="A380" s="14" t="s">
        <v>48</v>
      </c>
      <c r="B380" s="14"/>
      <c r="C380" s="14"/>
      <c r="E380" s="1" t="s">
        <v>49</v>
      </c>
      <c r="F380" s="1" t="s">
        <v>50</v>
      </c>
      <c r="G380" s="1" t="s">
        <v>51</v>
      </c>
      <c r="H380" s="1" t="s">
        <v>52</v>
      </c>
      <c r="L380" s="1" t="s">
        <v>53</v>
      </c>
    </row>
    <row r="381" spans="1:12" x14ac:dyDescent="0.3">
      <c r="A381" s="1"/>
      <c r="B381" s="1" t="s">
        <v>40</v>
      </c>
      <c r="C381" s="1" t="s">
        <v>41</v>
      </c>
      <c r="E381" s="2">
        <v>2.145</v>
      </c>
      <c r="F381" s="2">
        <f>SUM(D300*D300, D301*D301,D302*D302,D303*D303,D304*D304,D305*D305,D306*D306,D307*D307,D308*D308,D309*D309,D310*D310,D311*D311,D312*D312,D313*D313,D314*D314,D315*D315)</f>
        <v>1.0155126694783181</v>
      </c>
      <c r="G381" s="2">
        <f>SUM(C300:C315)/16</f>
        <v>-4.1214943626403135</v>
      </c>
      <c r="H381" s="2">
        <f>SUM(C300*C300,C301*C301,C302*C302,C303*C303,C304*C304,C305*C305,C306*C306,C307*C307,C308*C308,C309*C309,C310*C310,C311*C311,C312*C312,C313*C313,C314*C314,C315*C315)-16*G381*G381</f>
        <v>3.9932879738432803</v>
      </c>
      <c r="L381" s="2">
        <f t="shared" ref="L381:L396" si="37">(C300-$G$381)^2</f>
        <v>0.25272518956772877</v>
      </c>
    </row>
    <row r="382" spans="1:12" x14ac:dyDescent="0.3">
      <c r="A382" s="1" t="s">
        <v>54</v>
      </c>
      <c r="B382" s="2">
        <f>$C$319+$E$381*SQRT(($F$381/14)*(1/$H$381))</f>
        <v>-192.64090496265194</v>
      </c>
      <c r="C382" s="2">
        <f>$D$319+$E$381*SQRT(($F$381/(16*14))*(($G$381^2)/$H$381))</f>
        <v>-2.6660241083256659</v>
      </c>
      <c r="L382" s="2">
        <f t="shared" si="37"/>
        <v>5.074903223404488E-2</v>
      </c>
    </row>
    <row r="383" spans="1:12" x14ac:dyDescent="0.3">
      <c r="A383" s="1" t="s">
        <v>55</v>
      </c>
      <c r="B383" s="2">
        <f>$C$319-$E$381*SQRT(($F$381/14)*(1/$H$381))</f>
        <v>-193.21909503734807</v>
      </c>
      <c r="C383" s="2">
        <f>$D$319-$E$381*SQRT(($F$381/(16*4))*(($G$381^2)/$H$381))</f>
        <v>-3.521174765212574</v>
      </c>
      <c r="E383" s="1" t="s">
        <v>56</v>
      </c>
      <c r="F383" s="1" t="s">
        <v>105</v>
      </c>
      <c r="L383" s="2">
        <f>(C302-$G$381)^2</f>
        <v>0.26421740449899278</v>
      </c>
    </row>
    <row r="384" spans="1:12" x14ac:dyDescent="0.3">
      <c r="E384" s="2">
        <f>SUM(L381:L396)</f>
        <v>3.9932879738432603</v>
      </c>
      <c r="F384" s="2">
        <f>($E$384 - $F$381)/$E$384</f>
        <v>0.7456951073576199</v>
      </c>
      <c r="L384" s="2">
        <f t="shared" si="37"/>
        <v>1.2251938639408522</v>
      </c>
    </row>
    <row r="385" spans="1:12" x14ac:dyDescent="0.3">
      <c r="A385" s="14" t="s">
        <v>58</v>
      </c>
      <c r="B385" s="14"/>
      <c r="C385" s="14"/>
      <c r="L385" s="2">
        <f t="shared" si="37"/>
        <v>0.2867328241067284</v>
      </c>
    </row>
    <row r="386" spans="1:12" x14ac:dyDescent="0.3">
      <c r="A386" s="1" t="s">
        <v>45</v>
      </c>
      <c r="B386" s="1" t="s">
        <v>11</v>
      </c>
      <c r="C386" s="1" t="s">
        <v>10</v>
      </c>
      <c r="L386" s="2">
        <f t="shared" si="37"/>
        <v>8.1833465987782072E-2</v>
      </c>
    </row>
    <row r="387" spans="1:12" x14ac:dyDescent="0.3">
      <c r="A387" s="2">
        <f>B300*$C$319+$D$319</f>
        <v>-4.12148</v>
      </c>
      <c r="B387" s="2">
        <f>$A387-$E$381*SQRT(($F$381/14)*(1 + 1/16+((B299-$G$381)^2)/$H$381))</f>
        <v>-5.453501949121403</v>
      </c>
      <c r="C387" s="2">
        <f>$A387+$E$381*SQRT(($F$381/14)*(1 + 1/16+((C299-$G$381)^2)/$H$381))</f>
        <v>-2.7894580508785967</v>
      </c>
      <c r="L387" s="2">
        <f t="shared" si="37"/>
        <v>0.10164147796983342</v>
      </c>
    </row>
    <row r="388" spans="1:12" x14ac:dyDescent="0.3">
      <c r="A388" s="2">
        <f t="shared" ref="A388:A402" si="38">B301*$C$319+$D$319</f>
        <v>-3.9285500000000004</v>
      </c>
      <c r="B388" s="2">
        <f t="shared" ref="B388:B402" si="39">$A388-$E$381*SQRT(($F$381/14)*(1 + 1/16+((B300-$G$381)^2)/$H$381))</f>
        <v>-5.2621237605743536</v>
      </c>
      <c r="C388" s="2">
        <f t="shared" ref="C388:C402" si="40">$A388+$E$381*SQRT(($F$381/14)*(1 + 1/16+((C300-$G$381)^2)/$H$381))</f>
        <v>-3.3155871390328659</v>
      </c>
      <c r="L388" s="2">
        <f t="shared" si="37"/>
        <v>0.53505242502832895</v>
      </c>
    </row>
    <row r="389" spans="1:12" x14ac:dyDescent="0.3">
      <c r="A389" s="2">
        <f t="shared" si="38"/>
        <v>-3.5426900000000003</v>
      </c>
      <c r="B389" s="2">
        <f t="shared" si="39"/>
        <v>-4.8760050940497326</v>
      </c>
      <c r="C389" s="2">
        <f t="shared" si="40"/>
        <v>-2.9436548411043102</v>
      </c>
      <c r="L389" s="2">
        <f t="shared" si="37"/>
        <v>0.33130042445321189</v>
      </c>
    </row>
    <row r="390" spans="1:12" x14ac:dyDescent="0.3">
      <c r="A390" s="2">
        <f t="shared" si="38"/>
        <v>-3.3497600000000003</v>
      </c>
      <c r="B390" s="2">
        <f t="shared" si="39"/>
        <v>-4.6825577985175917</v>
      </c>
      <c r="C390" s="2">
        <f t="shared" si="40"/>
        <v>-2.736014171828685</v>
      </c>
      <c r="L390" s="2">
        <f t="shared" si="37"/>
        <v>0.1318271620212573</v>
      </c>
    </row>
    <row r="391" spans="1:12" x14ac:dyDescent="0.3">
      <c r="A391" s="2">
        <f t="shared" si="38"/>
        <v>-4.3144100000000005</v>
      </c>
      <c r="B391" s="2">
        <f t="shared" si="39"/>
        <v>-5.6469491695246354</v>
      </c>
      <c r="C391" s="2">
        <f t="shared" si="40"/>
        <v>-3.638393392875197</v>
      </c>
      <c r="L391" s="2">
        <f t="shared" si="37"/>
        <v>1.0769944908057209E-2</v>
      </c>
    </row>
    <row r="392" spans="1:12" x14ac:dyDescent="0.3">
      <c r="A392" s="2">
        <f t="shared" si="38"/>
        <v>-4.12148</v>
      </c>
      <c r="B392" s="2">
        <f t="shared" si="39"/>
        <v>-5.4553124395949739</v>
      </c>
      <c r="C392" s="2">
        <f t="shared" si="40"/>
        <v>-3.5062030794432086</v>
      </c>
      <c r="L392" s="2">
        <f t="shared" si="37"/>
        <v>0.14327720054670504</v>
      </c>
    </row>
    <row r="393" spans="1:12" x14ac:dyDescent="0.3">
      <c r="A393" s="2">
        <f t="shared" si="38"/>
        <v>-3.7356200000000004</v>
      </c>
      <c r="B393" s="2">
        <f t="shared" si="39"/>
        <v>-5.069193760574354</v>
      </c>
      <c r="C393" s="2">
        <f t="shared" si="40"/>
        <v>-3.1344203390031145</v>
      </c>
      <c r="L393" s="2">
        <f t="shared" si="37"/>
        <v>0.34616923465138022</v>
      </c>
    </row>
    <row r="394" spans="1:12" x14ac:dyDescent="0.3">
      <c r="A394" s="2">
        <f t="shared" si="38"/>
        <v>-3.5426900000000003</v>
      </c>
      <c r="B394" s="2">
        <f t="shared" si="39"/>
        <v>-4.8757464400283848</v>
      </c>
      <c r="C394" s="2">
        <f t="shared" si="40"/>
        <v>-2.9401151037290321</v>
      </c>
      <c r="L394" s="2">
        <f t="shared" si="37"/>
        <v>0.15321134424133651</v>
      </c>
    </row>
    <row r="395" spans="1:12" x14ac:dyDescent="0.3">
      <c r="A395" s="2">
        <f t="shared" si="38"/>
        <v>-4.7002700000000006</v>
      </c>
      <c r="B395" s="2">
        <f t="shared" si="39"/>
        <v>-6.0330677985175916</v>
      </c>
      <c r="C395" s="2">
        <f t="shared" si="40"/>
        <v>-4.0683528905694404</v>
      </c>
      <c r="L395" s="2">
        <f t="shared" si="37"/>
        <v>1.3362501288548406E-3</v>
      </c>
    </row>
    <row r="396" spans="1:12" x14ac:dyDescent="0.3">
      <c r="A396" s="2">
        <f t="shared" si="38"/>
        <v>-4.5073400000000001</v>
      </c>
      <c r="B396" s="2">
        <f t="shared" si="39"/>
        <v>-5.8416898350951438</v>
      </c>
      <c r="C396" s="2">
        <f t="shared" si="40"/>
        <v>-3.8890435758716135</v>
      </c>
      <c r="L396" s="2">
        <f t="shared" si="37"/>
        <v>7.7250729558166059E-2</v>
      </c>
    </row>
    <row r="397" spans="1:12" x14ac:dyDescent="0.3">
      <c r="A397" s="2">
        <f t="shared" si="38"/>
        <v>-4.12148</v>
      </c>
      <c r="B397" s="2">
        <f t="shared" si="39"/>
        <v>-5.4555711311043256</v>
      </c>
      <c r="C397" s="2">
        <f t="shared" si="40"/>
        <v>-3.5168153801041417</v>
      </c>
    </row>
    <row r="398" spans="1:12" x14ac:dyDescent="0.3">
      <c r="A398" s="2">
        <f t="shared" si="38"/>
        <v>-3.9285500000000004</v>
      </c>
      <c r="B398" s="2">
        <f t="shared" si="39"/>
        <v>-5.2621237605743536</v>
      </c>
      <c r="C398" s="2">
        <f t="shared" si="40"/>
        <v>-3.3323102564699214</v>
      </c>
    </row>
    <row r="399" spans="1:12" x14ac:dyDescent="0.3">
      <c r="A399" s="2">
        <f t="shared" si="38"/>
        <v>-4.8932000000000002</v>
      </c>
      <c r="B399" s="2">
        <f t="shared" si="39"/>
        <v>-6.2265150940497325</v>
      </c>
      <c r="C399" s="2">
        <f t="shared" si="40"/>
        <v>-4.2877445926464164</v>
      </c>
    </row>
    <row r="400" spans="1:12" x14ac:dyDescent="0.3">
      <c r="A400" s="2">
        <f t="shared" si="38"/>
        <v>-4.7002700000000006</v>
      </c>
      <c r="B400" s="2">
        <f t="shared" si="39"/>
        <v>-6.0348785515601726</v>
      </c>
      <c r="C400" s="2">
        <f t="shared" si="40"/>
        <v>-4.0809694728823898</v>
      </c>
    </row>
    <row r="401" spans="1:3" x14ac:dyDescent="0.3">
      <c r="A401" s="2">
        <f t="shared" si="38"/>
        <v>-4.3144100000000005</v>
      </c>
      <c r="B401" s="2">
        <f t="shared" si="39"/>
        <v>-5.6487598350951451</v>
      </c>
      <c r="C401" s="2">
        <f t="shared" si="40"/>
        <v>-3.7082693350572664</v>
      </c>
    </row>
    <row r="402" spans="1:3" x14ac:dyDescent="0.3">
      <c r="A402" s="2">
        <f t="shared" si="38"/>
        <v>-4.12148</v>
      </c>
      <c r="B402" s="2">
        <f t="shared" si="39"/>
        <v>-5.4553124395949739</v>
      </c>
      <c r="C402" s="2">
        <f t="shared" si="40"/>
        <v>-3.5259017919952682</v>
      </c>
    </row>
  </sheetData>
  <sortState xmlns:xlrd2="http://schemas.microsoft.com/office/spreadsheetml/2017/richdata2" ref="A323:A338">
    <sortCondition ref="A323:A338"/>
  </sortState>
  <mergeCells count="8">
    <mergeCell ref="A380:C380"/>
    <mergeCell ref="A385:C385"/>
    <mergeCell ref="A274:C274"/>
    <mergeCell ref="A297:D297"/>
    <mergeCell ref="C317:D317"/>
    <mergeCell ref="A321:C321"/>
    <mergeCell ref="A340:B340"/>
    <mergeCell ref="A359:B35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9D8249050D244AB3291E25E44E9E61" ma:contentTypeVersion="8" ma:contentTypeDescription="Create a new document." ma:contentTypeScope="" ma:versionID="de66317dd7ce282fecab2c27c9f14507">
  <xsd:schema xmlns:xsd="http://www.w3.org/2001/XMLSchema" xmlns:xs="http://www.w3.org/2001/XMLSchema" xmlns:p="http://schemas.microsoft.com/office/2006/metadata/properties" xmlns:ns2="66de5014-e8da-4796-bdfb-c10b0cfdf816" xmlns:ns3="a004e035-50b8-418f-b096-b0421c71bc5c" targetNamespace="http://schemas.microsoft.com/office/2006/metadata/properties" ma:root="true" ma:fieldsID="1fbdb41caee633568256cb29b570d179" ns2:_="" ns3:_="">
    <xsd:import namespace="66de5014-e8da-4796-bdfb-c10b0cfdf816"/>
    <xsd:import namespace="a004e035-50b8-418f-b096-b0421c71bc5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e5014-e8da-4796-bdfb-c10b0cfdf8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4e035-50b8-418f-b096-b0421c71b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1A6945-9159-4D5F-9391-5E6484C8F05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004e035-50b8-418f-b096-b0421c71bc5c"/>
    <ds:schemaRef ds:uri="http://purl.org/dc/elements/1.1/"/>
    <ds:schemaRef ds:uri="http://schemas.microsoft.com/office/2006/metadata/properties"/>
    <ds:schemaRef ds:uri="66de5014-e8da-4796-bdfb-c10b0cfdf81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12D1A79-0615-43E7-A759-3CB173814C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E52DC0-904A-4728-A1C3-A1D9E00BEC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e5014-e8da-4796-bdfb-c10b0cfdf816"/>
    <ds:schemaRef ds:uri="a004e035-50b8-418f-b096-b0421c71b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Linear regression λ</vt:lpstr>
      <vt:lpstr>Linear regression μ</vt:lpstr>
      <vt:lpstr>Linear regression for μλ rapp</vt:lpstr>
      <vt:lpstr>Linear regression for μλ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Marta Sanguinetti</cp:lastModifiedBy>
  <cp:revision/>
  <dcterms:created xsi:type="dcterms:W3CDTF">2022-01-04T14:03:49Z</dcterms:created>
  <dcterms:modified xsi:type="dcterms:W3CDTF">2022-01-08T17:14:45Z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0x0101008A9D8249050D244AB3291E25E44E9E61</vt:lpwstr>
  </property>
</Properties>
</file>