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.sharepoint.com/sites/Project4/Shared Documents/General/Data_Analysis/"/>
    </mc:Choice>
  </mc:AlternateContent>
  <xr:revisionPtr revIDLastSave="400" documentId="11_D17AC0466BCED4296F2540463E4E4F7E3A730393" xr6:coauthVersionLast="47" xr6:coauthVersionMax="47" xr10:uidLastSave="{F0A18E12-2B32-4F27-9BAD-CD6F3B9D2DAE}"/>
  <bookViews>
    <workbookView minimized="1" xWindow="2508" yWindow="2508" windowWidth="17280" windowHeight="9204" firstSheet="1" xr2:uid="{00000000-000D-0000-FFFF-FFFF00000000}"/>
  </bookViews>
  <sheets>
    <sheet name="Linear regression for μ" sheetId="1" r:id="rId1"/>
    <sheet name="Linear regression for λμ  rapp" sheetId="3" r:id="rId2"/>
    <sheet name="Linear regression for λμ 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7" i="1" l="1"/>
  <c r="B226" i="1"/>
  <c r="D300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342" i="3"/>
  <c r="B323" i="3"/>
  <c r="A402" i="3"/>
  <c r="C260" i="3"/>
  <c r="I257" i="3"/>
  <c r="D257" i="3"/>
  <c r="C257" i="3"/>
  <c r="C243" i="3"/>
  <c r="I240" i="3"/>
  <c r="D240" i="3"/>
  <c r="C240" i="3"/>
  <c r="C226" i="3"/>
  <c r="I223" i="3"/>
  <c r="D223" i="3"/>
  <c r="C223" i="3"/>
  <c r="C209" i="3"/>
  <c r="I206" i="3"/>
  <c r="D206" i="3"/>
  <c r="C206" i="3"/>
  <c r="C192" i="3"/>
  <c r="I189" i="3"/>
  <c r="D189" i="3"/>
  <c r="C189" i="3"/>
  <c r="C175" i="3"/>
  <c r="I172" i="3"/>
  <c r="D172" i="3"/>
  <c r="C172" i="3"/>
  <c r="C158" i="3"/>
  <c r="I155" i="3"/>
  <c r="D155" i="3"/>
  <c r="C155" i="3"/>
  <c r="C141" i="3"/>
  <c r="I138" i="3"/>
  <c r="D138" i="3"/>
  <c r="C138" i="3"/>
  <c r="C124" i="3"/>
  <c r="I121" i="3"/>
  <c r="D121" i="3"/>
  <c r="C121" i="3"/>
  <c r="C107" i="3"/>
  <c r="I104" i="3"/>
  <c r="D104" i="3"/>
  <c r="C104" i="3"/>
  <c r="C90" i="3"/>
  <c r="I87" i="3"/>
  <c r="D87" i="3"/>
  <c r="C87" i="3"/>
  <c r="C73" i="3"/>
  <c r="I70" i="3"/>
  <c r="D70" i="3"/>
  <c r="C70" i="3"/>
  <c r="C56" i="3"/>
  <c r="I53" i="3"/>
  <c r="D53" i="3"/>
  <c r="C53" i="3"/>
  <c r="C39" i="3"/>
  <c r="I36" i="3"/>
  <c r="D36" i="3"/>
  <c r="C36" i="3"/>
  <c r="C22" i="3"/>
  <c r="I19" i="3"/>
  <c r="D19" i="3"/>
  <c r="C19" i="3"/>
  <c r="C5" i="3"/>
  <c r="I2" i="3"/>
  <c r="D2" i="3"/>
  <c r="C2" i="3"/>
  <c r="D264" i="2"/>
  <c r="D247" i="2"/>
  <c r="D230" i="2"/>
  <c r="D213" i="2"/>
  <c r="D196" i="2"/>
  <c r="D179" i="2"/>
  <c r="D162" i="2"/>
  <c r="D145" i="2"/>
  <c r="D128" i="2"/>
  <c r="D111" i="2"/>
  <c r="D94" i="2"/>
  <c r="D77" i="2"/>
  <c r="D60" i="2"/>
  <c r="D43" i="2"/>
  <c r="D26" i="2"/>
  <c r="D9" i="2"/>
  <c r="D145" i="1"/>
  <c r="D128" i="1"/>
  <c r="D111" i="1"/>
  <c r="D94" i="1"/>
  <c r="D77" i="1"/>
  <c r="D60" i="1"/>
  <c r="D43" i="1"/>
  <c r="D26" i="1"/>
  <c r="D9" i="1"/>
  <c r="F384" i="2"/>
  <c r="H381" i="2"/>
  <c r="C277" i="3" l="1"/>
  <c r="C300" i="3" s="1"/>
  <c r="D9" i="3"/>
  <c r="D8" i="3"/>
  <c r="E2" i="3"/>
  <c r="I3" i="3"/>
  <c r="J2" i="3"/>
  <c r="C278" i="3"/>
  <c r="C301" i="3" s="1"/>
  <c r="D26" i="3"/>
  <c r="D25" i="3"/>
  <c r="E19" i="3"/>
  <c r="I20" i="3"/>
  <c r="J19" i="3"/>
  <c r="C279" i="3"/>
  <c r="C302" i="3" s="1"/>
  <c r="D43" i="3"/>
  <c r="D42" i="3"/>
  <c r="E36" i="3"/>
  <c r="I37" i="3"/>
  <c r="J36" i="3"/>
  <c r="C280" i="3"/>
  <c r="C303" i="3" s="1"/>
  <c r="D60" i="3"/>
  <c r="D59" i="3"/>
  <c r="E53" i="3"/>
  <c r="I54" i="3"/>
  <c r="J53" i="3"/>
  <c r="C281" i="3"/>
  <c r="C304" i="3" s="1"/>
  <c r="D77" i="3"/>
  <c r="D76" i="3"/>
  <c r="E70" i="3"/>
  <c r="I71" i="3"/>
  <c r="J70" i="3"/>
  <c r="C282" i="3"/>
  <c r="C305" i="3" s="1"/>
  <c r="D94" i="3"/>
  <c r="D93" i="3"/>
  <c r="E87" i="3"/>
  <c r="I88" i="3"/>
  <c r="J87" i="3"/>
  <c r="C283" i="3"/>
  <c r="C306" i="3" s="1"/>
  <c r="D111" i="3"/>
  <c r="D110" i="3"/>
  <c r="E104" i="3"/>
  <c r="I105" i="3"/>
  <c r="J104" i="3"/>
  <c r="C284" i="3"/>
  <c r="C307" i="3" s="1"/>
  <c r="D128" i="3"/>
  <c r="D127" i="3"/>
  <c r="E121" i="3"/>
  <c r="I122" i="3"/>
  <c r="J121" i="3"/>
  <c r="C285" i="3"/>
  <c r="C308" i="3" s="1"/>
  <c r="D145" i="3"/>
  <c r="D144" i="3"/>
  <c r="E138" i="3"/>
  <c r="I139" i="3"/>
  <c r="J138" i="3"/>
  <c r="C286" i="3"/>
  <c r="C309" i="3" s="1"/>
  <c r="D162" i="3"/>
  <c r="D161" i="3"/>
  <c r="E155" i="3"/>
  <c r="I156" i="3"/>
  <c r="J155" i="3"/>
  <c r="C287" i="3"/>
  <c r="C310" i="3" s="1"/>
  <c r="D179" i="3"/>
  <c r="D178" i="3"/>
  <c r="E172" i="3"/>
  <c r="I173" i="3"/>
  <c r="J172" i="3"/>
  <c r="C288" i="3"/>
  <c r="C311" i="3" s="1"/>
  <c r="D196" i="3"/>
  <c r="D195" i="3"/>
  <c r="E189" i="3"/>
  <c r="I190" i="3"/>
  <c r="J189" i="3"/>
  <c r="C289" i="3"/>
  <c r="C312" i="3" s="1"/>
  <c r="D213" i="3"/>
  <c r="D212" i="3"/>
  <c r="E206" i="3"/>
  <c r="I207" i="3"/>
  <c r="J206" i="3"/>
  <c r="C290" i="3"/>
  <c r="C313" i="3" s="1"/>
  <c r="D230" i="3"/>
  <c r="D229" i="3"/>
  <c r="E223" i="3"/>
  <c r="I224" i="3"/>
  <c r="J223" i="3"/>
  <c r="C291" i="3"/>
  <c r="C314" i="3" s="1"/>
  <c r="D247" i="3"/>
  <c r="D246" i="3"/>
  <c r="E240" i="3"/>
  <c r="I241" i="3"/>
  <c r="J240" i="3"/>
  <c r="C292" i="3"/>
  <c r="C315" i="3" s="1"/>
  <c r="D264" i="3"/>
  <c r="D263" i="3"/>
  <c r="E257" i="3"/>
  <c r="I258" i="3"/>
  <c r="J257" i="3"/>
  <c r="A387" i="3"/>
  <c r="B343" i="3"/>
  <c r="A388" i="3"/>
  <c r="B344" i="3"/>
  <c r="A389" i="3"/>
  <c r="B345" i="3"/>
  <c r="A390" i="3"/>
  <c r="B346" i="3"/>
  <c r="A391" i="3"/>
  <c r="B347" i="3"/>
  <c r="A392" i="3"/>
  <c r="B348" i="3"/>
  <c r="A393" i="3"/>
  <c r="B349" i="3"/>
  <c r="A394" i="3"/>
  <c r="B350" i="3"/>
  <c r="A395" i="3"/>
  <c r="B351" i="3"/>
  <c r="A396" i="3"/>
  <c r="B352" i="3"/>
  <c r="A397" i="3"/>
  <c r="B353" i="3"/>
  <c r="A398" i="3"/>
  <c r="B354" i="3"/>
  <c r="A399" i="3"/>
  <c r="B355" i="3"/>
  <c r="A400" i="3"/>
  <c r="B356" i="3"/>
  <c r="A401" i="3"/>
  <c r="B357" i="3"/>
  <c r="B324" i="3"/>
  <c r="C323" i="3"/>
  <c r="B300" i="2"/>
  <c r="B301" i="2"/>
  <c r="B302" i="2"/>
  <c r="B303" i="2"/>
  <c r="B304" i="2"/>
  <c r="B305" i="2"/>
  <c r="B306" i="2"/>
  <c r="B307" i="2"/>
  <c r="B308" i="2"/>
  <c r="B309" i="2"/>
  <c r="B310" i="2"/>
  <c r="B311" i="2"/>
  <c r="B354" i="2" s="1"/>
  <c r="B312" i="2"/>
  <c r="B313" i="2"/>
  <c r="B314" i="2"/>
  <c r="B315" i="2"/>
  <c r="A402" i="2" s="1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A399" i="2"/>
  <c r="B356" i="2"/>
  <c r="B355" i="2"/>
  <c r="B352" i="2"/>
  <c r="B351" i="2"/>
  <c r="B348" i="2"/>
  <c r="B347" i="2"/>
  <c r="B344" i="2"/>
  <c r="B343" i="2"/>
  <c r="B342" i="2"/>
  <c r="B324" i="2"/>
  <c r="C323" i="2"/>
  <c r="B323" i="2"/>
  <c r="A400" i="2"/>
  <c r="A396" i="2"/>
  <c r="A395" i="2"/>
  <c r="A392" i="2"/>
  <c r="A391" i="2"/>
  <c r="A388" i="2"/>
  <c r="A387" i="2"/>
  <c r="I260" i="2"/>
  <c r="C260" i="2"/>
  <c r="I258" i="2"/>
  <c r="I259" i="2" s="1"/>
  <c r="J259" i="2" s="1"/>
  <c r="J257" i="2"/>
  <c r="I257" i="2"/>
  <c r="D257" i="2"/>
  <c r="C257" i="2"/>
  <c r="C243" i="2"/>
  <c r="J242" i="2"/>
  <c r="I241" i="2"/>
  <c r="I242" i="2" s="1"/>
  <c r="I243" i="2" s="1"/>
  <c r="J240" i="2"/>
  <c r="I240" i="2"/>
  <c r="D240" i="2"/>
  <c r="C240" i="2"/>
  <c r="C291" i="2" s="1"/>
  <c r="C314" i="2" s="1"/>
  <c r="C226" i="2"/>
  <c r="J225" i="2"/>
  <c r="I224" i="2"/>
  <c r="I225" i="2" s="1"/>
  <c r="I226" i="2" s="1"/>
  <c r="J223" i="2"/>
  <c r="I223" i="2"/>
  <c r="D223" i="2"/>
  <c r="C223" i="2"/>
  <c r="C209" i="2"/>
  <c r="J208" i="2"/>
  <c r="I207" i="2"/>
  <c r="I208" i="2" s="1"/>
  <c r="I209" i="2" s="1"/>
  <c r="J206" i="2"/>
  <c r="I206" i="2"/>
  <c r="D206" i="2"/>
  <c r="C206" i="2"/>
  <c r="C289" i="2" s="1"/>
  <c r="C312" i="2" s="1"/>
  <c r="D312" i="2" s="1"/>
  <c r="C192" i="2"/>
  <c r="I190" i="2"/>
  <c r="J189" i="2"/>
  <c r="I189" i="2"/>
  <c r="D189" i="2"/>
  <c r="C189" i="2"/>
  <c r="C175" i="2"/>
  <c r="J174" i="2"/>
  <c r="J173" i="2"/>
  <c r="I173" i="2"/>
  <c r="I174" i="2" s="1"/>
  <c r="I175" i="2" s="1"/>
  <c r="J175" i="2" s="1"/>
  <c r="J172" i="2"/>
  <c r="I172" i="2"/>
  <c r="D172" i="2"/>
  <c r="C172" i="2"/>
  <c r="C158" i="2"/>
  <c r="J157" i="2"/>
  <c r="J156" i="2"/>
  <c r="I156" i="2"/>
  <c r="I157" i="2" s="1"/>
  <c r="I158" i="2" s="1"/>
  <c r="J158" i="2" s="1"/>
  <c r="J155" i="2"/>
  <c r="I155" i="2"/>
  <c r="D155" i="2"/>
  <c r="E155" i="2" s="1"/>
  <c r="C155" i="2"/>
  <c r="C141" i="2"/>
  <c r="J140" i="2"/>
  <c r="J139" i="2"/>
  <c r="I139" i="2"/>
  <c r="I140" i="2" s="1"/>
  <c r="I141" i="2" s="1"/>
  <c r="J141" i="2" s="1"/>
  <c r="J138" i="2"/>
  <c r="I138" i="2"/>
  <c r="D138" i="2"/>
  <c r="C138" i="2"/>
  <c r="C124" i="2"/>
  <c r="J123" i="2"/>
  <c r="J122" i="2"/>
  <c r="I122" i="2"/>
  <c r="I123" i="2" s="1"/>
  <c r="I124" i="2" s="1"/>
  <c r="J124" i="2" s="1"/>
  <c r="J121" i="2"/>
  <c r="I121" i="2"/>
  <c r="D121" i="2"/>
  <c r="E121" i="2" s="1"/>
  <c r="C121" i="2"/>
  <c r="C107" i="2"/>
  <c r="I105" i="2"/>
  <c r="J104" i="2"/>
  <c r="I104" i="2"/>
  <c r="D104" i="2"/>
  <c r="C104" i="2"/>
  <c r="C90" i="2"/>
  <c r="I88" i="2"/>
  <c r="J87" i="2"/>
  <c r="I87" i="2"/>
  <c r="D87" i="2"/>
  <c r="C87" i="2"/>
  <c r="C73" i="2"/>
  <c r="I71" i="2"/>
  <c r="J70" i="2"/>
  <c r="I70" i="2"/>
  <c r="D70" i="2"/>
  <c r="C70" i="2"/>
  <c r="C56" i="2"/>
  <c r="I54" i="2"/>
  <c r="J53" i="2"/>
  <c r="I53" i="2"/>
  <c r="D53" i="2"/>
  <c r="C53" i="2"/>
  <c r="C39" i="2"/>
  <c r="I37" i="2"/>
  <c r="J36" i="2"/>
  <c r="I36" i="2"/>
  <c r="D36" i="2"/>
  <c r="C36" i="2"/>
  <c r="C22" i="2"/>
  <c r="I20" i="2"/>
  <c r="J19" i="2"/>
  <c r="I19" i="2"/>
  <c r="D19" i="2"/>
  <c r="C19" i="2"/>
  <c r="C5" i="2"/>
  <c r="I3" i="2"/>
  <c r="J2" i="2"/>
  <c r="I2" i="2"/>
  <c r="D2" i="2"/>
  <c r="C2" i="2"/>
  <c r="B325" i="3" l="1"/>
  <c r="C324" i="3"/>
  <c r="I259" i="3"/>
  <c r="J258" i="3"/>
  <c r="D315" i="3"/>
  <c r="I242" i="3"/>
  <c r="J241" i="3"/>
  <c r="D314" i="3"/>
  <c r="I225" i="3"/>
  <c r="J224" i="3"/>
  <c r="D313" i="3"/>
  <c r="I208" i="3"/>
  <c r="J207" i="3"/>
  <c r="D312" i="3"/>
  <c r="I191" i="3"/>
  <c r="J190" i="3"/>
  <c r="D311" i="3"/>
  <c r="I174" i="3"/>
  <c r="J173" i="3"/>
  <c r="D310" i="3"/>
  <c r="I157" i="3"/>
  <c r="J156" i="3"/>
  <c r="D309" i="3"/>
  <c r="I140" i="3"/>
  <c r="J139" i="3"/>
  <c r="D308" i="3"/>
  <c r="I123" i="3"/>
  <c r="J122" i="3"/>
  <c r="D307" i="3"/>
  <c r="I106" i="3"/>
  <c r="J105" i="3"/>
  <c r="D306" i="3"/>
  <c r="I89" i="3"/>
  <c r="J88" i="3"/>
  <c r="D305" i="3"/>
  <c r="I72" i="3"/>
  <c r="J71" i="3"/>
  <c r="D304" i="3"/>
  <c r="I55" i="3"/>
  <c r="J54" i="3"/>
  <c r="D303" i="3"/>
  <c r="I38" i="3"/>
  <c r="J37" i="3"/>
  <c r="D302" i="3"/>
  <c r="I21" i="3"/>
  <c r="J20" i="3"/>
  <c r="D301" i="3"/>
  <c r="I4" i="3"/>
  <c r="J3" i="3"/>
  <c r="G381" i="3"/>
  <c r="F381" i="3"/>
  <c r="E257" i="2"/>
  <c r="E172" i="2"/>
  <c r="E138" i="2"/>
  <c r="E53" i="2"/>
  <c r="A398" i="2"/>
  <c r="D263" i="2"/>
  <c r="C279" i="2"/>
  <c r="C302" i="2" s="1"/>
  <c r="I38" i="2"/>
  <c r="J37" i="2"/>
  <c r="D59" i="2"/>
  <c r="C283" i="2"/>
  <c r="C306" i="2" s="1"/>
  <c r="I106" i="2"/>
  <c r="J105" i="2"/>
  <c r="I125" i="2"/>
  <c r="C278" i="2"/>
  <c r="C301" i="2" s="1"/>
  <c r="I21" i="2"/>
  <c r="J20" i="2"/>
  <c r="E36" i="2"/>
  <c r="D42" i="2"/>
  <c r="C282" i="2"/>
  <c r="C305" i="2" s="1"/>
  <c r="I89" i="2"/>
  <c r="J88" i="2"/>
  <c r="E104" i="2"/>
  <c r="D110" i="2"/>
  <c r="D314" i="2"/>
  <c r="B325" i="2"/>
  <c r="C324" i="2"/>
  <c r="C277" i="2"/>
  <c r="C300" i="2" s="1"/>
  <c r="I4" i="2"/>
  <c r="J3" i="2"/>
  <c r="E19" i="2"/>
  <c r="D25" i="2"/>
  <c r="C281" i="2"/>
  <c r="C304" i="2" s="1"/>
  <c r="I72" i="2"/>
  <c r="J71" i="2"/>
  <c r="E87" i="2"/>
  <c r="D93" i="2"/>
  <c r="I159" i="2"/>
  <c r="I176" i="2"/>
  <c r="B350" i="2"/>
  <c r="A394" i="2"/>
  <c r="E2" i="2"/>
  <c r="D8" i="2"/>
  <c r="C280" i="2"/>
  <c r="C303" i="2" s="1"/>
  <c r="I55" i="2"/>
  <c r="J54" i="2"/>
  <c r="E70" i="2"/>
  <c r="D76" i="2"/>
  <c r="I142" i="2"/>
  <c r="C288" i="2"/>
  <c r="C311" i="2" s="1"/>
  <c r="D195" i="2"/>
  <c r="J209" i="2"/>
  <c r="I210" i="2"/>
  <c r="J226" i="2"/>
  <c r="I227" i="2"/>
  <c r="C287" i="2"/>
  <c r="C310" i="2" s="1"/>
  <c r="E189" i="2"/>
  <c r="E206" i="2"/>
  <c r="E223" i="2"/>
  <c r="E240" i="2"/>
  <c r="B346" i="2"/>
  <c r="A390" i="2"/>
  <c r="I191" i="2"/>
  <c r="J190" i="2"/>
  <c r="D212" i="2"/>
  <c r="C290" i="2"/>
  <c r="C313" i="2" s="1"/>
  <c r="D229" i="2"/>
  <c r="D246" i="2"/>
  <c r="J243" i="2"/>
  <c r="I244" i="2"/>
  <c r="C284" i="2"/>
  <c r="C307" i="2" s="1"/>
  <c r="C285" i="2"/>
  <c r="C308" i="2" s="1"/>
  <c r="C286" i="2"/>
  <c r="C309" i="2" s="1"/>
  <c r="D127" i="2"/>
  <c r="D144" i="2"/>
  <c r="D161" i="2"/>
  <c r="D178" i="2"/>
  <c r="I261" i="2"/>
  <c r="J260" i="2"/>
  <c r="J207" i="2"/>
  <c r="J224" i="2"/>
  <c r="J241" i="2"/>
  <c r="J258" i="2"/>
  <c r="A389" i="2"/>
  <c r="B345" i="2"/>
  <c r="A393" i="2"/>
  <c r="B349" i="2"/>
  <c r="A397" i="2"/>
  <c r="B353" i="2"/>
  <c r="A401" i="2"/>
  <c r="B357" i="2"/>
  <c r="C292" i="2"/>
  <c r="C315" i="2" s="1"/>
  <c r="L396" i="3" l="1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E384" i="3" s="1"/>
  <c r="F384" i="3" s="1"/>
  <c r="H381" i="3"/>
  <c r="I5" i="3"/>
  <c r="J4" i="3"/>
  <c r="I22" i="3"/>
  <c r="J21" i="3"/>
  <c r="I39" i="3"/>
  <c r="J38" i="3"/>
  <c r="I56" i="3"/>
  <c r="J55" i="3"/>
  <c r="I73" i="3"/>
  <c r="J72" i="3"/>
  <c r="I90" i="3"/>
  <c r="J89" i="3"/>
  <c r="I107" i="3"/>
  <c r="J106" i="3"/>
  <c r="I124" i="3"/>
  <c r="J123" i="3"/>
  <c r="I141" i="3"/>
  <c r="J140" i="3"/>
  <c r="I158" i="3"/>
  <c r="J157" i="3"/>
  <c r="I175" i="3"/>
  <c r="J174" i="3"/>
  <c r="I192" i="3"/>
  <c r="J191" i="3"/>
  <c r="I209" i="3"/>
  <c r="J208" i="3"/>
  <c r="I226" i="3"/>
  <c r="J225" i="3"/>
  <c r="I243" i="3"/>
  <c r="J242" i="3"/>
  <c r="I260" i="3"/>
  <c r="J259" i="3"/>
  <c r="B326" i="3"/>
  <c r="C325" i="3"/>
  <c r="I245" i="2"/>
  <c r="J244" i="2"/>
  <c r="D310" i="2"/>
  <c r="D315" i="2"/>
  <c r="I262" i="2"/>
  <c r="J261" i="2"/>
  <c r="D308" i="2"/>
  <c r="D303" i="2"/>
  <c r="I160" i="2"/>
  <c r="J159" i="2"/>
  <c r="I73" i="2"/>
  <c r="J72" i="2"/>
  <c r="D300" i="2"/>
  <c r="G381" i="2"/>
  <c r="L388" i="2" s="1"/>
  <c r="I90" i="2"/>
  <c r="J89" i="2"/>
  <c r="D301" i="2"/>
  <c r="I107" i="2"/>
  <c r="J106" i="2"/>
  <c r="D313" i="2"/>
  <c r="I192" i="2"/>
  <c r="J191" i="2"/>
  <c r="I228" i="2"/>
  <c r="J227" i="2"/>
  <c r="D306" i="2"/>
  <c r="I39" i="2"/>
  <c r="J38" i="2"/>
  <c r="D309" i="2"/>
  <c r="D307" i="2"/>
  <c r="I143" i="2"/>
  <c r="J142" i="2"/>
  <c r="I56" i="2"/>
  <c r="J55" i="2"/>
  <c r="D304" i="2"/>
  <c r="I5" i="2"/>
  <c r="J4" i="2"/>
  <c r="B326" i="2"/>
  <c r="C325" i="2"/>
  <c r="D305" i="2"/>
  <c r="I22" i="2"/>
  <c r="J21" i="2"/>
  <c r="I126" i="2"/>
  <c r="J125" i="2"/>
  <c r="I211" i="2"/>
  <c r="J210" i="2"/>
  <c r="D311" i="2"/>
  <c r="J176" i="2"/>
  <c r="I177" i="2"/>
  <c r="D302" i="2"/>
  <c r="B327" i="3" l="1"/>
  <c r="C326" i="3"/>
  <c r="I261" i="3"/>
  <c r="J260" i="3"/>
  <c r="I244" i="3"/>
  <c r="J243" i="3"/>
  <c r="I227" i="3"/>
  <c r="J226" i="3"/>
  <c r="I210" i="3"/>
  <c r="J209" i="3"/>
  <c r="I193" i="3"/>
  <c r="J192" i="3"/>
  <c r="I176" i="3"/>
  <c r="J175" i="3"/>
  <c r="I159" i="3"/>
  <c r="J158" i="3"/>
  <c r="I142" i="3"/>
  <c r="J141" i="3"/>
  <c r="I125" i="3"/>
  <c r="J124" i="3"/>
  <c r="I108" i="3"/>
  <c r="J107" i="3"/>
  <c r="I91" i="3"/>
  <c r="J90" i="3"/>
  <c r="I74" i="3"/>
  <c r="J73" i="3"/>
  <c r="I57" i="3"/>
  <c r="J56" i="3"/>
  <c r="I40" i="3"/>
  <c r="J39" i="3"/>
  <c r="I23" i="3"/>
  <c r="J22" i="3"/>
  <c r="I6" i="3"/>
  <c r="J5" i="3"/>
  <c r="C383" i="3"/>
  <c r="B383" i="3"/>
  <c r="C382" i="3"/>
  <c r="B382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L383" i="2"/>
  <c r="L392" i="2"/>
  <c r="L393" i="2"/>
  <c r="L395" i="2"/>
  <c r="L391" i="2"/>
  <c r="J126" i="2"/>
  <c r="I127" i="2"/>
  <c r="L386" i="2"/>
  <c r="J5" i="2"/>
  <c r="I6" i="2"/>
  <c r="J56" i="2"/>
  <c r="I57" i="2"/>
  <c r="J39" i="2"/>
  <c r="I40" i="2"/>
  <c r="L394" i="2"/>
  <c r="L382" i="2"/>
  <c r="J73" i="2"/>
  <c r="I74" i="2"/>
  <c r="L384" i="2"/>
  <c r="J262" i="2"/>
  <c r="I263" i="2"/>
  <c r="J177" i="2"/>
  <c r="I178" i="2"/>
  <c r="L387" i="2"/>
  <c r="F381" i="2"/>
  <c r="L389" i="2"/>
  <c r="L396" i="2"/>
  <c r="J211" i="2"/>
  <c r="I212" i="2"/>
  <c r="J22" i="2"/>
  <c r="I23" i="2"/>
  <c r="B327" i="2"/>
  <c r="C326" i="2"/>
  <c r="L385" i="2"/>
  <c r="J143" i="2"/>
  <c r="I144" i="2"/>
  <c r="L390" i="2"/>
  <c r="J228" i="2"/>
  <c r="I229" i="2"/>
  <c r="J192" i="2"/>
  <c r="I193" i="2"/>
  <c r="J107" i="2"/>
  <c r="I108" i="2"/>
  <c r="J90" i="2"/>
  <c r="I91" i="2"/>
  <c r="L381" i="2"/>
  <c r="J160" i="2"/>
  <c r="I161" i="2"/>
  <c r="J245" i="2"/>
  <c r="I246" i="2"/>
  <c r="I7" i="3" l="1"/>
  <c r="J6" i="3"/>
  <c r="I24" i="3"/>
  <c r="J23" i="3"/>
  <c r="I41" i="3"/>
  <c r="J40" i="3"/>
  <c r="I58" i="3"/>
  <c r="J57" i="3"/>
  <c r="I75" i="3"/>
  <c r="J74" i="3"/>
  <c r="I92" i="3"/>
  <c r="J91" i="3"/>
  <c r="I109" i="3"/>
  <c r="J108" i="3"/>
  <c r="I126" i="3"/>
  <c r="J125" i="3"/>
  <c r="I143" i="3"/>
  <c r="J142" i="3"/>
  <c r="I160" i="3"/>
  <c r="J159" i="3"/>
  <c r="I177" i="3"/>
  <c r="J176" i="3"/>
  <c r="I194" i="3"/>
  <c r="J193" i="3"/>
  <c r="I211" i="3"/>
  <c r="J210" i="3"/>
  <c r="I228" i="3"/>
  <c r="J227" i="3"/>
  <c r="I245" i="3"/>
  <c r="J244" i="3"/>
  <c r="I262" i="3"/>
  <c r="J261" i="3"/>
  <c r="B328" i="3"/>
  <c r="C327" i="3"/>
  <c r="I92" i="2"/>
  <c r="J91" i="2"/>
  <c r="I194" i="2"/>
  <c r="J193" i="2"/>
  <c r="I213" i="2"/>
  <c r="J212" i="2"/>
  <c r="C383" i="2"/>
  <c r="B382" i="2"/>
  <c r="B383" i="2"/>
  <c r="C382" i="2"/>
  <c r="C395" i="2"/>
  <c r="C387" i="2"/>
  <c r="C391" i="2"/>
  <c r="B396" i="2"/>
  <c r="B402" i="2"/>
  <c r="C396" i="2"/>
  <c r="B400" i="2"/>
  <c r="B387" i="2"/>
  <c r="B399" i="2"/>
  <c r="B388" i="2"/>
  <c r="C400" i="2"/>
  <c r="C398" i="2"/>
  <c r="B391" i="2"/>
  <c r="C388" i="2"/>
  <c r="C402" i="2"/>
  <c r="B398" i="2"/>
  <c r="B392" i="2"/>
  <c r="B395" i="2"/>
  <c r="C392" i="2"/>
  <c r="C399" i="2"/>
  <c r="B393" i="2"/>
  <c r="B397" i="2"/>
  <c r="C393" i="2"/>
  <c r="C397" i="2"/>
  <c r="B401" i="2"/>
  <c r="B390" i="2"/>
  <c r="B394" i="2"/>
  <c r="B389" i="2"/>
  <c r="C401" i="2"/>
  <c r="C390" i="2"/>
  <c r="C394" i="2"/>
  <c r="C389" i="2"/>
  <c r="I264" i="2"/>
  <c r="J263" i="2"/>
  <c r="I41" i="2"/>
  <c r="J40" i="2"/>
  <c r="I7" i="2"/>
  <c r="J6" i="2"/>
  <c r="I162" i="2"/>
  <c r="J161" i="2"/>
  <c r="I145" i="2"/>
  <c r="J144" i="2"/>
  <c r="C327" i="2"/>
  <c r="B328" i="2"/>
  <c r="I109" i="2"/>
  <c r="J108" i="2"/>
  <c r="I230" i="2"/>
  <c r="J229" i="2"/>
  <c r="I24" i="2"/>
  <c r="J23" i="2"/>
  <c r="J178" i="2"/>
  <c r="I179" i="2"/>
  <c r="I58" i="2"/>
  <c r="J57" i="2"/>
  <c r="I247" i="2"/>
  <c r="J246" i="2"/>
  <c r="E384" i="2"/>
  <c r="I75" i="2"/>
  <c r="J74" i="2"/>
  <c r="I128" i="2"/>
  <c r="J127" i="2"/>
  <c r="B329" i="3" l="1"/>
  <c r="C328" i="3"/>
  <c r="I263" i="3"/>
  <c r="J262" i="3"/>
  <c r="I246" i="3"/>
  <c r="J245" i="3"/>
  <c r="I229" i="3"/>
  <c r="J228" i="3"/>
  <c r="I212" i="3"/>
  <c r="J211" i="3"/>
  <c r="I195" i="3"/>
  <c r="J194" i="3"/>
  <c r="I178" i="3"/>
  <c r="J177" i="3"/>
  <c r="I161" i="3"/>
  <c r="J160" i="3"/>
  <c r="I144" i="3"/>
  <c r="J143" i="3"/>
  <c r="I127" i="3"/>
  <c r="J126" i="3"/>
  <c r="I110" i="3"/>
  <c r="J109" i="3"/>
  <c r="I93" i="3"/>
  <c r="J92" i="3"/>
  <c r="I76" i="3"/>
  <c r="J75" i="3"/>
  <c r="I59" i="3"/>
  <c r="J58" i="3"/>
  <c r="I42" i="3"/>
  <c r="J41" i="3"/>
  <c r="I25" i="3"/>
  <c r="J24" i="3"/>
  <c r="I8" i="3"/>
  <c r="J7" i="3"/>
  <c r="J75" i="2"/>
  <c r="I76" i="2"/>
  <c r="J58" i="2"/>
  <c r="I59" i="2"/>
  <c r="J24" i="2"/>
  <c r="I25" i="2"/>
  <c r="J109" i="2"/>
  <c r="I110" i="2"/>
  <c r="J145" i="2"/>
  <c r="I146" i="2"/>
  <c r="J7" i="2"/>
  <c r="I8" i="2"/>
  <c r="I265" i="2"/>
  <c r="J264" i="2"/>
  <c r="J194" i="2"/>
  <c r="I195" i="2"/>
  <c r="J128" i="2"/>
  <c r="I129" i="2"/>
  <c r="I180" i="2"/>
  <c r="J179" i="2"/>
  <c r="B329" i="2"/>
  <c r="C328" i="2"/>
  <c r="I248" i="2"/>
  <c r="J247" i="2"/>
  <c r="I231" i="2"/>
  <c r="J230" i="2"/>
  <c r="J162" i="2"/>
  <c r="I163" i="2"/>
  <c r="J41" i="2"/>
  <c r="I42" i="2"/>
  <c r="I214" i="2"/>
  <c r="J213" i="2"/>
  <c r="J92" i="2"/>
  <c r="I93" i="2"/>
  <c r="I9" i="3" l="1"/>
  <c r="J8" i="3"/>
  <c r="I26" i="3"/>
  <c r="J25" i="3"/>
  <c r="I43" i="3"/>
  <c r="J42" i="3"/>
  <c r="I60" i="3"/>
  <c r="J59" i="3"/>
  <c r="I77" i="3"/>
  <c r="J76" i="3"/>
  <c r="I94" i="3"/>
  <c r="J93" i="3"/>
  <c r="I111" i="3"/>
  <c r="J110" i="3"/>
  <c r="I128" i="3"/>
  <c r="J127" i="3"/>
  <c r="I145" i="3"/>
  <c r="J144" i="3"/>
  <c r="I162" i="3"/>
  <c r="J161" i="3"/>
  <c r="I179" i="3"/>
  <c r="J178" i="3"/>
  <c r="I196" i="3"/>
  <c r="J195" i="3"/>
  <c r="I213" i="3"/>
  <c r="J212" i="3"/>
  <c r="I230" i="3"/>
  <c r="J229" i="3"/>
  <c r="I247" i="3"/>
  <c r="J246" i="3"/>
  <c r="I264" i="3"/>
  <c r="J263" i="3"/>
  <c r="B330" i="3"/>
  <c r="C329" i="3"/>
  <c r="I196" i="2"/>
  <c r="J195" i="2"/>
  <c r="J110" i="2"/>
  <c r="I111" i="2"/>
  <c r="J248" i="2"/>
  <c r="I249" i="2"/>
  <c r="J93" i="2"/>
  <c r="I94" i="2"/>
  <c r="J42" i="2"/>
  <c r="I43" i="2"/>
  <c r="J129" i="2"/>
  <c r="I130" i="2"/>
  <c r="J146" i="2"/>
  <c r="I147" i="2"/>
  <c r="J25" i="2"/>
  <c r="I26" i="2"/>
  <c r="J76" i="2"/>
  <c r="I77" i="2"/>
  <c r="J163" i="2"/>
  <c r="I164" i="2"/>
  <c r="J8" i="2"/>
  <c r="I9" i="2"/>
  <c r="J59" i="2"/>
  <c r="I60" i="2"/>
  <c r="J214" i="2"/>
  <c r="I215" i="2"/>
  <c r="J180" i="2"/>
  <c r="I181" i="2"/>
  <c r="J231" i="2"/>
  <c r="I232" i="2"/>
  <c r="B330" i="2"/>
  <c r="C329" i="2"/>
  <c r="I266" i="2"/>
  <c r="J265" i="2"/>
  <c r="B331" i="3" l="1"/>
  <c r="C330" i="3"/>
  <c r="I265" i="3"/>
  <c r="J264" i="3"/>
  <c r="I248" i="3"/>
  <c r="J247" i="3"/>
  <c r="I231" i="3"/>
  <c r="J230" i="3"/>
  <c r="I214" i="3"/>
  <c r="J213" i="3"/>
  <c r="I197" i="3"/>
  <c r="J196" i="3"/>
  <c r="I180" i="3"/>
  <c r="J179" i="3"/>
  <c r="I163" i="3"/>
  <c r="J162" i="3"/>
  <c r="I146" i="3"/>
  <c r="J145" i="3"/>
  <c r="I129" i="3"/>
  <c r="J128" i="3"/>
  <c r="I112" i="3"/>
  <c r="J111" i="3"/>
  <c r="I95" i="3"/>
  <c r="J94" i="3"/>
  <c r="I78" i="3"/>
  <c r="J77" i="3"/>
  <c r="I61" i="3"/>
  <c r="J60" i="3"/>
  <c r="I44" i="3"/>
  <c r="J43" i="3"/>
  <c r="I27" i="3"/>
  <c r="J26" i="3"/>
  <c r="I10" i="3"/>
  <c r="J9" i="3"/>
  <c r="I61" i="2"/>
  <c r="J60" i="2"/>
  <c r="I27" i="2"/>
  <c r="J26" i="2"/>
  <c r="I131" i="2"/>
  <c r="J130" i="2"/>
  <c r="I112" i="2"/>
  <c r="J111" i="2"/>
  <c r="B331" i="2"/>
  <c r="C330" i="2"/>
  <c r="I233" i="2"/>
  <c r="J232" i="2"/>
  <c r="I216" i="2"/>
  <c r="J215" i="2"/>
  <c r="I10" i="2"/>
  <c r="J9" i="2"/>
  <c r="I78" i="2"/>
  <c r="J77" i="2"/>
  <c r="I148" i="2"/>
  <c r="J147" i="2"/>
  <c r="I44" i="2"/>
  <c r="J43" i="2"/>
  <c r="I250" i="2"/>
  <c r="J249" i="2"/>
  <c r="I182" i="2"/>
  <c r="J181" i="2"/>
  <c r="I165" i="2"/>
  <c r="J164" i="2"/>
  <c r="I95" i="2"/>
  <c r="J94" i="2"/>
  <c r="I267" i="2"/>
  <c r="J266" i="2"/>
  <c r="I197" i="2"/>
  <c r="J196" i="2"/>
  <c r="I11" i="3" l="1"/>
  <c r="J10" i="3"/>
  <c r="I28" i="3"/>
  <c r="J27" i="3"/>
  <c r="I45" i="3"/>
  <c r="J44" i="3"/>
  <c r="I62" i="3"/>
  <c r="J61" i="3"/>
  <c r="I79" i="3"/>
  <c r="J78" i="3"/>
  <c r="I96" i="3"/>
  <c r="J95" i="3"/>
  <c r="I113" i="3"/>
  <c r="J112" i="3"/>
  <c r="I130" i="3"/>
  <c r="J129" i="3"/>
  <c r="I147" i="3"/>
  <c r="J146" i="3"/>
  <c r="I164" i="3"/>
  <c r="J163" i="3"/>
  <c r="I181" i="3"/>
  <c r="J180" i="3"/>
  <c r="I198" i="3"/>
  <c r="J197" i="3"/>
  <c r="I215" i="3"/>
  <c r="J214" i="3"/>
  <c r="I232" i="3"/>
  <c r="J231" i="3"/>
  <c r="I249" i="3"/>
  <c r="J248" i="3"/>
  <c r="I266" i="3"/>
  <c r="J265" i="3"/>
  <c r="B332" i="3"/>
  <c r="C331" i="3"/>
  <c r="J197" i="2"/>
  <c r="I198" i="2"/>
  <c r="J95" i="2"/>
  <c r="I96" i="2"/>
  <c r="I268" i="2"/>
  <c r="J267" i="2"/>
  <c r="J165" i="2"/>
  <c r="I166" i="2"/>
  <c r="J250" i="2"/>
  <c r="I251" i="2"/>
  <c r="J148" i="2"/>
  <c r="I149" i="2"/>
  <c r="J10" i="2"/>
  <c r="I11" i="2"/>
  <c r="J233" i="2"/>
  <c r="I234" i="2"/>
  <c r="J112" i="2"/>
  <c r="I113" i="2"/>
  <c r="J27" i="2"/>
  <c r="I28" i="2"/>
  <c r="J182" i="2"/>
  <c r="I183" i="2"/>
  <c r="J44" i="2"/>
  <c r="I45" i="2"/>
  <c r="J78" i="2"/>
  <c r="I79" i="2"/>
  <c r="J216" i="2"/>
  <c r="I217" i="2"/>
  <c r="C331" i="2"/>
  <c r="B332" i="2"/>
  <c r="J131" i="2"/>
  <c r="I132" i="2"/>
  <c r="J61" i="2"/>
  <c r="I62" i="2"/>
  <c r="B333" i="3" l="1"/>
  <c r="C332" i="3"/>
  <c r="I267" i="3"/>
  <c r="J266" i="3"/>
  <c r="I250" i="3"/>
  <c r="J249" i="3"/>
  <c r="I233" i="3"/>
  <c r="J232" i="3"/>
  <c r="I216" i="3"/>
  <c r="J215" i="3"/>
  <c r="I199" i="3"/>
  <c r="J198" i="3"/>
  <c r="I182" i="3"/>
  <c r="J181" i="3"/>
  <c r="I165" i="3"/>
  <c r="J164" i="3"/>
  <c r="I148" i="3"/>
  <c r="J147" i="3"/>
  <c r="I131" i="3"/>
  <c r="J130" i="3"/>
  <c r="I114" i="3"/>
  <c r="J113" i="3"/>
  <c r="I97" i="3"/>
  <c r="J96" i="3"/>
  <c r="I80" i="3"/>
  <c r="J79" i="3"/>
  <c r="I63" i="3"/>
  <c r="J62" i="3"/>
  <c r="I46" i="3"/>
  <c r="J45" i="3"/>
  <c r="I29" i="3"/>
  <c r="J28" i="3"/>
  <c r="I12" i="3"/>
  <c r="J11" i="3"/>
  <c r="I133" i="2"/>
  <c r="J132" i="2"/>
  <c r="I218" i="2"/>
  <c r="J217" i="2"/>
  <c r="I46" i="2"/>
  <c r="J45" i="2"/>
  <c r="I29" i="2"/>
  <c r="J28" i="2"/>
  <c r="I235" i="2"/>
  <c r="J234" i="2"/>
  <c r="I150" i="2"/>
  <c r="J149" i="2"/>
  <c r="J166" i="2"/>
  <c r="I167" i="2"/>
  <c r="I97" i="2"/>
  <c r="J96" i="2"/>
  <c r="I63" i="2"/>
  <c r="J62" i="2"/>
  <c r="B333" i="2"/>
  <c r="C332" i="2"/>
  <c r="I80" i="2"/>
  <c r="J79" i="2"/>
  <c r="I184" i="2"/>
  <c r="J183" i="2"/>
  <c r="I114" i="2"/>
  <c r="J113" i="2"/>
  <c r="I12" i="2"/>
  <c r="J11" i="2"/>
  <c r="I252" i="2"/>
  <c r="J251" i="2"/>
  <c r="I199" i="2"/>
  <c r="J198" i="2"/>
  <c r="I269" i="2"/>
  <c r="J268" i="2"/>
  <c r="I13" i="3" l="1"/>
  <c r="J12" i="3"/>
  <c r="I30" i="3"/>
  <c r="J29" i="3"/>
  <c r="I47" i="3"/>
  <c r="J46" i="3"/>
  <c r="I64" i="3"/>
  <c r="J63" i="3"/>
  <c r="I81" i="3"/>
  <c r="J80" i="3"/>
  <c r="I98" i="3"/>
  <c r="J97" i="3"/>
  <c r="I115" i="3"/>
  <c r="J114" i="3"/>
  <c r="I132" i="3"/>
  <c r="J131" i="3"/>
  <c r="I149" i="3"/>
  <c r="J148" i="3"/>
  <c r="I166" i="3"/>
  <c r="J165" i="3"/>
  <c r="I183" i="3"/>
  <c r="J182" i="3"/>
  <c r="I200" i="3"/>
  <c r="J199" i="3"/>
  <c r="I217" i="3"/>
  <c r="J216" i="3"/>
  <c r="I234" i="3"/>
  <c r="J233" i="3"/>
  <c r="I251" i="3"/>
  <c r="J250" i="3"/>
  <c r="I268" i="3"/>
  <c r="J267" i="3"/>
  <c r="B334" i="3"/>
  <c r="C333" i="3"/>
  <c r="J199" i="2"/>
  <c r="I200" i="2"/>
  <c r="J12" i="2"/>
  <c r="I13" i="2"/>
  <c r="J184" i="2"/>
  <c r="I185" i="2"/>
  <c r="B334" i="2"/>
  <c r="C333" i="2"/>
  <c r="J97" i="2"/>
  <c r="I98" i="2"/>
  <c r="J150" i="2"/>
  <c r="I151" i="2"/>
  <c r="J29" i="2"/>
  <c r="I30" i="2"/>
  <c r="J218" i="2"/>
  <c r="I219" i="2"/>
  <c r="J167" i="2"/>
  <c r="I168" i="2"/>
  <c r="I270" i="2"/>
  <c r="J269" i="2"/>
  <c r="J252" i="2"/>
  <c r="I253" i="2"/>
  <c r="J114" i="2"/>
  <c r="I115" i="2"/>
  <c r="J80" i="2"/>
  <c r="I81" i="2"/>
  <c r="J63" i="2"/>
  <c r="I64" i="2"/>
  <c r="J235" i="2"/>
  <c r="I236" i="2"/>
  <c r="J46" i="2"/>
  <c r="I47" i="2"/>
  <c r="J133" i="2"/>
  <c r="I134" i="2"/>
  <c r="B335" i="3" l="1"/>
  <c r="C334" i="3"/>
  <c r="I269" i="3"/>
  <c r="J268" i="3"/>
  <c r="I252" i="3"/>
  <c r="J251" i="3"/>
  <c r="I235" i="3"/>
  <c r="J234" i="3"/>
  <c r="I218" i="3"/>
  <c r="J217" i="3"/>
  <c r="I201" i="3"/>
  <c r="J200" i="3"/>
  <c r="I184" i="3"/>
  <c r="J183" i="3"/>
  <c r="I167" i="3"/>
  <c r="J166" i="3"/>
  <c r="I150" i="3"/>
  <c r="J149" i="3"/>
  <c r="I133" i="3"/>
  <c r="J132" i="3"/>
  <c r="I116" i="3"/>
  <c r="J115" i="3"/>
  <c r="I99" i="3"/>
  <c r="J98" i="3"/>
  <c r="I82" i="3"/>
  <c r="J81" i="3"/>
  <c r="I65" i="3"/>
  <c r="J64" i="3"/>
  <c r="I48" i="3"/>
  <c r="J47" i="3"/>
  <c r="I31" i="3"/>
  <c r="J30" i="3"/>
  <c r="I14" i="3"/>
  <c r="J13" i="3"/>
  <c r="I48" i="2"/>
  <c r="J47" i="2"/>
  <c r="I65" i="2"/>
  <c r="J64" i="2"/>
  <c r="I116" i="2"/>
  <c r="J115" i="2"/>
  <c r="J219" i="2"/>
  <c r="I220" i="2"/>
  <c r="J220" i="2" s="1"/>
  <c r="J151" i="2"/>
  <c r="I152" i="2"/>
  <c r="J152" i="2" s="1"/>
  <c r="I14" i="2"/>
  <c r="J13" i="2"/>
  <c r="I271" i="2"/>
  <c r="J271" i="2" s="1"/>
  <c r="J270" i="2"/>
  <c r="B335" i="2"/>
  <c r="C334" i="2"/>
  <c r="I135" i="2"/>
  <c r="J135" i="2" s="1"/>
  <c r="J134" i="2"/>
  <c r="J236" i="2"/>
  <c r="I237" i="2"/>
  <c r="J237" i="2" s="1"/>
  <c r="I82" i="2"/>
  <c r="J81" i="2"/>
  <c r="J253" i="2"/>
  <c r="I254" i="2"/>
  <c r="J254" i="2" s="1"/>
  <c r="I169" i="2"/>
  <c r="J169" i="2" s="1"/>
  <c r="J168" i="2"/>
  <c r="I31" i="2"/>
  <c r="J30" i="2"/>
  <c r="I99" i="2"/>
  <c r="J98" i="2"/>
  <c r="I186" i="2"/>
  <c r="J186" i="2" s="1"/>
  <c r="J185" i="2"/>
  <c r="I201" i="2"/>
  <c r="J200" i="2"/>
  <c r="I15" i="3" l="1"/>
  <c r="J14" i="3"/>
  <c r="I32" i="3"/>
  <c r="J31" i="3"/>
  <c r="I49" i="3"/>
  <c r="J48" i="3"/>
  <c r="I66" i="3"/>
  <c r="J65" i="3"/>
  <c r="I83" i="3"/>
  <c r="J82" i="3"/>
  <c r="I100" i="3"/>
  <c r="J99" i="3"/>
  <c r="I117" i="3"/>
  <c r="J116" i="3"/>
  <c r="I134" i="3"/>
  <c r="J133" i="3"/>
  <c r="I151" i="3"/>
  <c r="J150" i="3"/>
  <c r="I168" i="3"/>
  <c r="J167" i="3"/>
  <c r="I185" i="3"/>
  <c r="J184" i="3"/>
  <c r="I202" i="3"/>
  <c r="J201" i="3"/>
  <c r="I219" i="3"/>
  <c r="J218" i="3"/>
  <c r="I236" i="3"/>
  <c r="J235" i="3"/>
  <c r="I253" i="3"/>
  <c r="J252" i="3"/>
  <c r="I270" i="3"/>
  <c r="J269" i="3"/>
  <c r="B336" i="3"/>
  <c r="C335" i="3"/>
  <c r="J31" i="2"/>
  <c r="I32" i="2"/>
  <c r="C335" i="2"/>
  <c r="B336" i="2"/>
  <c r="J14" i="2"/>
  <c r="I15" i="2"/>
  <c r="J65" i="2"/>
  <c r="I66" i="2"/>
  <c r="J201" i="2"/>
  <c r="I202" i="2"/>
  <c r="J99" i="2"/>
  <c r="I100" i="2"/>
  <c r="J82" i="2"/>
  <c r="I83" i="2"/>
  <c r="J116" i="2"/>
  <c r="I117" i="2"/>
  <c r="J48" i="2"/>
  <c r="I49" i="2"/>
  <c r="B337" i="3" l="1"/>
  <c r="C336" i="3"/>
  <c r="I271" i="3"/>
  <c r="J271" i="3" s="1"/>
  <c r="J270" i="3"/>
  <c r="I254" i="3"/>
  <c r="J254" i="3" s="1"/>
  <c r="J253" i="3"/>
  <c r="I237" i="3"/>
  <c r="J237" i="3" s="1"/>
  <c r="J236" i="3"/>
  <c r="I220" i="3"/>
  <c r="J220" i="3" s="1"/>
  <c r="J219" i="3"/>
  <c r="I203" i="3"/>
  <c r="J203" i="3" s="1"/>
  <c r="J202" i="3"/>
  <c r="I186" i="3"/>
  <c r="J186" i="3" s="1"/>
  <c r="J185" i="3"/>
  <c r="I169" i="3"/>
  <c r="J169" i="3" s="1"/>
  <c r="J168" i="3"/>
  <c r="I152" i="3"/>
  <c r="J152" i="3" s="1"/>
  <c r="J151" i="3"/>
  <c r="I135" i="3"/>
  <c r="J135" i="3" s="1"/>
  <c r="J134" i="3"/>
  <c r="I118" i="3"/>
  <c r="J118" i="3" s="1"/>
  <c r="J117" i="3"/>
  <c r="I101" i="3"/>
  <c r="J101" i="3" s="1"/>
  <c r="J100" i="3"/>
  <c r="I84" i="3"/>
  <c r="J84" i="3" s="1"/>
  <c r="J83" i="3"/>
  <c r="I67" i="3"/>
  <c r="J67" i="3" s="1"/>
  <c r="J66" i="3"/>
  <c r="I50" i="3"/>
  <c r="J50" i="3" s="1"/>
  <c r="J49" i="3"/>
  <c r="I33" i="3"/>
  <c r="J33" i="3" s="1"/>
  <c r="J32" i="3"/>
  <c r="I16" i="3"/>
  <c r="J16" i="3" s="1"/>
  <c r="J15" i="3"/>
  <c r="I118" i="2"/>
  <c r="J118" i="2" s="1"/>
  <c r="J117" i="2"/>
  <c r="I101" i="2"/>
  <c r="J101" i="2" s="1"/>
  <c r="J100" i="2"/>
  <c r="I67" i="2"/>
  <c r="J67" i="2" s="1"/>
  <c r="J66" i="2"/>
  <c r="B337" i="2"/>
  <c r="C336" i="2"/>
  <c r="I50" i="2"/>
  <c r="J50" i="2" s="1"/>
  <c r="J49" i="2"/>
  <c r="I84" i="2"/>
  <c r="J84" i="2" s="1"/>
  <c r="J83" i="2"/>
  <c r="J202" i="2"/>
  <c r="I203" i="2"/>
  <c r="J203" i="2" s="1"/>
  <c r="I16" i="2"/>
  <c r="J16" i="2" s="1"/>
  <c r="J15" i="2"/>
  <c r="I33" i="2"/>
  <c r="J33" i="2" s="1"/>
  <c r="J32" i="2"/>
  <c r="B338" i="3" l="1"/>
  <c r="C338" i="3" s="1"/>
  <c r="C337" i="3"/>
  <c r="B338" i="2"/>
  <c r="C338" i="2" s="1"/>
  <c r="C337" i="2"/>
  <c r="G225" i="1" l="1"/>
  <c r="H225" i="1"/>
  <c r="B208" i="1" l="1"/>
  <c r="A238" i="1" s="1"/>
  <c r="B207" i="1"/>
  <c r="A237" i="1" s="1"/>
  <c r="B204" i="1"/>
  <c r="A234" i="1" s="1"/>
  <c r="B203" i="1"/>
  <c r="A233" i="1" s="1"/>
  <c r="B189" i="1"/>
  <c r="B181" i="1"/>
  <c r="B209" i="1" s="1"/>
  <c r="A239" i="1" s="1"/>
  <c r="B180" i="1"/>
  <c r="B179" i="1"/>
  <c r="B178" i="1"/>
  <c r="B206" i="1" s="1"/>
  <c r="A236" i="1" s="1"/>
  <c r="B177" i="1"/>
  <c r="B205" i="1" s="1"/>
  <c r="A235" i="1" s="1"/>
  <c r="B176" i="1"/>
  <c r="B175" i="1"/>
  <c r="B174" i="1"/>
  <c r="B202" i="1" s="1"/>
  <c r="A232" i="1" s="1"/>
  <c r="B173" i="1"/>
  <c r="B201" i="1" s="1"/>
  <c r="A231" i="1" s="1"/>
  <c r="B166" i="1"/>
  <c r="B165" i="1"/>
  <c r="B164" i="1"/>
  <c r="B163" i="1"/>
  <c r="B162" i="1"/>
  <c r="B161" i="1"/>
  <c r="B160" i="1"/>
  <c r="B159" i="1"/>
  <c r="B158" i="1"/>
  <c r="C141" i="1"/>
  <c r="I139" i="1"/>
  <c r="I138" i="1"/>
  <c r="J138" i="1" s="1"/>
  <c r="D138" i="1"/>
  <c r="C138" i="1"/>
  <c r="D144" i="1" s="1"/>
  <c r="C124" i="1"/>
  <c r="I122" i="1"/>
  <c r="J121" i="1"/>
  <c r="I121" i="1"/>
  <c r="D121" i="1"/>
  <c r="E121" i="1" s="1"/>
  <c r="C121" i="1"/>
  <c r="C107" i="1"/>
  <c r="I105" i="1"/>
  <c r="J104" i="1"/>
  <c r="I104" i="1"/>
  <c r="D104" i="1"/>
  <c r="C104" i="1"/>
  <c r="C164" i="1" s="1"/>
  <c r="C179" i="1" s="1"/>
  <c r="C90" i="1"/>
  <c r="I88" i="1"/>
  <c r="J87" i="1"/>
  <c r="I87" i="1"/>
  <c r="D87" i="1"/>
  <c r="C87" i="1"/>
  <c r="C73" i="1"/>
  <c r="I71" i="1"/>
  <c r="J70" i="1"/>
  <c r="I70" i="1"/>
  <c r="D70" i="1"/>
  <c r="C70" i="1"/>
  <c r="C162" i="1" s="1"/>
  <c r="C177" i="1" s="1"/>
  <c r="D177" i="1" s="1"/>
  <c r="C56" i="1"/>
  <c r="I54" i="1"/>
  <c r="J53" i="1"/>
  <c r="I53" i="1"/>
  <c r="D53" i="1"/>
  <c r="C53" i="1"/>
  <c r="C39" i="1"/>
  <c r="I37" i="1"/>
  <c r="J36" i="1"/>
  <c r="I36" i="1"/>
  <c r="D36" i="1"/>
  <c r="C36" i="1"/>
  <c r="C160" i="1" s="1"/>
  <c r="C175" i="1" s="1"/>
  <c r="C22" i="1"/>
  <c r="I20" i="1"/>
  <c r="I21" i="1" s="1"/>
  <c r="J19" i="1"/>
  <c r="I19" i="1"/>
  <c r="D19" i="1"/>
  <c r="E19" i="1" s="1"/>
  <c r="C19" i="1"/>
  <c r="C159" i="1" s="1"/>
  <c r="C174" i="1" s="1"/>
  <c r="C5" i="1"/>
  <c r="I3" i="1"/>
  <c r="I4" i="1" s="1"/>
  <c r="J2" i="1"/>
  <c r="I2" i="1"/>
  <c r="D2" i="1"/>
  <c r="C2" i="1"/>
  <c r="D8" i="1" s="1"/>
  <c r="E53" i="1" l="1"/>
  <c r="E2" i="1"/>
  <c r="E36" i="1"/>
  <c r="E70" i="1"/>
  <c r="E104" i="1"/>
  <c r="E138" i="1"/>
  <c r="C166" i="1"/>
  <c r="C181" i="1" s="1"/>
  <c r="D181" i="1" s="1"/>
  <c r="D127" i="1"/>
  <c r="J4" i="1"/>
  <c r="I5" i="1"/>
  <c r="D175" i="1"/>
  <c r="J21" i="1"/>
  <c r="I22" i="1"/>
  <c r="D42" i="1"/>
  <c r="C163" i="1"/>
  <c r="C178" i="1" s="1"/>
  <c r="I89" i="1"/>
  <c r="J88" i="1"/>
  <c r="D179" i="1"/>
  <c r="B190" i="1"/>
  <c r="C189" i="1"/>
  <c r="J3" i="1"/>
  <c r="J20" i="1"/>
  <c r="I72" i="1"/>
  <c r="J71" i="1"/>
  <c r="E87" i="1"/>
  <c r="D93" i="1"/>
  <c r="I140" i="1"/>
  <c r="J139" i="1"/>
  <c r="C161" i="1"/>
  <c r="C176" i="1" s="1"/>
  <c r="I55" i="1"/>
  <c r="J54" i="1"/>
  <c r="D76" i="1"/>
  <c r="D110" i="1"/>
  <c r="I106" i="1"/>
  <c r="J105" i="1"/>
  <c r="I123" i="1"/>
  <c r="J122" i="1"/>
  <c r="C158" i="1"/>
  <c r="C173" i="1" s="1"/>
  <c r="D174" i="1"/>
  <c r="D25" i="1"/>
  <c r="I38" i="1"/>
  <c r="J37" i="1"/>
  <c r="D59" i="1"/>
  <c r="C165" i="1"/>
  <c r="C180" i="1" s="1"/>
  <c r="D180" i="1" l="1"/>
  <c r="I39" i="1"/>
  <c r="J38" i="1"/>
  <c r="D178" i="1"/>
  <c r="D173" i="1"/>
  <c r="L228" i="1"/>
  <c r="J106" i="1"/>
  <c r="I107" i="1"/>
  <c r="I56" i="1"/>
  <c r="J55" i="1"/>
  <c r="C190" i="1"/>
  <c r="B191" i="1"/>
  <c r="I23" i="1"/>
  <c r="J22" i="1"/>
  <c r="J140" i="1"/>
  <c r="I141" i="1"/>
  <c r="I73" i="1"/>
  <c r="J72" i="1"/>
  <c r="I90" i="1"/>
  <c r="J89" i="1"/>
  <c r="I6" i="1"/>
  <c r="J5" i="1"/>
  <c r="J123" i="1"/>
  <c r="I124" i="1"/>
  <c r="D176" i="1"/>
  <c r="L225" i="1" l="1"/>
  <c r="I125" i="1"/>
  <c r="J124" i="1"/>
  <c r="I142" i="1"/>
  <c r="J141" i="1"/>
  <c r="B192" i="1"/>
  <c r="C191" i="1"/>
  <c r="I108" i="1"/>
  <c r="J107" i="1"/>
  <c r="J90" i="1"/>
  <c r="I91" i="1"/>
  <c r="F225" i="1"/>
  <c r="J39" i="1"/>
  <c r="I40" i="1"/>
  <c r="L231" i="1"/>
  <c r="L233" i="1"/>
  <c r="L226" i="1"/>
  <c r="L229" i="1"/>
  <c r="L227" i="1"/>
  <c r="L230" i="1"/>
  <c r="I7" i="1"/>
  <c r="J6" i="1"/>
  <c r="J73" i="1"/>
  <c r="I74" i="1"/>
  <c r="I24" i="1"/>
  <c r="J23" i="1"/>
  <c r="J56" i="1"/>
  <c r="I57" i="1"/>
  <c r="L232" i="1"/>
  <c r="E228" i="1" l="1"/>
  <c r="F228" i="1" s="1"/>
  <c r="C227" i="1"/>
  <c r="C226" i="1"/>
  <c r="C234" i="1"/>
  <c r="C231" i="1"/>
  <c r="B236" i="1"/>
  <c r="B238" i="1"/>
  <c r="B235" i="1"/>
  <c r="B239" i="1"/>
  <c r="B237" i="1"/>
  <c r="B233" i="1"/>
  <c r="B234" i="1"/>
  <c r="C237" i="1"/>
  <c r="C232" i="1"/>
  <c r="B231" i="1"/>
  <c r="C233" i="1"/>
  <c r="C236" i="1"/>
  <c r="B232" i="1"/>
  <c r="C235" i="1"/>
  <c r="C239" i="1"/>
  <c r="C238" i="1"/>
  <c r="I75" i="1"/>
  <c r="J74" i="1"/>
  <c r="I92" i="1"/>
  <c r="J91" i="1"/>
  <c r="I109" i="1"/>
  <c r="J108" i="1"/>
  <c r="I143" i="1"/>
  <c r="J142" i="1"/>
  <c r="I58" i="1"/>
  <c r="J57" i="1"/>
  <c r="I41" i="1"/>
  <c r="J40" i="1"/>
  <c r="J24" i="1"/>
  <c r="I25" i="1"/>
  <c r="J7" i="1"/>
  <c r="I8" i="1"/>
  <c r="C192" i="1"/>
  <c r="B193" i="1"/>
  <c r="I126" i="1"/>
  <c r="J125" i="1"/>
  <c r="B194" i="1" l="1"/>
  <c r="C193" i="1"/>
  <c r="J58" i="1"/>
  <c r="I59" i="1"/>
  <c r="J109" i="1"/>
  <c r="I110" i="1"/>
  <c r="J75" i="1"/>
  <c r="I76" i="1"/>
  <c r="I26" i="1"/>
  <c r="J25" i="1"/>
  <c r="I9" i="1"/>
  <c r="J8" i="1"/>
  <c r="J126" i="1"/>
  <c r="I127" i="1"/>
  <c r="J41" i="1"/>
  <c r="I42" i="1"/>
  <c r="J143" i="1"/>
  <c r="I144" i="1"/>
  <c r="J92" i="1"/>
  <c r="I93" i="1"/>
  <c r="J93" i="1" l="1"/>
  <c r="I94" i="1"/>
  <c r="J76" i="1"/>
  <c r="I77" i="1"/>
  <c r="J59" i="1"/>
  <c r="I60" i="1"/>
  <c r="J9" i="1"/>
  <c r="I10" i="1"/>
  <c r="J42" i="1"/>
  <c r="I43" i="1"/>
  <c r="I145" i="1"/>
  <c r="J144" i="1"/>
  <c r="I128" i="1"/>
  <c r="J127" i="1"/>
  <c r="I111" i="1"/>
  <c r="J110" i="1"/>
  <c r="I27" i="1"/>
  <c r="J26" i="1"/>
  <c r="C194" i="1"/>
  <c r="B195" i="1"/>
  <c r="B196" i="1" l="1"/>
  <c r="C195" i="1"/>
  <c r="I11" i="1"/>
  <c r="J10" i="1"/>
  <c r="I78" i="1"/>
  <c r="J77" i="1"/>
  <c r="I112" i="1"/>
  <c r="J111" i="1"/>
  <c r="I146" i="1"/>
  <c r="J145" i="1"/>
  <c r="I44" i="1"/>
  <c r="J43" i="1"/>
  <c r="I61" i="1"/>
  <c r="J60" i="1"/>
  <c r="I95" i="1"/>
  <c r="J94" i="1"/>
  <c r="I28" i="1"/>
  <c r="J27" i="1"/>
  <c r="I129" i="1"/>
  <c r="J128" i="1"/>
  <c r="I130" i="1" l="1"/>
  <c r="J129" i="1"/>
  <c r="J95" i="1"/>
  <c r="I96" i="1"/>
  <c r="J44" i="1"/>
  <c r="I45" i="1"/>
  <c r="I113" i="1"/>
  <c r="J112" i="1"/>
  <c r="I12" i="1"/>
  <c r="J11" i="1"/>
  <c r="I29" i="1"/>
  <c r="J28" i="1"/>
  <c r="J61" i="1"/>
  <c r="I62" i="1"/>
  <c r="I147" i="1"/>
  <c r="J146" i="1"/>
  <c r="J78" i="1"/>
  <c r="I79" i="1"/>
  <c r="C196" i="1"/>
  <c r="B197" i="1"/>
  <c r="C197" i="1" s="1"/>
  <c r="I97" i="1" l="1"/>
  <c r="J96" i="1"/>
  <c r="I30" i="1"/>
  <c r="J29" i="1"/>
  <c r="I148" i="1"/>
  <c r="J147" i="1"/>
  <c r="I114" i="1"/>
  <c r="J113" i="1"/>
  <c r="I80" i="1"/>
  <c r="J79" i="1"/>
  <c r="I63" i="1"/>
  <c r="J62" i="1"/>
  <c r="I46" i="1"/>
  <c r="J45" i="1"/>
  <c r="I13" i="1"/>
  <c r="J12" i="1"/>
  <c r="I131" i="1"/>
  <c r="J130" i="1"/>
  <c r="J13" i="1" l="1"/>
  <c r="I14" i="1"/>
  <c r="J63" i="1"/>
  <c r="I64" i="1"/>
  <c r="I115" i="1"/>
  <c r="J114" i="1"/>
  <c r="I31" i="1"/>
  <c r="J30" i="1"/>
  <c r="I132" i="1"/>
  <c r="J131" i="1"/>
  <c r="J46" i="1"/>
  <c r="I47" i="1"/>
  <c r="J80" i="1"/>
  <c r="I81" i="1"/>
  <c r="I149" i="1"/>
  <c r="J148" i="1"/>
  <c r="J97" i="1"/>
  <c r="I98" i="1"/>
  <c r="I65" i="1" l="1"/>
  <c r="J64" i="1"/>
  <c r="I150" i="1"/>
  <c r="J149" i="1"/>
  <c r="J31" i="1"/>
  <c r="I32" i="1"/>
  <c r="I99" i="1"/>
  <c r="J98" i="1"/>
  <c r="I82" i="1"/>
  <c r="J81" i="1"/>
  <c r="I15" i="1"/>
  <c r="J14" i="1"/>
  <c r="I48" i="1"/>
  <c r="J47" i="1"/>
  <c r="I133" i="1"/>
  <c r="J132" i="1"/>
  <c r="I116" i="1"/>
  <c r="J115" i="1"/>
  <c r="J15" i="1" l="1"/>
  <c r="I16" i="1"/>
  <c r="J16" i="1" s="1"/>
  <c r="I151" i="1"/>
  <c r="J150" i="1"/>
  <c r="I134" i="1"/>
  <c r="J133" i="1"/>
  <c r="I33" i="1"/>
  <c r="J33" i="1" s="1"/>
  <c r="J32" i="1"/>
  <c r="I100" i="1"/>
  <c r="J99" i="1"/>
  <c r="I117" i="1"/>
  <c r="J116" i="1"/>
  <c r="J48" i="1"/>
  <c r="I49" i="1"/>
  <c r="J82" i="1"/>
  <c r="I83" i="1"/>
  <c r="J65" i="1"/>
  <c r="I66" i="1"/>
  <c r="I84" i="1" l="1"/>
  <c r="J84" i="1" s="1"/>
  <c r="J83" i="1"/>
  <c r="I118" i="1"/>
  <c r="J118" i="1" s="1"/>
  <c r="J117" i="1"/>
  <c r="I152" i="1"/>
  <c r="J152" i="1" s="1"/>
  <c r="J151" i="1"/>
  <c r="I67" i="1"/>
  <c r="J67" i="1" s="1"/>
  <c r="J66" i="1"/>
  <c r="I50" i="1"/>
  <c r="J50" i="1" s="1"/>
  <c r="J49" i="1"/>
  <c r="I101" i="1"/>
  <c r="J101" i="1" s="1"/>
  <c r="J100" i="1"/>
  <c r="I135" i="1"/>
  <c r="J135" i="1" s="1"/>
  <c r="J134" i="1"/>
</calcChain>
</file>

<file path=xl/sharedStrings.xml><?xml version="1.0" encoding="utf-8"?>
<sst xmlns="http://schemas.openxmlformats.org/spreadsheetml/2006/main" count="688" uniqueCount="82">
  <si>
    <t>Observations δ = 5, μ = 3, λ = 10</t>
  </si>
  <si>
    <t>Sample Mean</t>
  </si>
  <si>
    <t>Sample Variance</t>
  </si>
  <si>
    <t>CoV</t>
  </si>
  <si>
    <t>Ordered Observations</t>
  </si>
  <si>
    <t>Quartiles</t>
  </si>
  <si>
    <t>normal values</t>
  </si>
  <si>
    <t>Sample Median</t>
  </si>
  <si>
    <t>Students Quantile</t>
  </si>
  <si>
    <t>Confidence Interval, 95% confidence</t>
  </si>
  <si>
    <t>Upper Limit</t>
  </si>
  <si>
    <t>Lower Limit</t>
  </si>
  <si>
    <t>Observations δ = 5, μ = 3.5, λ = 10</t>
  </si>
  <si>
    <t>Observations δ = 5, μ = 4, λ = 10</t>
  </si>
  <si>
    <t>Observations δ = 5, μ = 4.5, λ = 10</t>
  </si>
  <si>
    <t>Observations δ = 5, μ = 5, λ = 10</t>
  </si>
  <si>
    <t>Observations δ = 5, μ = 5.5, λ = 10</t>
  </si>
  <si>
    <t>Observations δ = 5, μ = 6, λ = 10</t>
  </si>
  <si>
    <t>Observations δ = 5, μ = 6.5, λ = 10</t>
  </si>
  <si>
    <t>Observations δ = 5, μ = 7, λ = 10</t>
  </si>
  <si>
    <t>Exponential fitting of Q5</t>
  </si>
  <si>
    <t>Factors</t>
  </si>
  <si>
    <t>μ</t>
  </si>
  <si>
    <t>Observations</t>
  </si>
  <si>
    <t>δ = 5, μ = 3, λ = 10</t>
  </si>
  <si>
    <t>δ = 5, μ = 3.5, λ = 10</t>
  </si>
  <si>
    <t>δ = 5, μ = 4, λ = 10</t>
  </si>
  <si>
    <t>δ = 5, μ = 4.5, λ = 10</t>
  </si>
  <si>
    <t>δ = 5, μ = 5, λ = 10</t>
  </si>
  <si>
    <t>δ = 5, μ = 5.5, λ = 10</t>
  </si>
  <si>
    <t>δ = 5, μ = 6, λ = 10</t>
  </si>
  <si>
    <t>δ = 5, μ = 6.5, λ = 10</t>
  </si>
  <si>
    <t>δ = 5, μ = 7, λ = 10</t>
  </si>
  <si>
    <t>Linear Fitting of the transformation of Q5</t>
  </si>
  <si>
    <t>log(observations)</t>
  </si>
  <si>
    <t>Residuals</t>
  </si>
  <si>
    <t>Linear regression</t>
  </si>
  <si>
    <t>Slope</t>
  </si>
  <si>
    <t>Offset</t>
  </si>
  <si>
    <t>Testing Normal Residuals</t>
  </si>
  <si>
    <t>Normal Quantiles</t>
  </si>
  <si>
    <t>Testing Constant Std</t>
  </si>
  <si>
    <t>Predicted Response</t>
  </si>
  <si>
    <t>Testing independence</t>
  </si>
  <si>
    <t>Observation ID</t>
  </si>
  <si>
    <t>CI for parameters of Linear regression</t>
  </si>
  <si>
    <t>Students Quantiles</t>
  </si>
  <si>
    <t>SSE</t>
  </si>
  <si>
    <t>Mean</t>
  </si>
  <si>
    <t>Sum Den b1 Confidence</t>
  </si>
  <si>
    <t>Squared Total</t>
  </si>
  <si>
    <t>Upper limit</t>
  </si>
  <si>
    <t>Lower limit</t>
  </si>
  <si>
    <t>SST</t>
  </si>
  <si>
    <t>Coefficent of Determination</t>
  </si>
  <si>
    <t>CI for Predicted response</t>
  </si>
  <si>
    <t>Observations δ = 5, μ = 3, λ = 11</t>
  </si>
  <si>
    <t>Observations δ = 5, μ = 4, λ = 11</t>
  </si>
  <si>
    <t>Observations δ = 5, μ = 6, λ = 11</t>
  </si>
  <si>
    <t>Observations δ = 5, μ = 7, λ = 11</t>
  </si>
  <si>
    <t>Observations δ = 5, μ = 3, λ = 13</t>
  </si>
  <si>
    <t>Observations δ = 5, μ = 4, λ = 13</t>
  </si>
  <si>
    <t>Observations δ = 5, μ = 6, λ = 13</t>
  </si>
  <si>
    <t>Observations δ = 5, μ = 7, λ = 13</t>
  </si>
  <si>
    <t>Observations δ = 5, μ = 3, λ = 14</t>
  </si>
  <si>
    <t>Observations δ = 5, μ = 4, λ = 14</t>
  </si>
  <si>
    <t>Observations δ = 5, μ = 6, λ = 14</t>
  </si>
  <si>
    <t>Observations δ = 5, μ = 7, λ = 14</t>
  </si>
  <si>
    <t>(1/λ)/(1/μ)</t>
  </si>
  <si>
    <t>δ = 5, μ = 3, λ = 11</t>
  </si>
  <si>
    <t>δ = 5, μ = 4, λ = 11</t>
  </si>
  <si>
    <t>δ = 5, μ = 6, λ = 11</t>
  </si>
  <si>
    <t>δ = 5, μ = 7, λ = 11</t>
  </si>
  <si>
    <t>δ = 5, μ = 3, λ = 13</t>
  </si>
  <si>
    <t>δ = 5, μ = 4, λ = 13</t>
  </si>
  <si>
    <t>δ = 5, μ = 6, λ = 13</t>
  </si>
  <si>
    <t>δ = 5, μ = 7, λ = 13</t>
  </si>
  <si>
    <t>δ = 5, μ = 3, λ = 14</t>
  </si>
  <si>
    <t>δ = 5, μ = 4, λ = 14</t>
  </si>
  <si>
    <t>δ = 5, μ = 6, λ = 14</t>
  </si>
  <si>
    <t>δ = 5, μ = 7, λ = 14</t>
  </si>
  <si>
    <t>λ-μ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</si>
</sst>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3">
    <cellStyle name="Normale" xfId="0" builtinId="0"/>
    <cellStyle name="Normale 2" xfId="1" xr:uid="{BE83099F-9388-463D-BE79-AF7000CB0B0F}"/>
    <cellStyle name="Normale 3" xfId="2" xr:uid="{2A302606-8A9E-48FC-8F90-593823E6D6E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μ'!$H$2:$H$16</c:f>
              <c:numCache>
                <c:formatCode>General</c:formatCode>
                <c:ptCount val="15"/>
                <c:pt idx="0">
                  <c:v>1.0410201864741E-2</c:v>
                </c:pt>
                <c:pt idx="1">
                  <c:v>1.0411292892817E-2</c:v>
                </c:pt>
                <c:pt idx="2">
                  <c:v>1.0442104773880001E-2</c:v>
                </c:pt>
                <c:pt idx="3">
                  <c:v>1.0463883418809E-2</c:v>
                </c:pt>
                <c:pt idx="4">
                  <c:v>1.0465223784001E-2</c:v>
                </c:pt>
                <c:pt idx="5">
                  <c:v>1.0469793518288001E-2</c:v>
                </c:pt>
                <c:pt idx="6">
                  <c:v>1.0471679092465E-2</c:v>
                </c:pt>
                <c:pt idx="7">
                  <c:v>1.0481529046626E-2</c:v>
                </c:pt>
                <c:pt idx="8">
                  <c:v>1.0488187977066001E-2</c:v>
                </c:pt>
                <c:pt idx="9">
                  <c:v>1.049598355445E-2</c:v>
                </c:pt>
                <c:pt idx="10">
                  <c:v>1.0506490348009E-2</c:v>
                </c:pt>
                <c:pt idx="11">
                  <c:v>1.0562917002525001E-2</c:v>
                </c:pt>
                <c:pt idx="12">
                  <c:v>1.0564526875348E-2</c:v>
                </c:pt>
                <c:pt idx="13">
                  <c:v>1.059233399977E-2</c:v>
                </c:pt>
                <c:pt idx="14">
                  <c:v>1.0606361124314E-2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9E-4F62-BD5C-95337D55B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204507045314997"/>
                  <c:y val="0.488987377300380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0,0034e</a:t>
                    </a:r>
                    <a:r>
                      <a:rPr lang="en-US" sz="1600" baseline="30000"/>
                      <a:t>352,67x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for μ'!$B$158:$B$166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3.5000000000000001E-3</c:v>
                </c:pt>
                <c:pt idx="2">
                  <c:v>4.0000000000000001E-3</c:v>
                </c:pt>
                <c:pt idx="3">
                  <c:v>4.5000000000000005E-3</c:v>
                </c:pt>
                <c:pt idx="4">
                  <c:v>5.0000000000000001E-3</c:v>
                </c:pt>
                <c:pt idx="5">
                  <c:v>5.4999999999999997E-3</c:v>
                </c:pt>
                <c:pt idx="6">
                  <c:v>6.0000000000000001E-3</c:v>
                </c:pt>
                <c:pt idx="7">
                  <c:v>6.5000000000000006E-3</c:v>
                </c:pt>
                <c:pt idx="8">
                  <c:v>7.0000000000000001E-3</c:v>
                </c:pt>
              </c:numCache>
            </c:numRef>
          </c:xVal>
          <c:yVal>
            <c:numRef>
              <c:f>'Linear regression for μ'!$C$158:$C$166</c:f>
              <c:numCache>
                <c:formatCode>General</c:formatCode>
                <c:ptCount val="9"/>
                <c:pt idx="0">
                  <c:v>1.0495500618207266E-2</c:v>
                </c:pt>
                <c:pt idx="1">
                  <c:v>1.2014217288394134E-2</c:v>
                </c:pt>
                <c:pt idx="2">
                  <c:v>1.3829698865016201E-2</c:v>
                </c:pt>
                <c:pt idx="3">
                  <c:v>1.6028161371976067E-2</c:v>
                </c:pt>
                <c:pt idx="4">
                  <c:v>1.8823458917969268E-2</c:v>
                </c:pt>
                <c:pt idx="5">
                  <c:v>2.2441491291538732E-2</c:v>
                </c:pt>
                <c:pt idx="6">
                  <c:v>2.7223681335640269E-2</c:v>
                </c:pt>
                <c:pt idx="7">
                  <c:v>3.4013590971698197E-2</c:v>
                </c:pt>
                <c:pt idx="8">
                  <c:v>4.4375036344121536E-2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8E0-92C4-262D614B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30488244624373"/>
                  <c:y val="0.214871198005176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352,67x - 5,6813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for μ'!$B$173:$B$181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3.5000000000000001E-3</c:v>
                </c:pt>
                <c:pt idx="2">
                  <c:v>4.0000000000000001E-3</c:v>
                </c:pt>
                <c:pt idx="3">
                  <c:v>4.5000000000000005E-3</c:v>
                </c:pt>
                <c:pt idx="4">
                  <c:v>5.0000000000000001E-3</c:v>
                </c:pt>
                <c:pt idx="5">
                  <c:v>5.4999999999999997E-3</c:v>
                </c:pt>
                <c:pt idx="6">
                  <c:v>6.0000000000000001E-3</c:v>
                </c:pt>
                <c:pt idx="7">
                  <c:v>6.5000000000000006E-3</c:v>
                </c:pt>
                <c:pt idx="8">
                  <c:v>7.0000000000000001E-3</c:v>
                </c:pt>
              </c:numCache>
            </c:numRef>
          </c:xVal>
          <c:yVal>
            <c:numRef>
              <c:f>'Linear regression for μ'!$C$173:$C$181</c:f>
              <c:numCache>
                <c:formatCode>General</c:formatCode>
                <c:ptCount val="9"/>
                <c:pt idx="0">
                  <c:v>-4.5568086262080882</c:v>
                </c:pt>
                <c:pt idx="1">
                  <c:v>-4.4216645564521873</c:v>
                </c:pt>
                <c:pt idx="2">
                  <c:v>-4.2809369075832944</c:v>
                </c:pt>
                <c:pt idx="3">
                  <c:v>-4.1334080181296446</c:v>
                </c:pt>
                <c:pt idx="4">
                  <c:v>-3.9726513722344761</c:v>
                </c:pt>
                <c:pt idx="5">
                  <c:v>-3.7968437436936102</c:v>
                </c:pt>
                <c:pt idx="6">
                  <c:v>-3.6036680471253182</c:v>
                </c:pt>
                <c:pt idx="7">
                  <c:v>-3.3809950997767992</c:v>
                </c:pt>
                <c:pt idx="8">
                  <c:v>-3.1150782121644354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8-4C1E-887B-EE7E8883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μ'!$C$189:$C$197</c:f>
              <c:numCache>
                <c:formatCode>General</c:formatCode>
                <c:ptCount val="9"/>
                <c:pt idx="0">
                  <c:v>-1.5948702548629692</c:v>
                </c:pt>
                <c:pt idx="1">
                  <c:v>-0.96558119772402384</c:v>
                </c:pt>
                <c:pt idx="2">
                  <c:v>-0.58740139704861805</c:v>
                </c:pt>
                <c:pt idx="3">
                  <c:v>-0.28101035460789436</c:v>
                </c:pt>
                <c:pt idx="4">
                  <c:v>0</c:v>
                </c:pt>
                <c:pt idx="5">
                  <c:v>0.28101035460789436</c:v>
                </c:pt>
                <c:pt idx="6">
                  <c:v>0.5874013970486186</c:v>
                </c:pt>
                <c:pt idx="7">
                  <c:v>0.96558119772402384</c:v>
                </c:pt>
                <c:pt idx="8">
                  <c:v>1.5948702548629707</c:v>
                </c:pt>
              </c:numCache>
            </c:numRef>
          </c:xVal>
          <c:yVal>
            <c:numRef>
              <c:f>'Linear regression for μ'!$A$189:$A$197</c:f>
              <c:numCache>
                <c:formatCode>General</c:formatCode>
                <c:ptCount val="9"/>
                <c:pt idx="0">
                  <c:v>-5.5228743693609417E-2</c:v>
                </c:pt>
                <c:pt idx="1">
                  <c:v>-5.4701372234475798E-2</c:v>
                </c:pt>
                <c:pt idx="2">
                  <c:v>-3.9123018129644471E-2</c:v>
                </c:pt>
                <c:pt idx="3">
                  <c:v>-3.8388047125318181E-2</c:v>
                </c:pt>
                <c:pt idx="4">
                  <c:v>-1.0316907583294288E-2</c:v>
                </c:pt>
                <c:pt idx="5">
                  <c:v>7.9499002232008564E-3</c:v>
                </c:pt>
                <c:pt idx="6">
                  <c:v>2.5290443547812735E-2</c:v>
                </c:pt>
                <c:pt idx="7">
                  <c:v>6.6481373791911658E-2</c:v>
                </c:pt>
                <c:pt idx="8">
                  <c:v>9.753178783556482E-2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6-4FCB-9502-E692B3EF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for μ'!$B$201:$B$209</c:f>
              <c:strCache>
                <c:ptCount val="9"/>
                <c:pt idx="0">
                  <c:v>-4.62329</c:v>
                </c:pt>
                <c:pt idx="1">
                  <c:v>-4.446955</c:v>
                </c:pt>
                <c:pt idx="2">
                  <c:v>-4.27062</c:v>
                </c:pt>
                <c:pt idx="3">
                  <c:v>-4.094285</c:v>
                </c:pt>
                <c:pt idx="4">
                  <c:v>-3.91795</c:v>
                </c:pt>
                <c:pt idx="5">
                  <c:v>-3.741615</c:v>
                </c:pt>
                <c:pt idx="6">
                  <c:v>-3.56528</c:v>
                </c:pt>
                <c:pt idx="7">
                  <c:v>-3.388945</c:v>
                </c:pt>
                <c:pt idx="8">
                  <c:v>-3.21261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μ'!$B$201:$B$209</c:f>
              <c:numCache>
                <c:formatCode>General</c:formatCode>
                <c:ptCount val="9"/>
                <c:pt idx="0">
                  <c:v>-4.6232899999999999</c:v>
                </c:pt>
                <c:pt idx="1">
                  <c:v>-4.446955</c:v>
                </c:pt>
                <c:pt idx="2">
                  <c:v>-4.2706200000000001</c:v>
                </c:pt>
                <c:pt idx="3">
                  <c:v>-4.0942850000000002</c:v>
                </c:pt>
                <c:pt idx="4">
                  <c:v>-3.9179500000000003</c:v>
                </c:pt>
                <c:pt idx="5">
                  <c:v>-3.7416150000000004</c:v>
                </c:pt>
                <c:pt idx="6">
                  <c:v>-3.56528</c:v>
                </c:pt>
                <c:pt idx="7">
                  <c:v>-3.3889450000000001</c:v>
                </c:pt>
                <c:pt idx="8">
                  <c:v>-3.2126100000000002</c:v>
                </c:pt>
              </c:numCache>
            </c:numRef>
          </c:xVal>
          <c:yVal>
            <c:numRef>
              <c:f>'Linear regression for μ'!$A$201:$A$209</c:f>
              <c:numCache>
                <c:formatCode>General</c:formatCode>
                <c:ptCount val="9"/>
                <c:pt idx="0">
                  <c:v>6.6481373791911658E-2</c:v>
                </c:pt>
                <c:pt idx="1">
                  <c:v>2.5290443547812735E-2</c:v>
                </c:pt>
                <c:pt idx="2">
                  <c:v>-1.0316907583294288E-2</c:v>
                </c:pt>
                <c:pt idx="3">
                  <c:v>-3.9123018129644471E-2</c:v>
                </c:pt>
                <c:pt idx="4">
                  <c:v>-5.4701372234475798E-2</c:v>
                </c:pt>
                <c:pt idx="5">
                  <c:v>-5.5228743693609417E-2</c:v>
                </c:pt>
                <c:pt idx="6">
                  <c:v>-3.8388047125318181E-2</c:v>
                </c:pt>
                <c:pt idx="7">
                  <c:v>7.9499002232008564E-3</c:v>
                </c:pt>
                <c:pt idx="8">
                  <c:v>9.753178783556482E-2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A-42FF-8763-02138BF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μ'!$B$213:$B$221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'Linear regression for μ'!$A$213:$A$221</c:f>
              <c:numCache>
                <c:formatCode>General</c:formatCode>
                <c:ptCount val="9"/>
                <c:pt idx="0">
                  <c:v>6.6481373791911658E-2</c:v>
                </c:pt>
                <c:pt idx="1">
                  <c:v>2.5290443547812735E-2</c:v>
                </c:pt>
                <c:pt idx="2">
                  <c:v>-1.0316907583294288E-2</c:v>
                </c:pt>
                <c:pt idx="3">
                  <c:v>-3.9123018129644471E-2</c:v>
                </c:pt>
                <c:pt idx="4">
                  <c:v>-5.4701372234475798E-2</c:v>
                </c:pt>
                <c:pt idx="5">
                  <c:v>-5.5228743693609417E-2</c:v>
                </c:pt>
                <c:pt idx="6">
                  <c:v>-3.8388047125318181E-2</c:v>
                </c:pt>
                <c:pt idx="7">
                  <c:v>7.9499002232008564E-3</c:v>
                </c:pt>
                <c:pt idx="8">
                  <c:v>9.753178783556482E-2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7-4C45-B184-A225A723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rapp'!$H$2:$H$16</c:f>
              <c:numCache>
                <c:formatCode>General</c:formatCode>
                <c:ptCount val="15"/>
                <c:pt idx="0">
                  <c:v>1.0410201864741E-2</c:v>
                </c:pt>
                <c:pt idx="1">
                  <c:v>1.0411292892817E-2</c:v>
                </c:pt>
                <c:pt idx="2">
                  <c:v>1.0442104773880001E-2</c:v>
                </c:pt>
                <c:pt idx="3">
                  <c:v>1.0463883418809E-2</c:v>
                </c:pt>
                <c:pt idx="4">
                  <c:v>1.0465223784001E-2</c:v>
                </c:pt>
                <c:pt idx="5">
                  <c:v>1.0469793518288001E-2</c:v>
                </c:pt>
                <c:pt idx="6">
                  <c:v>1.0471679092465E-2</c:v>
                </c:pt>
                <c:pt idx="7">
                  <c:v>1.0481529046626E-2</c:v>
                </c:pt>
                <c:pt idx="8">
                  <c:v>1.0488187977066001E-2</c:v>
                </c:pt>
                <c:pt idx="9">
                  <c:v>1.049598355445E-2</c:v>
                </c:pt>
                <c:pt idx="10">
                  <c:v>1.0506490348009E-2</c:v>
                </c:pt>
                <c:pt idx="11">
                  <c:v>1.0562917002525001E-2</c:v>
                </c:pt>
                <c:pt idx="12">
                  <c:v>1.0564526875348E-2</c:v>
                </c:pt>
                <c:pt idx="13">
                  <c:v>1.059233399977E-2</c:v>
                </c:pt>
                <c:pt idx="14">
                  <c:v>1.0606361124314E-2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E7F-BEE4-E374C495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822179862985108"/>
                  <c:y val="0.591857299769716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0,0044e</a:t>
                    </a:r>
                    <a:r>
                      <a:rPr lang="en-US" sz="1600" baseline="30000"/>
                      <a:t>3140,1x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for λμ  rapp'!$B$277:$B$292</c:f>
              <c:numCache>
                <c:formatCode>General</c:formatCode>
                <c:ptCount val="16"/>
                <c:pt idx="0">
                  <c:v>2.9999999999999997E-4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6.9999999999999999E-4</c:v>
                </c:pt>
                <c:pt idx="4">
                  <c:v>2.7272727272727274E-4</c:v>
                </c:pt>
                <c:pt idx="5">
                  <c:v>3.6363636363636367E-4</c:v>
                </c:pt>
                <c:pt idx="6">
                  <c:v>5.4545454545454548E-4</c:v>
                </c:pt>
                <c:pt idx="7">
                  <c:v>6.3636363636363641E-4</c:v>
                </c:pt>
                <c:pt idx="8">
                  <c:v>2.3076923076923079E-4</c:v>
                </c:pt>
                <c:pt idx="9">
                  <c:v>3.076923076923077E-4</c:v>
                </c:pt>
                <c:pt idx="10">
                  <c:v>4.6153846153846158E-4</c:v>
                </c:pt>
                <c:pt idx="11">
                  <c:v>5.3846153846153844E-4</c:v>
                </c:pt>
                <c:pt idx="12">
                  <c:v>2.1428571428571427E-4</c:v>
                </c:pt>
                <c:pt idx="13">
                  <c:v>2.8571428571428568E-4</c:v>
                </c:pt>
                <c:pt idx="14">
                  <c:v>4.2857142857142855E-4</c:v>
                </c:pt>
                <c:pt idx="15">
                  <c:v>5.0000000000000001E-4</c:v>
                </c:pt>
              </c:numCache>
            </c:numRef>
          </c:xVal>
          <c:yVal>
            <c:numRef>
              <c:f>'Linear regression for λμ  rapp'!$C$277:$C$292</c:f>
              <c:numCache>
                <c:formatCode>General</c:formatCode>
                <c:ptCount val="16"/>
                <c:pt idx="0">
                  <c:v>1.0495500618207265E-2</c:v>
                </c:pt>
                <c:pt idx="1">
                  <c:v>1.3829698865016199E-2</c:v>
                </c:pt>
                <c:pt idx="2">
                  <c:v>2.7223681335640272E-2</c:v>
                </c:pt>
                <c:pt idx="3">
                  <c:v>4.4375036344121536E-2</c:v>
                </c:pt>
                <c:pt idx="4">
                  <c:v>1.0134223256711334E-2</c:v>
                </c:pt>
                <c:pt idx="5">
                  <c:v>1.2944619970148797E-2</c:v>
                </c:pt>
                <c:pt idx="6">
                  <c:v>2.2985916909995928E-2</c:v>
                </c:pt>
                <c:pt idx="7">
                  <c:v>3.3116487871588933E-2</c:v>
                </c:pt>
                <c:pt idx="8">
                  <c:v>9.6201849178920787E-3</c:v>
                </c:pt>
                <c:pt idx="9">
                  <c:v>1.1880433298308667E-2</c:v>
                </c:pt>
                <c:pt idx="10">
                  <c:v>1.8759460581442334E-2</c:v>
                </c:pt>
                <c:pt idx="11">
                  <c:v>2.4370919700123134E-2</c:v>
                </c:pt>
                <c:pt idx="12">
                  <c:v>9.4396823246931938E-3</c:v>
                </c:pt>
                <c:pt idx="13">
                  <c:v>1.1547376815054865E-2</c:v>
                </c:pt>
                <c:pt idx="14">
                  <c:v>1.7642505740943469E-2</c:v>
                </c:pt>
                <c:pt idx="15">
                  <c:v>2.2229736676116326E-2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3-4184-BDA9-C071646DF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7407715572357"/>
                  <c:y val="0.268351732176529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3140,1x - 5,4198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for λμ  rapp'!$B$300:$B$315</c:f>
              <c:numCache>
                <c:formatCode>General</c:formatCode>
                <c:ptCount val="16"/>
                <c:pt idx="0">
                  <c:v>2.9999999999999997E-4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6.9999999999999999E-4</c:v>
                </c:pt>
                <c:pt idx="4">
                  <c:v>2.7272727272727274E-4</c:v>
                </c:pt>
                <c:pt idx="5">
                  <c:v>3.6363636363636367E-4</c:v>
                </c:pt>
                <c:pt idx="6">
                  <c:v>5.4545454545454548E-4</c:v>
                </c:pt>
                <c:pt idx="7">
                  <c:v>6.3636363636363641E-4</c:v>
                </c:pt>
                <c:pt idx="8">
                  <c:v>2.3076923076923079E-4</c:v>
                </c:pt>
                <c:pt idx="9">
                  <c:v>3.076923076923077E-4</c:v>
                </c:pt>
                <c:pt idx="10">
                  <c:v>4.6153846153846158E-4</c:v>
                </c:pt>
                <c:pt idx="11">
                  <c:v>5.3846153846153844E-4</c:v>
                </c:pt>
                <c:pt idx="12">
                  <c:v>2.1428571428571427E-4</c:v>
                </c:pt>
                <c:pt idx="13">
                  <c:v>2.8571428571428568E-4</c:v>
                </c:pt>
                <c:pt idx="14">
                  <c:v>4.2857142857142855E-4</c:v>
                </c:pt>
                <c:pt idx="15">
                  <c:v>5.0000000000000001E-4</c:v>
                </c:pt>
              </c:numCache>
            </c:numRef>
          </c:xVal>
          <c:yVal>
            <c:numRef>
              <c:f>'Linear regression for λμ  rapp'!$C$300:$C$315</c:f>
              <c:numCache>
                <c:formatCode>General</c:formatCode>
                <c:ptCount val="16"/>
                <c:pt idx="0">
                  <c:v>-4.5568086262080882</c:v>
                </c:pt>
                <c:pt idx="1">
                  <c:v>-4.2809369075832944</c:v>
                </c:pt>
                <c:pt idx="2">
                  <c:v>-3.6036680471253182</c:v>
                </c:pt>
                <c:pt idx="3">
                  <c:v>-3.1150782121644354</c:v>
                </c:pt>
                <c:pt idx="4">
                  <c:v>-4.5918371417081563</c:v>
                </c:pt>
                <c:pt idx="5">
                  <c:v>-4.3470750234788778</c:v>
                </c:pt>
                <c:pt idx="6">
                  <c:v>-3.7728735588512947</c:v>
                </c:pt>
                <c:pt idx="7">
                  <c:v>-3.4077239976124729</c:v>
                </c:pt>
                <c:pt idx="8">
                  <c:v>-4.6438917922551628</c:v>
                </c:pt>
                <c:pt idx="9">
                  <c:v>-4.4328624927911537</c:v>
                </c:pt>
                <c:pt idx="10">
                  <c:v>-3.9760570894719125</c:v>
                </c:pt>
                <c:pt idx="11">
                  <c:v>-3.7143646730286792</c:v>
                </c:pt>
                <c:pt idx="12">
                  <c:v>-4.662832951436183</c:v>
                </c:pt>
                <c:pt idx="13">
                  <c:v>-4.4612969833886487</c:v>
                </c:pt>
                <c:pt idx="14">
                  <c:v>-4.0374441896851492</c:v>
                </c:pt>
                <c:pt idx="15">
                  <c:v>-3.8063243965050546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D-4A1E-9D68-6362902E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rapp'!$C$323:$C$338</c:f>
              <c:numCache>
                <c:formatCode>General</c:formatCode>
                <c:ptCount val="16"/>
                <c:pt idx="0">
                  <c:v>-1.8657648402099227</c:v>
                </c:pt>
                <c:pt idx="1">
                  <c:v>-1.3178098407415364</c:v>
                </c:pt>
                <c:pt idx="2">
                  <c:v>-1.0082783038771823</c:v>
                </c:pt>
                <c:pt idx="3">
                  <c:v>-0.77427005635431245</c:v>
                </c:pt>
                <c:pt idx="4">
                  <c:v>-0.57709366971925891</c:v>
                </c:pt>
                <c:pt idx="5">
                  <c:v>-0.4006301257381869</c:v>
                </c:pt>
                <c:pt idx="6">
                  <c:v>-0.23617194000999964</c:v>
                </c:pt>
                <c:pt idx="7">
                  <c:v>-7.8059966366998385E-2</c:v>
                </c:pt>
                <c:pt idx="8">
                  <c:v>7.8059966366998385E-2</c:v>
                </c:pt>
                <c:pt idx="9">
                  <c:v>0.23617194000999964</c:v>
                </c:pt>
                <c:pt idx="10">
                  <c:v>0.4006301257381869</c:v>
                </c:pt>
                <c:pt idx="11">
                  <c:v>0.57709366971925891</c:v>
                </c:pt>
                <c:pt idx="12">
                  <c:v>0.77427005635431245</c:v>
                </c:pt>
                <c:pt idx="13">
                  <c:v>1.0082783038771823</c:v>
                </c:pt>
                <c:pt idx="14">
                  <c:v>1.3178098407415364</c:v>
                </c:pt>
                <c:pt idx="15">
                  <c:v>1.8657648402099227</c:v>
                </c:pt>
              </c:numCache>
            </c:numRef>
          </c:xVal>
          <c:yVal>
            <c:numRef>
              <c:f>'Linear regression for λμ  rapp'!$A$323:$A$338</c:f>
              <c:numCache>
                <c:formatCode>General</c:formatCode>
                <c:ptCount val="16"/>
                <c:pt idx="0">
                  <c:v>-0.11717690758329447</c:v>
                </c:pt>
                <c:pt idx="1">
                  <c:v>-7.903862620808777E-2</c:v>
                </c:pt>
                <c:pt idx="2">
                  <c:v>-6.9129568933423258E-2</c:v>
                </c:pt>
                <c:pt idx="3">
                  <c:v>-6.7928047125317192E-2</c:v>
                </c:pt>
                <c:pt idx="4">
                  <c:v>-6.5855377033112283E-2</c:v>
                </c:pt>
                <c:pt idx="5">
                  <c:v>-2.8428050799065296E-2</c:v>
                </c:pt>
                <c:pt idx="6">
                  <c:v>-5.5340125488356762E-3</c:v>
                </c:pt>
                <c:pt idx="7">
                  <c:v>1.3830547842072605E-2</c:v>
                </c:pt>
                <c:pt idx="8">
                  <c:v>1.4612250048244846E-2</c:v>
                </c:pt>
                <c:pt idx="9">
                  <c:v>2.0752891824231234E-2</c:v>
                </c:pt>
                <c:pt idx="10">
                  <c:v>3.6598667457708345E-2</c:v>
                </c:pt>
                <c:pt idx="11">
                  <c:v>4.3425603494945619E-2</c:v>
                </c:pt>
                <c:pt idx="12">
                  <c:v>5.1269746206376254E-2</c:v>
                </c:pt>
                <c:pt idx="13">
                  <c:v>6.1331588039923446E-2</c:v>
                </c:pt>
                <c:pt idx="14">
                  <c:v>8.4088477135246364E-2</c:v>
                </c:pt>
                <c:pt idx="15">
                  <c:v>0.10665178783556506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8-4E59-9324-94F404F0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λμ  rapp'!$B$342:$B$357</c:f>
              <c:numCache>
                <c:formatCode>General</c:formatCode>
                <c:ptCount val="16"/>
                <c:pt idx="0">
                  <c:v>-5.4198000000000004</c:v>
                </c:pt>
                <c:pt idx="1">
                  <c:v>-4.4777700000000005</c:v>
                </c:pt>
                <c:pt idx="2">
                  <c:v>-4.1637599999999999</c:v>
                </c:pt>
                <c:pt idx="3">
                  <c:v>-3.5357400000000005</c:v>
                </c:pt>
                <c:pt idx="4">
                  <c:v>-3.2217300000000004</c:v>
                </c:pt>
                <c:pt idx="5">
                  <c:v>-4.563409090909091</c:v>
                </c:pt>
                <c:pt idx="6">
                  <c:v>-4.2779454545454545</c:v>
                </c:pt>
                <c:pt idx="7">
                  <c:v>-3.7070181818181824</c:v>
                </c:pt>
                <c:pt idx="8">
                  <c:v>-3.421554545454546</c:v>
                </c:pt>
                <c:pt idx="9">
                  <c:v>-4.6951615384615391</c:v>
                </c:pt>
                <c:pt idx="10">
                  <c:v>-4.453615384615385</c:v>
                </c:pt>
                <c:pt idx="11">
                  <c:v>-3.9705230769230773</c:v>
                </c:pt>
                <c:pt idx="12">
                  <c:v>-3.7289769230769236</c:v>
                </c:pt>
                <c:pt idx="13">
                  <c:v>-4.7469214285714294</c:v>
                </c:pt>
                <c:pt idx="14">
                  <c:v>-4.5226285714285721</c:v>
                </c:pt>
                <c:pt idx="15">
                  <c:v>-4.0740428571428575</c:v>
                </c:pt>
              </c:numCache>
            </c:numRef>
          </c:xVal>
          <c:yVal>
            <c:numRef>
              <c:f>'Linear regression for λμ  rapp'!$A$342:$A$357</c:f>
              <c:numCache>
                <c:formatCode>General</c:formatCode>
                <c:ptCount val="16"/>
                <c:pt idx="0">
                  <c:v>-7.903862620808777E-2</c:v>
                </c:pt>
                <c:pt idx="1">
                  <c:v>-0.11717690758329447</c:v>
                </c:pt>
                <c:pt idx="2">
                  <c:v>-6.7928047125317192E-2</c:v>
                </c:pt>
                <c:pt idx="3">
                  <c:v>0.10665178783556506</c:v>
                </c:pt>
                <c:pt idx="4">
                  <c:v>-2.8428050799065296E-2</c:v>
                </c:pt>
                <c:pt idx="5">
                  <c:v>-6.9129568933423258E-2</c:v>
                </c:pt>
                <c:pt idx="6">
                  <c:v>-6.5855377033112283E-2</c:v>
                </c:pt>
                <c:pt idx="7">
                  <c:v>1.3830547842072605E-2</c:v>
                </c:pt>
                <c:pt idx="8">
                  <c:v>5.1269746206376254E-2</c:v>
                </c:pt>
                <c:pt idx="9">
                  <c:v>2.0752891824231234E-2</c:v>
                </c:pt>
                <c:pt idx="10">
                  <c:v>-5.5340125488356762E-3</c:v>
                </c:pt>
                <c:pt idx="11">
                  <c:v>1.4612250048244846E-2</c:v>
                </c:pt>
                <c:pt idx="12">
                  <c:v>8.4088477135246364E-2</c:v>
                </c:pt>
                <c:pt idx="13">
                  <c:v>6.1331588039923446E-2</c:v>
                </c:pt>
                <c:pt idx="14">
                  <c:v>3.6598667457708345E-2</c:v>
                </c:pt>
                <c:pt idx="15">
                  <c:v>4.3425603494945619E-2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3-4CA0-91CA-5F6F6FEB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μ'!$H$19:$H$33</c:f>
              <c:numCache>
                <c:formatCode>General</c:formatCode>
                <c:ptCount val="15"/>
                <c:pt idx="0">
                  <c:v>1.182715181781E-2</c:v>
                </c:pt>
                <c:pt idx="1">
                  <c:v>1.1929603069483E-2</c:v>
                </c:pt>
                <c:pt idx="2">
                  <c:v>1.1943563313829999E-2</c:v>
                </c:pt>
                <c:pt idx="3">
                  <c:v>1.194820304819E-2</c:v>
                </c:pt>
                <c:pt idx="4">
                  <c:v>1.1992632197522E-2</c:v>
                </c:pt>
                <c:pt idx="5">
                  <c:v>1.1999344198786E-2</c:v>
                </c:pt>
                <c:pt idx="6">
                  <c:v>1.2006108157258E-2</c:v>
                </c:pt>
                <c:pt idx="7">
                  <c:v>1.2008260104613E-2</c:v>
                </c:pt>
                <c:pt idx="8">
                  <c:v>1.2040088766375001E-2</c:v>
                </c:pt>
                <c:pt idx="9">
                  <c:v>1.2047118485457999E-2</c:v>
                </c:pt>
                <c:pt idx="10">
                  <c:v>1.2067891140460999E-2</c:v>
                </c:pt>
                <c:pt idx="11">
                  <c:v>1.2070106920881001E-2</c:v>
                </c:pt>
                <c:pt idx="12">
                  <c:v>1.2075541292858E-2</c:v>
                </c:pt>
                <c:pt idx="13">
                  <c:v>1.2106370633704001E-2</c:v>
                </c:pt>
                <c:pt idx="14">
                  <c:v>1.2151276178683E-2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1-420C-B76D-0CE78C28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λμ  rapp'!$B$361:$B$376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'Linear regression for λμ  rapp'!$A$361:$A$376</c:f>
              <c:numCache>
                <c:formatCode>General</c:formatCode>
                <c:ptCount val="16"/>
                <c:pt idx="0">
                  <c:v>-7.903862620808777E-2</c:v>
                </c:pt>
                <c:pt idx="1">
                  <c:v>-0.11717690758329447</c:v>
                </c:pt>
                <c:pt idx="2">
                  <c:v>-6.7928047125317192E-2</c:v>
                </c:pt>
                <c:pt idx="3">
                  <c:v>0.10665178783556506</c:v>
                </c:pt>
                <c:pt idx="4">
                  <c:v>-2.8428050799065296E-2</c:v>
                </c:pt>
                <c:pt idx="5">
                  <c:v>-6.9129568933423258E-2</c:v>
                </c:pt>
                <c:pt idx="6">
                  <c:v>-6.5855377033112283E-2</c:v>
                </c:pt>
                <c:pt idx="7">
                  <c:v>1.3830547842072605E-2</c:v>
                </c:pt>
                <c:pt idx="8">
                  <c:v>5.1269746206376254E-2</c:v>
                </c:pt>
                <c:pt idx="9">
                  <c:v>2.0752891824231234E-2</c:v>
                </c:pt>
                <c:pt idx="10">
                  <c:v>-5.5340125488356762E-3</c:v>
                </c:pt>
                <c:pt idx="11">
                  <c:v>1.4612250048244846E-2</c:v>
                </c:pt>
                <c:pt idx="12">
                  <c:v>8.4088477135246364E-2</c:v>
                </c:pt>
                <c:pt idx="13">
                  <c:v>6.1331588039923446E-2</c:v>
                </c:pt>
                <c:pt idx="14">
                  <c:v>3.6598667457708345E-2</c:v>
                </c:pt>
                <c:pt idx="15">
                  <c:v>4.3425603494945619E-2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E-44D0-8999-4053B35D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rapp'!$H$19:$H$33</c:f>
              <c:numCache>
                <c:formatCode>General</c:formatCode>
                <c:ptCount val="15"/>
                <c:pt idx="0">
                  <c:v>1.3596245151938999E-2</c:v>
                </c:pt>
                <c:pt idx="1">
                  <c:v>1.3702591398253999E-2</c:v>
                </c:pt>
                <c:pt idx="2">
                  <c:v>1.3723753386758001E-2</c:v>
                </c:pt>
                <c:pt idx="3">
                  <c:v>1.3743209193934999E-2</c:v>
                </c:pt>
                <c:pt idx="4">
                  <c:v>1.3767111054314E-2</c:v>
                </c:pt>
                <c:pt idx="5">
                  <c:v>1.3782863681224999E-2</c:v>
                </c:pt>
                <c:pt idx="6">
                  <c:v>1.3791034332399E-2</c:v>
                </c:pt>
                <c:pt idx="7">
                  <c:v>1.3891109740642E-2</c:v>
                </c:pt>
                <c:pt idx="8">
                  <c:v>1.3903180639964E-2</c:v>
                </c:pt>
                <c:pt idx="9">
                  <c:v>1.3907503340134001E-2</c:v>
                </c:pt>
                <c:pt idx="10">
                  <c:v>1.3912016989949001E-2</c:v>
                </c:pt>
                <c:pt idx="11">
                  <c:v>1.3918879699360001E-2</c:v>
                </c:pt>
                <c:pt idx="12">
                  <c:v>1.392508461212E-2</c:v>
                </c:pt>
                <c:pt idx="13">
                  <c:v>1.3935991845305E-2</c:v>
                </c:pt>
                <c:pt idx="14">
                  <c:v>1.3944907908945E-2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3-442E-B01D-D7D2D129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rapp'!$H$36:$H$50</c:f>
              <c:numCache>
                <c:formatCode>General</c:formatCode>
                <c:ptCount val="15"/>
                <c:pt idx="0">
                  <c:v>2.6511283437939001E-2</c:v>
                </c:pt>
                <c:pt idx="1">
                  <c:v>2.6617144423057001E-2</c:v>
                </c:pt>
                <c:pt idx="2">
                  <c:v>2.6846662407237001E-2</c:v>
                </c:pt>
                <c:pt idx="3">
                  <c:v>2.6896695021315E-2</c:v>
                </c:pt>
                <c:pt idx="4">
                  <c:v>2.6926961688386999E-2</c:v>
                </c:pt>
                <c:pt idx="5">
                  <c:v>2.7118188589047E-2</c:v>
                </c:pt>
                <c:pt idx="6">
                  <c:v>2.7118443128808001E-2</c:v>
                </c:pt>
                <c:pt idx="7">
                  <c:v>2.7174174802022E-2</c:v>
                </c:pt>
                <c:pt idx="8">
                  <c:v>2.7420582619959999E-2</c:v>
                </c:pt>
                <c:pt idx="9">
                  <c:v>2.7435830534357001E-2</c:v>
                </c:pt>
                <c:pt idx="10">
                  <c:v>2.7529549859500999E-2</c:v>
                </c:pt>
                <c:pt idx="11">
                  <c:v>2.7616267779881999E-2</c:v>
                </c:pt>
                <c:pt idx="12">
                  <c:v>2.7632589609979E-2</c:v>
                </c:pt>
                <c:pt idx="13">
                  <c:v>2.7721689813447001E-2</c:v>
                </c:pt>
                <c:pt idx="14">
                  <c:v>2.7789156319666001E-2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D-4E17-8796-6E6E0F68E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rapp'!$H$53:$H$67</c:f>
              <c:numCache>
                <c:formatCode>General</c:formatCode>
                <c:ptCount val="15"/>
                <c:pt idx="0">
                  <c:v>4.2342712944855997E-2</c:v>
                </c:pt>
                <c:pt idx="1">
                  <c:v>4.2714306553897997E-2</c:v>
                </c:pt>
                <c:pt idx="2">
                  <c:v>4.3171747038808002E-2</c:v>
                </c:pt>
                <c:pt idx="3">
                  <c:v>4.3219361639726998E-2</c:v>
                </c:pt>
                <c:pt idx="4">
                  <c:v>4.4004845510254E-2</c:v>
                </c:pt>
                <c:pt idx="5">
                  <c:v>4.4218830248813998E-2</c:v>
                </c:pt>
                <c:pt idx="6">
                  <c:v>4.4288897423404999E-2</c:v>
                </c:pt>
                <c:pt idx="7">
                  <c:v>4.4623778503071997E-2</c:v>
                </c:pt>
                <c:pt idx="8">
                  <c:v>4.4806309890636997E-2</c:v>
                </c:pt>
                <c:pt idx="9">
                  <c:v>4.4946647302027E-2</c:v>
                </c:pt>
                <c:pt idx="10">
                  <c:v>4.5013972039176002E-2</c:v>
                </c:pt>
                <c:pt idx="11">
                  <c:v>4.5309621748615997E-2</c:v>
                </c:pt>
                <c:pt idx="12">
                  <c:v>4.5370536942896E-2</c:v>
                </c:pt>
                <c:pt idx="13">
                  <c:v>4.5390459767000998E-2</c:v>
                </c:pt>
                <c:pt idx="14">
                  <c:v>4.6203517608636002E-2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4-4CFB-B400-6667D5F52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for λμ  rapp'!$J$70</c:f>
              <c:strCache>
                <c:ptCount val="1"/>
                <c:pt idx="0">
                  <c:v>-1.836858898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rapp'!$H$70:$H$84</c:f>
              <c:numCache>
                <c:formatCode>General</c:formatCode>
                <c:ptCount val="15"/>
                <c:pt idx="0">
                  <c:v>1.0036550900473E-2</c:v>
                </c:pt>
                <c:pt idx="1">
                  <c:v>1.0041910425666E-2</c:v>
                </c:pt>
                <c:pt idx="2">
                  <c:v>1.0097037113450001E-2</c:v>
                </c:pt>
                <c:pt idx="3">
                  <c:v>1.0108249275733E-2</c:v>
                </c:pt>
                <c:pt idx="4">
                  <c:v>1.0112642980112E-2</c:v>
                </c:pt>
                <c:pt idx="5">
                  <c:v>1.0115903048036E-2</c:v>
                </c:pt>
                <c:pt idx="6">
                  <c:v>1.0129146580659E-2</c:v>
                </c:pt>
                <c:pt idx="7">
                  <c:v>1.013633782794E-2</c:v>
                </c:pt>
                <c:pt idx="8">
                  <c:v>1.0152575398119999E-2</c:v>
                </c:pt>
                <c:pt idx="9">
                  <c:v>1.0154189642828E-2</c:v>
                </c:pt>
                <c:pt idx="10">
                  <c:v>1.0160896004115001E-2</c:v>
                </c:pt>
                <c:pt idx="11">
                  <c:v>1.0175975315818001E-2</c:v>
                </c:pt>
                <c:pt idx="12">
                  <c:v>1.0184896595424001E-2</c:v>
                </c:pt>
                <c:pt idx="13">
                  <c:v>1.0200755085596E-2</c:v>
                </c:pt>
                <c:pt idx="14">
                  <c:v>1.02062826567E-2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6-49FF-98A6-7FC96B2C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rapp'!$H$87:$H$101</c:f>
              <c:numCache>
                <c:formatCode>General</c:formatCode>
                <c:ptCount val="15"/>
                <c:pt idx="0">
                  <c:v>1.2798716660784E-2</c:v>
                </c:pt>
                <c:pt idx="1">
                  <c:v>1.2809723056701999E-2</c:v>
                </c:pt>
                <c:pt idx="2">
                  <c:v>1.2856890859258001E-2</c:v>
                </c:pt>
                <c:pt idx="3">
                  <c:v>1.2872124686393999E-2</c:v>
                </c:pt>
                <c:pt idx="4">
                  <c:v>1.2875151568956E-2</c:v>
                </c:pt>
                <c:pt idx="5">
                  <c:v>1.2944766023364E-2</c:v>
                </c:pt>
                <c:pt idx="6">
                  <c:v>1.2953908850284E-2</c:v>
                </c:pt>
                <c:pt idx="7">
                  <c:v>1.296657526105E-2</c:v>
                </c:pt>
                <c:pt idx="8">
                  <c:v>1.2974907361592999E-2</c:v>
                </c:pt>
                <c:pt idx="9">
                  <c:v>1.2993974025361E-2</c:v>
                </c:pt>
                <c:pt idx="10">
                  <c:v>1.3006066782692E-2</c:v>
                </c:pt>
                <c:pt idx="11">
                  <c:v>1.3016117460049E-2</c:v>
                </c:pt>
                <c:pt idx="12">
                  <c:v>1.3028843318058999E-2</c:v>
                </c:pt>
                <c:pt idx="13">
                  <c:v>1.30345438923E-2</c:v>
                </c:pt>
                <c:pt idx="14">
                  <c:v>1.3036989745386E-2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D-4257-A4CD-8DA8E71CB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rapp'!$H$104:$H$118</c:f>
              <c:numCache>
                <c:formatCode>General</c:formatCode>
                <c:ptCount val="15"/>
                <c:pt idx="0">
                  <c:v>2.2455399387598E-2</c:v>
                </c:pt>
                <c:pt idx="1">
                  <c:v>2.2743827132258001E-2</c:v>
                </c:pt>
                <c:pt idx="2">
                  <c:v>2.2786284375437001E-2</c:v>
                </c:pt>
                <c:pt idx="3">
                  <c:v>2.2837993445198001E-2</c:v>
                </c:pt>
                <c:pt idx="4">
                  <c:v>2.2896309815653E-2</c:v>
                </c:pt>
                <c:pt idx="5">
                  <c:v>2.291448986528E-2</c:v>
                </c:pt>
                <c:pt idx="6">
                  <c:v>2.2994989297445999E-2</c:v>
                </c:pt>
                <c:pt idx="7">
                  <c:v>2.3064298324148001E-2</c:v>
                </c:pt>
                <c:pt idx="8">
                  <c:v>2.3069844106619001E-2</c:v>
                </c:pt>
                <c:pt idx="9">
                  <c:v>2.3095286210126E-2</c:v>
                </c:pt>
                <c:pt idx="10">
                  <c:v>2.3096597353243001E-2</c:v>
                </c:pt>
                <c:pt idx="11">
                  <c:v>2.3153681593866E-2</c:v>
                </c:pt>
                <c:pt idx="12">
                  <c:v>2.3182652889157999E-2</c:v>
                </c:pt>
                <c:pt idx="13">
                  <c:v>2.3184207899172998E-2</c:v>
                </c:pt>
                <c:pt idx="14">
                  <c:v>2.3312891954736001E-2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5-4E0A-BEFE-9E85F3810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rapp'!$H$121:$H$135</c:f>
              <c:numCache>
                <c:formatCode>General</c:formatCode>
                <c:ptCount val="15"/>
                <c:pt idx="0">
                  <c:v>3.2178270467082E-2</c:v>
                </c:pt>
                <c:pt idx="1">
                  <c:v>3.2193589333254002E-2</c:v>
                </c:pt>
                <c:pt idx="2">
                  <c:v>3.2562031044053003E-2</c:v>
                </c:pt>
                <c:pt idx="3">
                  <c:v>3.2927681533466001E-2</c:v>
                </c:pt>
                <c:pt idx="4">
                  <c:v>3.3005080616099997E-2</c:v>
                </c:pt>
                <c:pt idx="5">
                  <c:v>3.3023755411469999E-2</c:v>
                </c:pt>
                <c:pt idx="6">
                  <c:v>3.3151903172626E-2</c:v>
                </c:pt>
                <c:pt idx="7">
                  <c:v>3.3268501697702998E-2</c:v>
                </c:pt>
                <c:pt idx="8">
                  <c:v>3.3283161304441998E-2</c:v>
                </c:pt>
                <c:pt idx="9">
                  <c:v>3.3310977964591003E-2</c:v>
                </c:pt>
                <c:pt idx="10">
                  <c:v>3.3424527898470002E-2</c:v>
                </c:pt>
                <c:pt idx="11">
                  <c:v>3.354299425934E-2</c:v>
                </c:pt>
                <c:pt idx="12">
                  <c:v>3.3550405839570002E-2</c:v>
                </c:pt>
                <c:pt idx="13">
                  <c:v>3.3553381065733003E-2</c:v>
                </c:pt>
                <c:pt idx="14">
                  <c:v>3.3771056465934E-2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F-47A1-A55B-B79FAB44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rapp'!$H$138:$H$152</c:f>
              <c:numCache>
                <c:formatCode>General</c:formatCode>
                <c:ptCount val="15"/>
                <c:pt idx="0">
                  <c:v>9.5741960380291008E-3</c:v>
                </c:pt>
                <c:pt idx="1">
                  <c:v>9.5742258357248006E-3</c:v>
                </c:pt>
                <c:pt idx="2">
                  <c:v>9.5764117903311997E-3</c:v>
                </c:pt>
                <c:pt idx="3">
                  <c:v>9.5780248151308006E-3</c:v>
                </c:pt>
                <c:pt idx="4">
                  <c:v>9.5870109492111992E-3</c:v>
                </c:pt>
                <c:pt idx="5">
                  <c:v>9.6010304548448996E-3</c:v>
                </c:pt>
                <c:pt idx="6">
                  <c:v>9.6099163070151004E-3</c:v>
                </c:pt>
                <c:pt idx="7">
                  <c:v>9.6277139070723005E-3</c:v>
                </c:pt>
                <c:pt idx="8">
                  <c:v>9.6280823418527992E-3</c:v>
                </c:pt>
                <c:pt idx="9">
                  <c:v>9.6449404974516002E-3</c:v>
                </c:pt>
                <c:pt idx="10">
                  <c:v>9.6485665457891005E-3</c:v>
                </c:pt>
                <c:pt idx="11">
                  <c:v>9.6532286939487993E-3</c:v>
                </c:pt>
                <c:pt idx="12">
                  <c:v>9.6564432499534995E-3</c:v>
                </c:pt>
                <c:pt idx="13">
                  <c:v>9.6623147905520006E-3</c:v>
                </c:pt>
                <c:pt idx="14">
                  <c:v>9.6806675514740006E-3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F-44BF-8FA2-407CDA54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rapp'!$J$155:$J$169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rapp'!$H$155:$H$169</c:f>
              <c:numCache>
                <c:formatCode>General</c:formatCode>
                <c:ptCount val="15"/>
                <c:pt idx="0">
                  <c:v>1.1703367151213E-2</c:v>
                </c:pt>
                <c:pt idx="1">
                  <c:v>1.1823681496378999E-2</c:v>
                </c:pt>
                <c:pt idx="2">
                  <c:v>1.18311570529E-2</c:v>
                </c:pt>
                <c:pt idx="3">
                  <c:v>1.1837188491759E-2</c:v>
                </c:pt>
                <c:pt idx="4">
                  <c:v>1.1838057137189001E-2</c:v>
                </c:pt>
                <c:pt idx="5">
                  <c:v>1.1857338998161999E-2</c:v>
                </c:pt>
                <c:pt idx="6">
                  <c:v>1.1870037994233E-2</c:v>
                </c:pt>
                <c:pt idx="7">
                  <c:v>1.1883830310361001E-2</c:v>
                </c:pt>
                <c:pt idx="8">
                  <c:v>1.1885065234434E-2</c:v>
                </c:pt>
                <c:pt idx="9">
                  <c:v>1.1895921276689999E-2</c:v>
                </c:pt>
                <c:pt idx="10">
                  <c:v>1.1913700459655001E-2</c:v>
                </c:pt>
                <c:pt idx="11">
                  <c:v>1.1920995253060999E-2</c:v>
                </c:pt>
                <c:pt idx="12">
                  <c:v>1.1971861822060999E-2</c:v>
                </c:pt>
                <c:pt idx="13">
                  <c:v>1.1981158496944999E-2</c:v>
                </c:pt>
                <c:pt idx="14">
                  <c:v>1.1993138299588001E-2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5-4302-B8C3-79CEAD2A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μ'!$H$36:$H$50</c:f>
              <c:numCache>
                <c:formatCode>General</c:formatCode>
                <c:ptCount val="15"/>
                <c:pt idx="0">
                  <c:v>1.3596245151938999E-2</c:v>
                </c:pt>
                <c:pt idx="1">
                  <c:v>1.3702591398253999E-2</c:v>
                </c:pt>
                <c:pt idx="2">
                  <c:v>1.3723753386758001E-2</c:v>
                </c:pt>
                <c:pt idx="3">
                  <c:v>1.3743209193934999E-2</c:v>
                </c:pt>
                <c:pt idx="4">
                  <c:v>1.3767111054314E-2</c:v>
                </c:pt>
                <c:pt idx="5">
                  <c:v>1.3782863681224999E-2</c:v>
                </c:pt>
                <c:pt idx="6">
                  <c:v>1.3791034332399E-2</c:v>
                </c:pt>
                <c:pt idx="7">
                  <c:v>1.3891109740642E-2</c:v>
                </c:pt>
                <c:pt idx="8">
                  <c:v>1.3903180639964E-2</c:v>
                </c:pt>
                <c:pt idx="9">
                  <c:v>1.3907503340134001E-2</c:v>
                </c:pt>
                <c:pt idx="10">
                  <c:v>1.3912016989949001E-2</c:v>
                </c:pt>
                <c:pt idx="11">
                  <c:v>1.3918879699360001E-2</c:v>
                </c:pt>
                <c:pt idx="12">
                  <c:v>1.392508461212E-2</c:v>
                </c:pt>
                <c:pt idx="13">
                  <c:v>1.3935991845305E-2</c:v>
                </c:pt>
                <c:pt idx="14">
                  <c:v>1.3944907908945E-2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D-425F-B41E-5B302BAE5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rapp'!$J$172:$J$186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rapp'!$H$172:$H$186</c:f>
              <c:numCache>
                <c:formatCode>General</c:formatCode>
                <c:ptCount val="15"/>
                <c:pt idx="0">
                  <c:v>1.8429488494284999E-2</c:v>
                </c:pt>
                <c:pt idx="1">
                  <c:v>1.8596409892490999E-2</c:v>
                </c:pt>
                <c:pt idx="2">
                  <c:v>1.8611540031079999E-2</c:v>
                </c:pt>
                <c:pt idx="3">
                  <c:v>1.8671649489110001E-2</c:v>
                </c:pt>
                <c:pt idx="4">
                  <c:v>1.8689771248448998E-2</c:v>
                </c:pt>
                <c:pt idx="5">
                  <c:v>1.8726620473220001E-2</c:v>
                </c:pt>
                <c:pt idx="6">
                  <c:v>1.8756170369408999E-2</c:v>
                </c:pt>
                <c:pt idx="7">
                  <c:v>1.8785634959146001E-2</c:v>
                </c:pt>
                <c:pt idx="8">
                  <c:v>1.8805577115112999E-2</c:v>
                </c:pt>
                <c:pt idx="9">
                  <c:v>1.8819333839400001E-2</c:v>
                </c:pt>
                <c:pt idx="10">
                  <c:v>1.8836023775832E-2</c:v>
                </c:pt>
                <c:pt idx="11">
                  <c:v>1.8856730448335E-2</c:v>
                </c:pt>
                <c:pt idx="12">
                  <c:v>1.8893455099572E-2</c:v>
                </c:pt>
                <c:pt idx="13">
                  <c:v>1.8918715334756999E-2</c:v>
                </c:pt>
                <c:pt idx="14">
                  <c:v>1.8994788151436001E-2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8-49EC-80AF-0A6760607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rapp'!$J$189:$J$203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rapp'!$H$189:$H$203</c:f>
              <c:numCache>
                <c:formatCode>General</c:formatCode>
                <c:ptCount val="15"/>
                <c:pt idx="0">
                  <c:v>2.3812293933102999E-2</c:v>
                </c:pt>
                <c:pt idx="1">
                  <c:v>2.4154198467263001E-2</c:v>
                </c:pt>
                <c:pt idx="2">
                  <c:v>2.4181956070078999E-2</c:v>
                </c:pt>
                <c:pt idx="3">
                  <c:v>2.4262628625395001E-2</c:v>
                </c:pt>
                <c:pt idx="4">
                  <c:v>2.4303839690462001E-2</c:v>
                </c:pt>
                <c:pt idx="5">
                  <c:v>2.433684079818E-2</c:v>
                </c:pt>
                <c:pt idx="6">
                  <c:v>2.4365814672435999E-2</c:v>
                </c:pt>
                <c:pt idx="7">
                  <c:v>2.4388138375573E-2</c:v>
                </c:pt>
                <c:pt idx="8">
                  <c:v>2.4448122855392999E-2</c:v>
                </c:pt>
                <c:pt idx="9">
                  <c:v>2.4489699734304E-2</c:v>
                </c:pt>
                <c:pt idx="10">
                  <c:v>2.4519419685882001E-2</c:v>
                </c:pt>
                <c:pt idx="11">
                  <c:v>2.4548977636244002E-2</c:v>
                </c:pt>
                <c:pt idx="12">
                  <c:v>2.4550023929438999E-2</c:v>
                </c:pt>
                <c:pt idx="13">
                  <c:v>2.4568744184077E-2</c:v>
                </c:pt>
                <c:pt idx="14">
                  <c:v>2.4633096844016999E-2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4-457F-9226-F96AC238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rapp'!$J$206:$J$220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rapp'!$H$206:$H$220</c:f>
              <c:numCache>
                <c:formatCode>General</c:formatCode>
                <c:ptCount val="15"/>
                <c:pt idx="0">
                  <c:v>9.3747631078326E-3</c:v>
                </c:pt>
                <c:pt idx="1">
                  <c:v>9.4049020009935001E-3</c:v>
                </c:pt>
                <c:pt idx="2">
                  <c:v>9.4176745874657002E-3</c:v>
                </c:pt>
                <c:pt idx="3">
                  <c:v>9.4207177828848007E-3</c:v>
                </c:pt>
                <c:pt idx="4">
                  <c:v>9.4227445303871008E-3</c:v>
                </c:pt>
                <c:pt idx="5">
                  <c:v>9.4275056054289996E-3</c:v>
                </c:pt>
                <c:pt idx="6">
                  <c:v>9.4279609102967E-3</c:v>
                </c:pt>
                <c:pt idx="7">
                  <c:v>9.4350676372154003E-3</c:v>
                </c:pt>
                <c:pt idx="8">
                  <c:v>9.4449291520116996E-3</c:v>
                </c:pt>
                <c:pt idx="9">
                  <c:v>9.4523069868464003E-3</c:v>
                </c:pt>
                <c:pt idx="10">
                  <c:v>9.4583419099974007E-3</c:v>
                </c:pt>
                <c:pt idx="11">
                  <c:v>9.4643827926781995E-3</c:v>
                </c:pt>
                <c:pt idx="12">
                  <c:v>9.4695875850699992E-3</c:v>
                </c:pt>
                <c:pt idx="13">
                  <c:v>9.4763233923081999E-3</c:v>
                </c:pt>
                <c:pt idx="14">
                  <c:v>9.4980268889812008E-3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B-42B5-920E-ED4DDC41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rapp'!$J$223:$J$237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rapp'!$H$223:$H$237</c:f>
              <c:numCache>
                <c:formatCode>General</c:formatCode>
                <c:ptCount val="15"/>
                <c:pt idx="0">
                  <c:v>1.1339141095093999E-2</c:v>
                </c:pt>
                <c:pt idx="1">
                  <c:v>1.1509137028782999E-2</c:v>
                </c:pt>
                <c:pt idx="2">
                  <c:v>1.1510972879007E-2</c:v>
                </c:pt>
                <c:pt idx="3">
                  <c:v>1.1513638708645E-2</c:v>
                </c:pt>
                <c:pt idx="4">
                  <c:v>1.1532856172539E-2</c:v>
                </c:pt>
                <c:pt idx="5">
                  <c:v>1.1546667974914E-2</c:v>
                </c:pt>
                <c:pt idx="6">
                  <c:v>1.1556721204874E-2</c:v>
                </c:pt>
                <c:pt idx="7">
                  <c:v>1.1562076793575E-2</c:v>
                </c:pt>
                <c:pt idx="8">
                  <c:v>1.1572653259000001E-2</c:v>
                </c:pt>
                <c:pt idx="9">
                  <c:v>1.1574447648914001E-2</c:v>
                </c:pt>
                <c:pt idx="10">
                  <c:v>1.1575530677816999E-2</c:v>
                </c:pt>
                <c:pt idx="11">
                  <c:v>1.1593082173090999E-2</c:v>
                </c:pt>
                <c:pt idx="12">
                  <c:v>1.1593268959106E-2</c:v>
                </c:pt>
                <c:pt idx="13">
                  <c:v>1.1602067323752E-2</c:v>
                </c:pt>
                <c:pt idx="14">
                  <c:v>1.1628390326712E-2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C-4518-BAE9-B39720D1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rapp'!$J$240:$J$254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rapp'!$H$240:$H$254</c:f>
              <c:numCache>
                <c:formatCode>General</c:formatCode>
                <c:ptCount val="15"/>
                <c:pt idx="0">
                  <c:v>1.7361066698481E-2</c:v>
                </c:pt>
                <c:pt idx="1">
                  <c:v>1.7401067626388999E-2</c:v>
                </c:pt>
                <c:pt idx="2">
                  <c:v>1.7498173509911001E-2</c:v>
                </c:pt>
                <c:pt idx="3">
                  <c:v>1.7543682009595999E-2</c:v>
                </c:pt>
                <c:pt idx="4">
                  <c:v>1.7559163369595E-2</c:v>
                </c:pt>
                <c:pt idx="5">
                  <c:v>1.7562266464992E-2</c:v>
                </c:pt>
                <c:pt idx="6">
                  <c:v>1.7571067664973999E-2</c:v>
                </c:pt>
                <c:pt idx="7">
                  <c:v>1.7669461773187001E-2</c:v>
                </c:pt>
                <c:pt idx="8">
                  <c:v>1.7669840437241E-2</c:v>
                </c:pt>
                <c:pt idx="9">
                  <c:v>1.7684573310497002E-2</c:v>
                </c:pt>
                <c:pt idx="10">
                  <c:v>1.7746621132771E-2</c:v>
                </c:pt>
                <c:pt idx="11">
                  <c:v>1.7771371720767998E-2</c:v>
                </c:pt>
                <c:pt idx="12">
                  <c:v>1.7830712741056E-2</c:v>
                </c:pt>
                <c:pt idx="13">
                  <c:v>1.7866149773982001E-2</c:v>
                </c:pt>
                <c:pt idx="14">
                  <c:v>1.7902367880711999E-2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B02-8524-1C5132FA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 rapp'!$J$257:$J$271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 rapp'!$H$257:$H$271</c:f>
              <c:numCache>
                <c:formatCode>General</c:formatCode>
                <c:ptCount val="15"/>
                <c:pt idx="0">
                  <c:v>2.1701886093170999E-2</c:v>
                </c:pt>
                <c:pt idx="1">
                  <c:v>2.1975280141779002E-2</c:v>
                </c:pt>
                <c:pt idx="2">
                  <c:v>2.2049007345847998E-2</c:v>
                </c:pt>
                <c:pt idx="3">
                  <c:v>2.2120374645342999E-2</c:v>
                </c:pt>
                <c:pt idx="4">
                  <c:v>2.2156362956916E-2</c:v>
                </c:pt>
                <c:pt idx="5">
                  <c:v>2.2227209796819001E-2</c:v>
                </c:pt>
                <c:pt idx="6">
                  <c:v>2.2235356073477999E-2</c:v>
                </c:pt>
                <c:pt idx="7">
                  <c:v>2.2273618622620998E-2</c:v>
                </c:pt>
                <c:pt idx="8">
                  <c:v>2.2305872794806999E-2</c:v>
                </c:pt>
                <c:pt idx="9">
                  <c:v>2.2309410282126001E-2</c:v>
                </c:pt>
                <c:pt idx="10">
                  <c:v>2.2354182108834001E-2</c:v>
                </c:pt>
                <c:pt idx="11">
                  <c:v>2.2400169051247001E-2</c:v>
                </c:pt>
                <c:pt idx="12">
                  <c:v>2.2427015396857999E-2</c:v>
                </c:pt>
                <c:pt idx="13">
                  <c:v>2.2446052293887998E-2</c:v>
                </c:pt>
                <c:pt idx="14">
                  <c:v>2.2464252538010002E-2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8-45ED-9B12-75BD99A7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'!$H$2:$H$16</c:f>
              <c:numCache>
                <c:formatCode>General</c:formatCode>
                <c:ptCount val="15"/>
                <c:pt idx="0">
                  <c:v>1.0410201864741E-2</c:v>
                </c:pt>
                <c:pt idx="1">
                  <c:v>1.0411292892817E-2</c:v>
                </c:pt>
                <c:pt idx="2">
                  <c:v>1.0442104773880001E-2</c:v>
                </c:pt>
                <c:pt idx="3">
                  <c:v>1.0463883418809E-2</c:v>
                </c:pt>
                <c:pt idx="4">
                  <c:v>1.0465223784001E-2</c:v>
                </c:pt>
                <c:pt idx="5">
                  <c:v>1.0469793518288001E-2</c:v>
                </c:pt>
                <c:pt idx="6">
                  <c:v>1.0471679092465E-2</c:v>
                </c:pt>
                <c:pt idx="7">
                  <c:v>1.0481529046626E-2</c:v>
                </c:pt>
                <c:pt idx="8">
                  <c:v>1.0488187977066001E-2</c:v>
                </c:pt>
                <c:pt idx="9">
                  <c:v>1.049598355445E-2</c:v>
                </c:pt>
                <c:pt idx="10">
                  <c:v>1.0506490348009E-2</c:v>
                </c:pt>
                <c:pt idx="11">
                  <c:v>1.0562917002525001E-2</c:v>
                </c:pt>
                <c:pt idx="12">
                  <c:v>1.0564526875348E-2</c:v>
                </c:pt>
                <c:pt idx="13">
                  <c:v>1.059233399977E-2</c:v>
                </c:pt>
                <c:pt idx="14">
                  <c:v>1.0606361124314E-2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2-45C0-84A7-F341065BA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4113993140020146E-2"/>
                  <c:y val="8.88039204207280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0,0593e</a:t>
                    </a:r>
                    <a:r>
                      <a:rPr lang="en-US" sz="1600" baseline="30000"/>
                      <a:t>-180,3x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for λμ '!$B$277:$B$292</c:f>
              <c:numCache>
                <c:formatCode>General</c:formatCode>
                <c:ptCount val="16"/>
                <c:pt idx="0">
                  <c:v>7.0000000000000001E-3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0.01</c:v>
                </c:pt>
                <c:pt idx="9">
                  <c:v>9.0000000000000011E-3</c:v>
                </c:pt>
                <c:pt idx="10">
                  <c:v>7.0000000000000001E-3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0.01</c:v>
                </c:pt>
                <c:pt idx="14">
                  <c:v>8.0000000000000002E-3</c:v>
                </c:pt>
                <c:pt idx="15">
                  <c:v>7.0000000000000001E-3</c:v>
                </c:pt>
              </c:numCache>
            </c:numRef>
          </c:xVal>
          <c:yVal>
            <c:numRef>
              <c:f>'Linear regression for λμ '!$C$277:$C$292</c:f>
              <c:numCache>
                <c:formatCode>General</c:formatCode>
                <c:ptCount val="16"/>
                <c:pt idx="0">
                  <c:v>1.0495500618207265E-2</c:v>
                </c:pt>
                <c:pt idx="1">
                  <c:v>1.3829698865016199E-2</c:v>
                </c:pt>
                <c:pt idx="2">
                  <c:v>2.7223681335640272E-2</c:v>
                </c:pt>
                <c:pt idx="3">
                  <c:v>4.4375036344121536E-2</c:v>
                </c:pt>
                <c:pt idx="4">
                  <c:v>1.0134223256711334E-2</c:v>
                </c:pt>
                <c:pt idx="5">
                  <c:v>1.2944619970148797E-2</c:v>
                </c:pt>
                <c:pt idx="6">
                  <c:v>2.2985916909995928E-2</c:v>
                </c:pt>
                <c:pt idx="7">
                  <c:v>3.3116487871588933E-2</c:v>
                </c:pt>
                <c:pt idx="8">
                  <c:v>9.6201849178920787E-3</c:v>
                </c:pt>
                <c:pt idx="9">
                  <c:v>1.1880433298308667E-2</c:v>
                </c:pt>
                <c:pt idx="10">
                  <c:v>1.8759460581442334E-2</c:v>
                </c:pt>
                <c:pt idx="11">
                  <c:v>2.4370919700123134E-2</c:v>
                </c:pt>
                <c:pt idx="12">
                  <c:v>9.4396823246931938E-3</c:v>
                </c:pt>
                <c:pt idx="13">
                  <c:v>1.1547376815054865E-2</c:v>
                </c:pt>
                <c:pt idx="14">
                  <c:v>1.7642505740943469E-2</c:v>
                </c:pt>
                <c:pt idx="15">
                  <c:v>2.2229736676116326E-2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E-43BA-9010-2D5310A7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957006803148274E-2"/>
                  <c:y val="0.14229286300733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-180,33x - 2,8259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 for λμ '!$B$300:$B$315</c:f>
              <c:numCache>
                <c:formatCode>General</c:formatCode>
                <c:ptCount val="16"/>
                <c:pt idx="0">
                  <c:v>7.0000000000000001E-3</c:v>
                </c:pt>
                <c:pt idx="1">
                  <c:v>6.0000000000000001E-3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0.01</c:v>
                </c:pt>
                <c:pt idx="9">
                  <c:v>9.0000000000000011E-3</c:v>
                </c:pt>
                <c:pt idx="10">
                  <c:v>7.0000000000000001E-3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0.01</c:v>
                </c:pt>
                <c:pt idx="14">
                  <c:v>8.0000000000000002E-3</c:v>
                </c:pt>
                <c:pt idx="15">
                  <c:v>7.0000000000000001E-3</c:v>
                </c:pt>
              </c:numCache>
            </c:numRef>
          </c:xVal>
          <c:yVal>
            <c:numRef>
              <c:f>'Linear regression for λμ '!$C$300:$C$315</c:f>
              <c:numCache>
                <c:formatCode>General</c:formatCode>
                <c:ptCount val="16"/>
                <c:pt idx="0">
                  <c:v>-4.5568086262080882</c:v>
                </c:pt>
                <c:pt idx="1">
                  <c:v>-4.2809369075832944</c:v>
                </c:pt>
                <c:pt idx="2">
                  <c:v>-3.6036680471253182</c:v>
                </c:pt>
                <c:pt idx="3">
                  <c:v>-3.1150782121644354</c:v>
                </c:pt>
                <c:pt idx="4">
                  <c:v>-4.5918371417081563</c:v>
                </c:pt>
                <c:pt idx="5">
                  <c:v>-4.3470750234788778</c:v>
                </c:pt>
                <c:pt idx="6">
                  <c:v>-3.7728735588512947</c:v>
                </c:pt>
                <c:pt idx="7">
                  <c:v>-3.4077239976124729</c:v>
                </c:pt>
                <c:pt idx="8">
                  <c:v>-4.6438917922551628</c:v>
                </c:pt>
                <c:pt idx="9">
                  <c:v>-4.4328624927911537</c:v>
                </c:pt>
                <c:pt idx="10">
                  <c:v>-3.9760570894719125</c:v>
                </c:pt>
                <c:pt idx="11">
                  <c:v>-3.7143646730286792</c:v>
                </c:pt>
                <c:pt idx="12">
                  <c:v>-4.662832951436183</c:v>
                </c:pt>
                <c:pt idx="13">
                  <c:v>-4.4612969833886487</c:v>
                </c:pt>
                <c:pt idx="14">
                  <c:v>-4.0374441896851492</c:v>
                </c:pt>
                <c:pt idx="15">
                  <c:v>-3.8063243965050546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41-4F27-8886-CB51E31B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'!$C$323:$C$338</c:f>
              <c:numCache>
                <c:formatCode>General</c:formatCode>
                <c:ptCount val="16"/>
                <c:pt idx="0">
                  <c:v>-1.8657648402099227</c:v>
                </c:pt>
                <c:pt idx="1">
                  <c:v>-1.3178098407415364</c:v>
                </c:pt>
                <c:pt idx="2">
                  <c:v>-1.0082783038771823</c:v>
                </c:pt>
                <c:pt idx="3">
                  <c:v>-0.77427005635431245</c:v>
                </c:pt>
                <c:pt idx="4">
                  <c:v>-0.57709366971925891</c:v>
                </c:pt>
                <c:pt idx="5">
                  <c:v>-0.4006301257381869</c:v>
                </c:pt>
                <c:pt idx="6">
                  <c:v>-0.23617194000999964</c:v>
                </c:pt>
                <c:pt idx="7">
                  <c:v>-7.8059966366998385E-2</c:v>
                </c:pt>
                <c:pt idx="8">
                  <c:v>7.8059966366998385E-2</c:v>
                </c:pt>
                <c:pt idx="9">
                  <c:v>0.23617194000999964</c:v>
                </c:pt>
                <c:pt idx="10">
                  <c:v>0.4006301257381869</c:v>
                </c:pt>
                <c:pt idx="11">
                  <c:v>0.57709366971925891</c:v>
                </c:pt>
                <c:pt idx="12">
                  <c:v>0.77427005635431245</c:v>
                </c:pt>
                <c:pt idx="13">
                  <c:v>1.0082783038771823</c:v>
                </c:pt>
                <c:pt idx="14">
                  <c:v>1.3178098407415364</c:v>
                </c:pt>
                <c:pt idx="15">
                  <c:v>1.8657648402099227</c:v>
                </c:pt>
              </c:numCache>
            </c:numRef>
          </c:xVal>
          <c:yVal>
            <c:numRef>
              <c:f>'Linear regression for λμ '!$A$323:$A$338</c:f>
              <c:numCache>
                <c:formatCode>General</c:formatCode>
                <c:ptCount val="16"/>
                <c:pt idx="0">
                  <c:v>-0.46859862620808812</c:v>
                </c:pt>
                <c:pt idx="1">
                  <c:v>-0.37305690758329435</c:v>
                </c:pt>
                <c:pt idx="2">
                  <c:v>-0.32329714170815649</c:v>
                </c:pt>
                <c:pt idx="3">
                  <c:v>-0.25886502347887763</c:v>
                </c:pt>
                <c:pt idx="4">
                  <c:v>-5.6448047125318368E-2</c:v>
                </c:pt>
                <c:pt idx="5">
                  <c:v>-4.5323558851294798E-2</c:v>
                </c:pt>
                <c:pt idx="6">
                  <c:v>-1.4691792255162817E-2</c:v>
                </c:pt>
                <c:pt idx="7">
                  <c:v>1.6007507208846583E-2</c:v>
                </c:pt>
                <c:pt idx="8">
                  <c:v>0.11215291052808762</c:v>
                </c:pt>
                <c:pt idx="9">
                  <c:v>0.13949600238752691</c:v>
                </c:pt>
                <c:pt idx="10">
                  <c:v>0.1466970485638166</c:v>
                </c:pt>
                <c:pt idx="11">
                  <c:v>0.16790301661135132</c:v>
                </c:pt>
                <c:pt idx="12">
                  <c:v>0.19351532697132079</c:v>
                </c:pt>
                <c:pt idx="13">
                  <c:v>0.2310958103148506</c:v>
                </c:pt>
                <c:pt idx="14">
                  <c:v>0.25181178783556479</c:v>
                </c:pt>
                <c:pt idx="15">
                  <c:v>0.28188560349494551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E-4D29-A3CC-02AC8AE7C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μ'!$H$53:$H$67</c:f>
              <c:numCache>
                <c:formatCode>General</c:formatCode>
                <c:ptCount val="15"/>
                <c:pt idx="0">
                  <c:v>1.5793215667728001E-2</c:v>
                </c:pt>
                <c:pt idx="1">
                  <c:v>1.579415978076E-2</c:v>
                </c:pt>
                <c:pt idx="2">
                  <c:v>1.5802104073394999E-2</c:v>
                </c:pt>
                <c:pt idx="3">
                  <c:v>1.5942262739487002E-2</c:v>
                </c:pt>
                <c:pt idx="4">
                  <c:v>1.5952975608454E-2</c:v>
                </c:pt>
                <c:pt idx="5">
                  <c:v>1.5955946343875999E-2</c:v>
                </c:pt>
                <c:pt idx="6">
                  <c:v>1.6029075565724998E-2</c:v>
                </c:pt>
                <c:pt idx="7">
                  <c:v>1.6043369483811999E-2</c:v>
                </c:pt>
                <c:pt idx="8">
                  <c:v>1.6063174976818001E-2</c:v>
                </c:pt>
                <c:pt idx="9">
                  <c:v>1.6103806046625001E-2</c:v>
                </c:pt>
                <c:pt idx="10">
                  <c:v>1.6118853613483999E-2</c:v>
                </c:pt>
                <c:pt idx="11">
                  <c:v>1.6187288007112E-2</c:v>
                </c:pt>
                <c:pt idx="12">
                  <c:v>1.6193730630806001E-2</c:v>
                </c:pt>
                <c:pt idx="13">
                  <c:v>1.6210876263792001E-2</c:v>
                </c:pt>
                <c:pt idx="14">
                  <c:v>1.6231581777766999E-2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4-44C1-829F-A3824D687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λμ '!$B$342:$B$357</c:f>
              <c:numCache>
                <c:formatCode>General</c:formatCode>
                <c:ptCount val="16"/>
                <c:pt idx="0">
                  <c:v>-2.8258999999999999</c:v>
                </c:pt>
                <c:pt idx="1">
                  <c:v>-4.0882100000000001</c:v>
                </c:pt>
                <c:pt idx="2">
                  <c:v>-3.90788</c:v>
                </c:pt>
                <c:pt idx="3">
                  <c:v>-3.5472199999999998</c:v>
                </c:pt>
                <c:pt idx="4">
                  <c:v>-3.3668899999999997</c:v>
                </c:pt>
                <c:pt idx="5">
                  <c:v>-4.2685399999999998</c:v>
                </c:pt>
                <c:pt idx="6">
                  <c:v>-4.0882100000000001</c:v>
                </c:pt>
                <c:pt idx="7">
                  <c:v>-3.7275499999999999</c:v>
                </c:pt>
                <c:pt idx="8">
                  <c:v>-3.5472199999999998</c:v>
                </c:pt>
                <c:pt idx="9">
                  <c:v>-4.6292</c:v>
                </c:pt>
                <c:pt idx="10">
                  <c:v>-4.4488700000000003</c:v>
                </c:pt>
                <c:pt idx="11">
                  <c:v>-4.0882100000000001</c:v>
                </c:pt>
                <c:pt idx="12">
                  <c:v>-3.90788</c:v>
                </c:pt>
                <c:pt idx="13">
                  <c:v>-4.8095299999999996</c:v>
                </c:pt>
                <c:pt idx="14">
                  <c:v>-4.6292</c:v>
                </c:pt>
                <c:pt idx="15">
                  <c:v>-4.2685399999999998</c:v>
                </c:pt>
              </c:numCache>
            </c:numRef>
          </c:xVal>
          <c:yVal>
            <c:numRef>
              <c:f>'Linear regression for λμ '!$A$342:$A$357</c:f>
              <c:numCache>
                <c:formatCode>General</c:formatCode>
                <c:ptCount val="16"/>
                <c:pt idx="0">
                  <c:v>-0.46859862620808812</c:v>
                </c:pt>
                <c:pt idx="1">
                  <c:v>-0.37305690758329435</c:v>
                </c:pt>
                <c:pt idx="2">
                  <c:v>-5.6448047125318368E-2</c:v>
                </c:pt>
                <c:pt idx="3">
                  <c:v>0.25181178783556479</c:v>
                </c:pt>
                <c:pt idx="4">
                  <c:v>-0.32329714170815649</c:v>
                </c:pt>
                <c:pt idx="5">
                  <c:v>-0.25886502347887763</c:v>
                </c:pt>
                <c:pt idx="6">
                  <c:v>-4.5323558851294798E-2</c:v>
                </c:pt>
                <c:pt idx="7">
                  <c:v>0.13949600238752691</c:v>
                </c:pt>
                <c:pt idx="8">
                  <c:v>-1.4691792255162817E-2</c:v>
                </c:pt>
                <c:pt idx="9">
                  <c:v>1.6007507208846583E-2</c:v>
                </c:pt>
                <c:pt idx="10">
                  <c:v>0.11215291052808762</c:v>
                </c:pt>
                <c:pt idx="11">
                  <c:v>0.19351532697132079</c:v>
                </c:pt>
                <c:pt idx="12">
                  <c:v>0.1466970485638166</c:v>
                </c:pt>
                <c:pt idx="13">
                  <c:v>0.16790301661135132</c:v>
                </c:pt>
                <c:pt idx="14">
                  <c:v>0.2310958103148506</c:v>
                </c:pt>
                <c:pt idx="15">
                  <c:v>0.28188560349494551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41-47A1-96E5-F8B1C84E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λμ '!$B$361:$B$376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'Linear regression for λμ '!$A$361:$A$376</c:f>
              <c:numCache>
                <c:formatCode>General</c:formatCode>
                <c:ptCount val="16"/>
                <c:pt idx="0">
                  <c:v>-0.46859862620808812</c:v>
                </c:pt>
                <c:pt idx="1">
                  <c:v>-0.37305690758329435</c:v>
                </c:pt>
                <c:pt idx="2">
                  <c:v>-5.6448047125318368E-2</c:v>
                </c:pt>
                <c:pt idx="3">
                  <c:v>0.25181178783556479</c:v>
                </c:pt>
                <c:pt idx="4">
                  <c:v>-0.32329714170815649</c:v>
                </c:pt>
                <c:pt idx="5">
                  <c:v>-0.25886502347887763</c:v>
                </c:pt>
                <c:pt idx="6">
                  <c:v>-4.5323558851294798E-2</c:v>
                </c:pt>
                <c:pt idx="7">
                  <c:v>0.13949600238752691</c:v>
                </c:pt>
                <c:pt idx="8">
                  <c:v>-1.4691792255162817E-2</c:v>
                </c:pt>
                <c:pt idx="9">
                  <c:v>1.6007507208846583E-2</c:v>
                </c:pt>
                <c:pt idx="10">
                  <c:v>0.11215291052808762</c:v>
                </c:pt>
                <c:pt idx="11">
                  <c:v>0.19351532697132079</c:v>
                </c:pt>
                <c:pt idx="12">
                  <c:v>0.1466970485638166</c:v>
                </c:pt>
                <c:pt idx="13">
                  <c:v>0.16790301661135132</c:v>
                </c:pt>
                <c:pt idx="14">
                  <c:v>0.2310958103148506</c:v>
                </c:pt>
                <c:pt idx="15">
                  <c:v>0.28188560349494551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5-4D19-B65C-1DF4DE30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'!$H$19:$H$33</c:f>
              <c:numCache>
                <c:formatCode>General</c:formatCode>
                <c:ptCount val="15"/>
                <c:pt idx="0">
                  <c:v>1.3596245151938999E-2</c:v>
                </c:pt>
                <c:pt idx="1">
                  <c:v>1.3702591398253999E-2</c:v>
                </c:pt>
                <c:pt idx="2">
                  <c:v>1.3723753386758001E-2</c:v>
                </c:pt>
                <c:pt idx="3">
                  <c:v>1.3743209193934999E-2</c:v>
                </c:pt>
                <c:pt idx="4">
                  <c:v>1.3767111054314E-2</c:v>
                </c:pt>
                <c:pt idx="5">
                  <c:v>1.3782863681224999E-2</c:v>
                </c:pt>
                <c:pt idx="6">
                  <c:v>1.3791034332399E-2</c:v>
                </c:pt>
                <c:pt idx="7">
                  <c:v>1.3891109740642E-2</c:v>
                </c:pt>
                <c:pt idx="8">
                  <c:v>1.3903180639964E-2</c:v>
                </c:pt>
                <c:pt idx="9">
                  <c:v>1.3907503340134001E-2</c:v>
                </c:pt>
                <c:pt idx="10">
                  <c:v>1.3912016989949001E-2</c:v>
                </c:pt>
                <c:pt idx="11">
                  <c:v>1.3918879699360001E-2</c:v>
                </c:pt>
                <c:pt idx="12">
                  <c:v>1.392508461212E-2</c:v>
                </c:pt>
                <c:pt idx="13">
                  <c:v>1.3935991845305E-2</c:v>
                </c:pt>
                <c:pt idx="14">
                  <c:v>1.3944907908945E-2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3F-425B-8C7F-E8051E89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'!$H$36:$H$50</c:f>
              <c:numCache>
                <c:formatCode>General</c:formatCode>
                <c:ptCount val="15"/>
                <c:pt idx="0">
                  <c:v>2.6511283437939001E-2</c:v>
                </c:pt>
                <c:pt idx="1">
                  <c:v>2.6617144423057001E-2</c:v>
                </c:pt>
                <c:pt idx="2">
                  <c:v>2.6846662407237001E-2</c:v>
                </c:pt>
                <c:pt idx="3">
                  <c:v>2.6896695021315E-2</c:v>
                </c:pt>
                <c:pt idx="4">
                  <c:v>2.6926961688386999E-2</c:v>
                </c:pt>
                <c:pt idx="5">
                  <c:v>2.7118188589047E-2</c:v>
                </c:pt>
                <c:pt idx="6">
                  <c:v>2.7118443128808001E-2</c:v>
                </c:pt>
                <c:pt idx="7">
                  <c:v>2.7174174802022E-2</c:v>
                </c:pt>
                <c:pt idx="8">
                  <c:v>2.7420582619959999E-2</c:v>
                </c:pt>
                <c:pt idx="9">
                  <c:v>2.7435830534357001E-2</c:v>
                </c:pt>
                <c:pt idx="10">
                  <c:v>2.7529549859500999E-2</c:v>
                </c:pt>
                <c:pt idx="11">
                  <c:v>2.7616267779881999E-2</c:v>
                </c:pt>
                <c:pt idx="12">
                  <c:v>2.7632589609979E-2</c:v>
                </c:pt>
                <c:pt idx="13">
                  <c:v>2.7721689813447001E-2</c:v>
                </c:pt>
                <c:pt idx="14">
                  <c:v>2.7789156319666001E-2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39-4064-8E8A-FE1B6FA5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'!$H$53:$H$67</c:f>
              <c:numCache>
                <c:formatCode>General</c:formatCode>
                <c:ptCount val="15"/>
                <c:pt idx="0">
                  <c:v>4.2342712944855997E-2</c:v>
                </c:pt>
                <c:pt idx="1">
                  <c:v>4.2714306553897997E-2</c:v>
                </c:pt>
                <c:pt idx="2">
                  <c:v>4.3171747038808002E-2</c:v>
                </c:pt>
                <c:pt idx="3">
                  <c:v>4.3219361639726998E-2</c:v>
                </c:pt>
                <c:pt idx="4">
                  <c:v>4.4004845510254E-2</c:v>
                </c:pt>
                <c:pt idx="5">
                  <c:v>4.4218830248813998E-2</c:v>
                </c:pt>
                <c:pt idx="6">
                  <c:v>4.4288897423404999E-2</c:v>
                </c:pt>
                <c:pt idx="7">
                  <c:v>4.4623778503071997E-2</c:v>
                </c:pt>
                <c:pt idx="8">
                  <c:v>4.4806309890636997E-2</c:v>
                </c:pt>
                <c:pt idx="9">
                  <c:v>4.4946647302027E-2</c:v>
                </c:pt>
                <c:pt idx="10">
                  <c:v>4.5013972039176002E-2</c:v>
                </c:pt>
                <c:pt idx="11">
                  <c:v>4.5309621748615997E-2</c:v>
                </c:pt>
                <c:pt idx="12">
                  <c:v>4.5370536942896E-2</c:v>
                </c:pt>
                <c:pt idx="13">
                  <c:v>4.5390459767000998E-2</c:v>
                </c:pt>
                <c:pt idx="14">
                  <c:v>4.6203517608636002E-2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0-49A8-9A2C-9841F120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for λμ '!$J$70</c:f>
              <c:strCache>
                <c:ptCount val="1"/>
                <c:pt idx="0">
                  <c:v>-1.836858898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'!$H$70:$H$84</c:f>
              <c:numCache>
                <c:formatCode>General</c:formatCode>
                <c:ptCount val="15"/>
                <c:pt idx="0">
                  <c:v>1.0036550900473E-2</c:v>
                </c:pt>
                <c:pt idx="1">
                  <c:v>1.0041910425666E-2</c:v>
                </c:pt>
                <c:pt idx="2">
                  <c:v>1.0097037113450001E-2</c:v>
                </c:pt>
                <c:pt idx="3">
                  <c:v>1.0108249275733E-2</c:v>
                </c:pt>
                <c:pt idx="4">
                  <c:v>1.0112642980112E-2</c:v>
                </c:pt>
                <c:pt idx="5">
                  <c:v>1.0115903048036E-2</c:v>
                </c:pt>
                <c:pt idx="6">
                  <c:v>1.0129146580659E-2</c:v>
                </c:pt>
                <c:pt idx="7">
                  <c:v>1.013633782794E-2</c:v>
                </c:pt>
                <c:pt idx="8">
                  <c:v>1.0152575398119999E-2</c:v>
                </c:pt>
                <c:pt idx="9">
                  <c:v>1.0154189642828E-2</c:v>
                </c:pt>
                <c:pt idx="10">
                  <c:v>1.0160896004115001E-2</c:v>
                </c:pt>
                <c:pt idx="11">
                  <c:v>1.0175975315818001E-2</c:v>
                </c:pt>
                <c:pt idx="12">
                  <c:v>1.0184896595424001E-2</c:v>
                </c:pt>
                <c:pt idx="13">
                  <c:v>1.0200755085596E-2</c:v>
                </c:pt>
                <c:pt idx="14">
                  <c:v>1.02062826567E-2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D-46E6-A955-BD94BD44E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'!$H$87:$H$101</c:f>
              <c:numCache>
                <c:formatCode>General</c:formatCode>
                <c:ptCount val="15"/>
                <c:pt idx="0">
                  <c:v>1.2798716660784E-2</c:v>
                </c:pt>
                <c:pt idx="1">
                  <c:v>1.2809723056701999E-2</c:v>
                </c:pt>
                <c:pt idx="2">
                  <c:v>1.2856890859258001E-2</c:v>
                </c:pt>
                <c:pt idx="3">
                  <c:v>1.2872124686393999E-2</c:v>
                </c:pt>
                <c:pt idx="4">
                  <c:v>1.2875151568956E-2</c:v>
                </c:pt>
                <c:pt idx="5">
                  <c:v>1.2944766023364E-2</c:v>
                </c:pt>
                <c:pt idx="6">
                  <c:v>1.2953908850284E-2</c:v>
                </c:pt>
                <c:pt idx="7">
                  <c:v>1.296657526105E-2</c:v>
                </c:pt>
                <c:pt idx="8">
                  <c:v>1.2974907361592999E-2</c:v>
                </c:pt>
                <c:pt idx="9">
                  <c:v>1.2993974025361E-2</c:v>
                </c:pt>
                <c:pt idx="10">
                  <c:v>1.3006066782692E-2</c:v>
                </c:pt>
                <c:pt idx="11">
                  <c:v>1.3016117460049E-2</c:v>
                </c:pt>
                <c:pt idx="12">
                  <c:v>1.3028843318058999E-2</c:v>
                </c:pt>
                <c:pt idx="13">
                  <c:v>1.30345438923E-2</c:v>
                </c:pt>
                <c:pt idx="14">
                  <c:v>1.3036989745386E-2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AE-4CDE-A203-461BFD6A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'!$H$104:$H$118</c:f>
              <c:numCache>
                <c:formatCode>General</c:formatCode>
                <c:ptCount val="15"/>
                <c:pt idx="0">
                  <c:v>2.2455399387598E-2</c:v>
                </c:pt>
                <c:pt idx="1">
                  <c:v>2.2743827132258001E-2</c:v>
                </c:pt>
                <c:pt idx="2">
                  <c:v>2.2786284375437001E-2</c:v>
                </c:pt>
                <c:pt idx="3">
                  <c:v>2.2837993445198001E-2</c:v>
                </c:pt>
                <c:pt idx="4">
                  <c:v>2.2896309815653E-2</c:v>
                </c:pt>
                <c:pt idx="5">
                  <c:v>2.291448986528E-2</c:v>
                </c:pt>
                <c:pt idx="6">
                  <c:v>2.2994989297445999E-2</c:v>
                </c:pt>
                <c:pt idx="7">
                  <c:v>2.3064298324148001E-2</c:v>
                </c:pt>
                <c:pt idx="8">
                  <c:v>2.3069844106619001E-2</c:v>
                </c:pt>
                <c:pt idx="9">
                  <c:v>2.3095286210126E-2</c:v>
                </c:pt>
                <c:pt idx="10">
                  <c:v>2.3096597353243001E-2</c:v>
                </c:pt>
                <c:pt idx="11">
                  <c:v>2.3153681593866E-2</c:v>
                </c:pt>
                <c:pt idx="12">
                  <c:v>2.3182652889157999E-2</c:v>
                </c:pt>
                <c:pt idx="13">
                  <c:v>2.3184207899172998E-2</c:v>
                </c:pt>
                <c:pt idx="14">
                  <c:v>2.3312891954736001E-2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1-4775-B41B-F8B6AD76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'!$H$121:$H$135</c:f>
              <c:numCache>
                <c:formatCode>General</c:formatCode>
                <c:ptCount val="15"/>
                <c:pt idx="0">
                  <c:v>3.2178270467082E-2</c:v>
                </c:pt>
                <c:pt idx="1">
                  <c:v>3.2193589333254002E-2</c:v>
                </c:pt>
                <c:pt idx="2">
                  <c:v>3.2562031044053003E-2</c:v>
                </c:pt>
                <c:pt idx="3">
                  <c:v>3.2927681533466001E-2</c:v>
                </c:pt>
                <c:pt idx="4">
                  <c:v>3.3005080616099997E-2</c:v>
                </c:pt>
                <c:pt idx="5">
                  <c:v>3.3023755411469999E-2</c:v>
                </c:pt>
                <c:pt idx="6">
                  <c:v>3.3151903172626E-2</c:v>
                </c:pt>
                <c:pt idx="7">
                  <c:v>3.3268501697702998E-2</c:v>
                </c:pt>
                <c:pt idx="8">
                  <c:v>3.3283161304441998E-2</c:v>
                </c:pt>
                <c:pt idx="9">
                  <c:v>3.3310977964591003E-2</c:v>
                </c:pt>
                <c:pt idx="10">
                  <c:v>3.3424527898470002E-2</c:v>
                </c:pt>
                <c:pt idx="11">
                  <c:v>3.354299425934E-2</c:v>
                </c:pt>
                <c:pt idx="12">
                  <c:v>3.3550405839570002E-2</c:v>
                </c:pt>
                <c:pt idx="13">
                  <c:v>3.3553381065733003E-2</c:v>
                </c:pt>
                <c:pt idx="14">
                  <c:v>3.3771056465934E-2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8-4D11-9DAD-673C0AF1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'!$H$138:$H$152</c:f>
              <c:numCache>
                <c:formatCode>General</c:formatCode>
                <c:ptCount val="15"/>
                <c:pt idx="0">
                  <c:v>9.5741960380291008E-3</c:v>
                </c:pt>
                <c:pt idx="1">
                  <c:v>9.5742258357248006E-3</c:v>
                </c:pt>
                <c:pt idx="2">
                  <c:v>9.5764117903311997E-3</c:v>
                </c:pt>
                <c:pt idx="3">
                  <c:v>9.5780248151308006E-3</c:v>
                </c:pt>
                <c:pt idx="4">
                  <c:v>9.5870109492111992E-3</c:v>
                </c:pt>
                <c:pt idx="5">
                  <c:v>9.6010304548448996E-3</c:v>
                </c:pt>
                <c:pt idx="6">
                  <c:v>9.6099163070151004E-3</c:v>
                </c:pt>
                <c:pt idx="7">
                  <c:v>9.6277139070723005E-3</c:v>
                </c:pt>
                <c:pt idx="8">
                  <c:v>9.6280823418527992E-3</c:v>
                </c:pt>
                <c:pt idx="9">
                  <c:v>9.6449404974516002E-3</c:v>
                </c:pt>
                <c:pt idx="10">
                  <c:v>9.6485665457891005E-3</c:v>
                </c:pt>
                <c:pt idx="11">
                  <c:v>9.6532286939487993E-3</c:v>
                </c:pt>
                <c:pt idx="12">
                  <c:v>9.6564432499534995E-3</c:v>
                </c:pt>
                <c:pt idx="13">
                  <c:v>9.6623147905520006E-3</c:v>
                </c:pt>
                <c:pt idx="14">
                  <c:v>9.6806675514740006E-3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9-4D42-A78C-A6CC6AF4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μ'!$H$70:$H$84</c:f>
              <c:numCache>
                <c:formatCode>General</c:formatCode>
                <c:ptCount val="15"/>
                <c:pt idx="0">
                  <c:v>1.8285049526882001E-2</c:v>
                </c:pt>
                <c:pt idx="1">
                  <c:v>1.8548080628358998E-2</c:v>
                </c:pt>
                <c:pt idx="2">
                  <c:v>1.8564608884743001E-2</c:v>
                </c:pt>
                <c:pt idx="3">
                  <c:v>1.8668500327054E-2</c:v>
                </c:pt>
                <c:pt idx="4">
                  <c:v>1.8711001016622E-2</c:v>
                </c:pt>
                <c:pt idx="5">
                  <c:v>1.8771685052089999E-2</c:v>
                </c:pt>
                <c:pt idx="6">
                  <c:v>1.8837430192886001E-2</c:v>
                </c:pt>
                <c:pt idx="7">
                  <c:v>1.8877358970581001E-2</c:v>
                </c:pt>
                <c:pt idx="8">
                  <c:v>1.8904905359772999E-2</c:v>
                </c:pt>
                <c:pt idx="9">
                  <c:v>1.8927233832281998E-2</c:v>
                </c:pt>
                <c:pt idx="10">
                  <c:v>1.8932792993983E-2</c:v>
                </c:pt>
                <c:pt idx="11">
                  <c:v>1.8957740971330999E-2</c:v>
                </c:pt>
                <c:pt idx="12">
                  <c:v>1.9005978304688999E-2</c:v>
                </c:pt>
                <c:pt idx="13">
                  <c:v>1.9149834545683999E-2</c:v>
                </c:pt>
                <c:pt idx="14">
                  <c:v>1.920968316258E-2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5-4C58-9030-E01AAC97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'!$J$155:$J$169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'!$H$155:$H$169</c:f>
              <c:numCache>
                <c:formatCode>General</c:formatCode>
                <c:ptCount val="15"/>
                <c:pt idx="0">
                  <c:v>1.1703367151213E-2</c:v>
                </c:pt>
                <c:pt idx="1">
                  <c:v>1.1823681496378999E-2</c:v>
                </c:pt>
                <c:pt idx="2">
                  <c:v>1.18311570529E-2</c:v>
                </c:pt>
                <c:pt idx="3">
                  <c:v>1.1837188491759E-2</c:v>
                </c:pt>
                <c:pt idx="4">
                  <c:v>1.1838057137189001E-2</c:v>
                </c:pt>
                <c:pt idx="5">
                  <c:v>1.1857338998161999E-2</c:v>
                </c:pt>
                <c:pt idx="6">
                  <c:v>1.1870037994233E-2</c:v>
                </c:pt>
                <c:pt idx="7">
                  <c:v>1.1883830310361001E-2</c:v>
                </c:pt>
                <c:pt idx="8">
                  <c:v>1.1885065234434E-2</c:v>
                </c:pt>
                <c:pt idx="9">
                  <c:v>1.1895921276689999E-2</c:v>
                </c:pt>
                <c:pt idx="10">
                  <c:v>1.1913700459655001E-2</c:v>
                </c:pt>
                <c:pt idx="11">
                  <c:v>1.1920995253060999E-2</c:v>
                </c:pt>
                <c:pt idx="12">
                  <c:v>1.1971861822060999E-2</c:v>
                </c:pt>
                <c:pt idx="13">
                  <c:v>1.1981158496944999E-2</c:v>
                </c:pt>
                <c:pt idx="14">
                  <c:v>1.1993138299588001E-2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5C-4C59-AE43-C87A580A0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'!$J$172:$J$186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'!$H$172:$H$186</c:f>
              <c:numCache>
                <c:formatCode>General</c:formatCode>
                <c:ptCount val="15"/>
                <c:pt idx="0">
                  <c:v>1.8429488494284999E-2</c:v>
                </c:pt>
                <c:pt idx="1">
                  <c:v>1.8596409892490999E-2</c:v>
                </c:pt>
                <c:pt idx="2">
                  <c:v>1.8611540031079999E-2</c:v>
                </c:pt>
                <c:pt idx="3">
                  <c:v>1.8671649489110001E-2</c:v>
                </c:pt>
                <c:pt idx="4">
                  <c:v>1.8689771248448998E-2</c:v>
                </c:pt>
                <c:pt idx="5">
                  <c:v>1.8726620473220001E-2</c:v>
                </c:pt>
                <c:pt idx="6">
                  <c:v>1.8756170369408999E-2</c:v>
                </c:pt>
                <c:pt idx="7">
                  <c:v>1.8785634959146001E-2</c:v>
                </c:pt>
                <c:pt idx="8">
                  <c:v>1.8805577115112999E-2</c:v>
                </c:pt>
                <c:pt idx="9">
                  <c:v>1.8819333839400001E-2</c:v>
                </c:pt>
                <c:pt idx="10">
                  <c:v>1.8836023775832E-2</c:v>
                </c:pt>
                <c:pt idx="11">
                  <c:v>1.8856730448335E-2</c:v>
                </c:pt>
                <c:pt idx="12">
                  <c:v>1.8893455099572E-2</c:v>
                </c:pt>
                <c:pt idx="13">
                  <c:v>1.8918715334756999E-2</c:v>
                </c:pt>
                <c:pt idx="14">
                  <c:v>1.8994788151436001E-2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EE-448E-9BEE-CEF9339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'!$J$189:$J$203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'!$H$189:$H$203</c:f>
              <c:numCache>
                <c:formatCode>General</c:formatCode>
                <c:ptCount val="15"/>
                <c:pt idx="0">
                  <c:v>2.3812293933102999E-2</c:v>
                </c:pt>
                <c:pt idx="1">
                  <c:v>2.4154198467263001E-2</c:v>
                </c:pt>
                <c:pt idx="2">
                  <c:v>2.4181956070078999E-2</c:v>
                </c:pt>
                <c:pt idx="3">
                  <c:v>2.4262628625395001E-2</c:v>
                </c:pt>
                <c:pt idx="4">
                  <c:v>2.4303839690462001E-2</c:v>
                </c:pt>
                <c:pt idx="5">
                  <c:v>2.433684079818E-2</c:v>
                </c:pt>
                <c:pt idx="6">
                  <c:v>2.4365814672435999E-2</c:v>
                </c:pt>
                <c:pt idx="7">
                  <c:v>2.4388138375573E-2</c:v>
                </c:pt>
                <c:pt idx="8">
                  <c:v>2.4448122855392999E-2</c:v>
                </c:pt>
                <c:pt idx="9">
                  <c:v>2.4489699734304E-2</c:v>
                </c:pt>
                <c:pt idx="10">
                  <c:v>2.4519419685882001E-2</c:v>
                </c:pt>
                <c:pt idx="11">
                  <c:v>2.4548977636244002E-2</c:v>
                </c:pt>
                <c:pt idx="12">
                  <c:v>2.4550023929438999E-2</c:v>
                </c:pt>
                <c:pt idx="13">
                  <c:v>2.4568744184077E-2</c:v>
                </c:pt>
                <c:pt idx="14">
                  <c:v>2.4633096844016999E-2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EF-4B92-92BB-A248337B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'!$J$206:$J$220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'!$H$206:$H$220</c:f>
              <c:numCache>
                <c:formatCode>General</c:formatCode>
                <c:ptCount val="15"/>
                <c:pt idx="0">
                  <c:v>9.3747631078326E-3</c:v>
                </c:pt>
                <c:pt idx="1">
                  <c:v>9.4049020009935001E-3</c:v>
                </c:pt>
                <c:pt idx="2">
                  <c:v>9.4176745874657002E-3</c:v>
                </c:pt>
                <c:pt idx="3">
                  <c:v>9.4207177828848007E-3</c:v>
                </c:pt>
                <c:pt idx="4">
                  <c:v>9.4227445303871008E-3</c:v>
                </c:pt>
                <c:pt idx="5">
                  <c:v>9.4275056054289996E-3</c:v>
                </c:pt>
                <c:pt idx="6">
                  <c:v>9.4279609102967E-3</c:v>
                </c:pt>
                <c:pt idx="7">
                  <c:v>9.4350676372154003E-3</c:v>
                </c:pt>
                <c:pt idx="8">
                  <c:v>9.4449291520116996E-3</c:v>
                </c:pt>
                <c:pt idx="9">
                  <c:v>9.4523069868464003E-3</c:v>
                </c:pt>
                <c:pt idx="10">
                  <c:v>9.4583419099974007E-3</c:v>
                </c:pt>
                <c:pt idx="11">
                  <c:v>9.4643827926781995E-3</c:v>
                </c:pt>
                <c:pt idx="12">
                  <c:v>9.4695875850699992E-3</c:v>
                </c:pt>
                <c:pt idx="13">
                  <c:v>9.4763233923081999E-3</c:v>
                </c:pt>
                <c:pt idx="14">
                  <c:v>9.4980268889812008E-3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AC-4C7F-A4F7-C54EAE3E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'!$J$223:$J$237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'!$H$223:$H$237</c:f>
              <c:numCache>
                <c:formatCode>General</c:formatCode>
                <c:ptCount val="15"/>
                <c:pt idx="0">
                  <c:v>1.1339141095093999E-2</c:v>
                </c:pt>
                <c:pt idx="1">
                  <c:v>1.1509137028782999E-2</c:v>
                </c:pt>
                <c:pt idx="2">
                  <c:v>1.1510972879007E-2</c:v>
                </c:pt>
                <c:pt idx="3">
                  <c:v>1.1513638708645E-2</c:v>
                </c:pt>
                <c:pt idx="4">
                  <c:v>1.1532856172539E-2</c:v>
                </c:pt>
                <c:pt idx="5">
                  <c:v>1.1546667974914E-2</c:v>
                </c:pt>
                <c:pt idx="6">
                  <c:v>1.1556721204874E-2</c:v>
                </c:pt>
                <c:pt idx="7">
                  <c:v>1.1562076793575E-2</c:v>
                </c:pt>
                <c:pt idx="8">
                  <c:v>1.1572653259000001E-2</c:v>
                </c:pt>
                <c:pt idx="9">
                  <c:v>1.1574447648914001E-2</c:v>
                </c:pt>
                <c:pt idx="10">
                  <c:v>1.1575530677816999E-2</c:v>
                </c:pt>
                <c:pt idx="11">
                  <c:v>1.1593082173090999E-2</c:v>
                </c:pt>
                <c:pt idx="12">
                  <c:v>1.1593268959106E-2</c:v>
                </c:pt>
                <c:pt idx="13">
                  <c:v>1.1602067323752E-2</c:v>
                </c:pt>
                <c:pt idx="14">
                  <c:v>1.1628390326712E-2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3-49CA-8271-3F508248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'!$J$240:$J$254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'!$H$240:$H$254</c:f>
              <c:numCache>
                <c:formatCode>General</c:formatCode>
                <c:ptCount val="15"/>
                <c:pt idx="0">
                  <c:v>1.7361066698481E-2</c:v>
                </c:pt>
                <c:pt idx="1">
                  <c:v>1.7401067626388999E-2</c:v>
                </c:pt>
                <c:pt idx="2">
                  <c:v>1.7498173509911001E-2</c:v>
                </c:pt>
                <c:pt idx="3">
                  <c:v>1.7543682009595999E-2</c:v>
                </c:pt>
                <c:pt idx="4">
                  <c:v>1.7559163369595E-2</c:v>
                </c:pt>
                <c:pt idx="5">
                  <c:v>1.7562266464992E-2</c:v>
                </c:pt>
                <c:pt idx="6">
                  <c:v>1.7571067664973999E-2</c:v>
                </c:pt>
                <c:pt idx="7">
                  <c:v>1.7669461773187001E-2</c:v>
                </c:pt>
                <c:pt idx="8">
                  <c:v>1.7669840437241E-2</c:v>
                </c:pt>
                <c:pt idx="9">
                  <c:v>1.7684573310497002E-2</c:v>
                </c:pt>
                <c:pt idx="10">
                  <c:v>1.7746621132771E-2</c:v>
                </c:pt>
                <c:pt idx="11">
                  <c:v>1.7771371720767998E-2</c:v>
                </c:pt>
                <c:pt idx="12">
                  <c:v>1.7830712741056E-2</c:v>
                </c:pt>
                <c:pt idx="13">
                  <c:v>1.7866149773982001E-2</c:v>
                </c:pt>
                <c:pt idx="14">
                  <c:v>1.7902367880711999E-2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F-40C0-BFBA-F23EA6CD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λμ '!$J$257:$J$271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λμ '!$H$257:$H$271</c:f>
              <c:numCache>
                <c:formatCode>General</c:formatCode>
                <c:ptCount val="15"/>
                <c:pt idx="0">
                  <c:v>2.1701886093170999E-2</c:v>
                </c:pt>
                <c:pt idx="1">
                  <c:v>2.1975280141779002E-2</c:v>
                </c:pt>
                <c:pt idx="2">
                  <c:v>2.2049007345847998E-2</c:v>
                </c:pt>
                <c:pt idx="3">
                  <c:v>2.2120374645342999E-2</c:v>
                </c:pt>
                <c:pt idx="4">
                  <c:v>2.2156362956916E-2</c:v>
                </c:pt>
                <c:pt idx="5">
                  <c:v>2.2227209796819001E-2</c:v>
                </c:pt>
                <c:pt idx="6">
                  <c:v>2.2235356073477999E-2</c:v>
                </c:pt>
                <c:pt idx="7">
                  <c:v>2.2273618622620998E-2</c:v>
                </c:pt>
                <c:pt idx="8">
                  <c:v>2.2305872794806999E-2</c:v>
                </c:pt>
                <c:pt idx="9">
                  <c:v>2.2309410282126001E-2</c:v>
                </c:pt>
                <c:pt idx="10">
                  <c:v>2.2354182108834001E-2</c:v>
                </c:pt>
                <c:pt idx="11">
                  <c:v>2.2400169051247001E-2</c:v>
                </c:pt>
                <c:pt idx="12">
                  <c:v>2.2427015396857999E-2</c:v>
                </c:pt>
                <c:pt idx="13">
                  <c:v>2.2446052293887998E-2</c:v>
                </c:pt>
                <c:pt idx="14">
                  <c:v>2.2464252538010002E-2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6F-40CA-A1A0-26323D31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μ'!$H$87:$H$101</c:f>
              <c:numCache>
                <c:formatCode>General</c:formatCode>
                <c:ptCount val="15"/>
                <c:pt idx="0">
                  <c:v>2.1885480636592999E-2</c:v>
                </c:pt>
                <c:pt idx="1">
                  <c:v>2.2016118164858999E-2</c:v>
                </c:pt>
                <c:pt idx="2">
                  <c:v>2.2278307802557001E-2</c:v>
                </c:pt>
                <c:pt idx="3">
                  <c:v>2.2306728599586999E-2</c:v>
                </c:pt>
                <c:pt idx="4">
                  <c:v>2.2333941485232999E-2</c:v>
                </c:pt>
                <c:pt idx="5">
                  <c:v>2.2340484171614002E-2</c:v>
                </c:pt>
                <c:pt idx="6">
                  <c:v>2.2352716731093E-2</c:v>
                </c:pt>
                <c:pt idx="7">
                  <c:v>2.2412258348465001E-2</c:v>
                </c:pt>
                <c:pt idx="8">
                  <c:v>2.2446448151502998E-2</c:v>
                </c:pt>
                <c:pt idx="9">
                  <c:v>2.2497087002677999E-2</c:v>
                </c:pt>
                <c:pt idx="10">
                  <c:v>2.2573612474342999E-2</c:v>
                </c:pt>
                <c:pt idx="11">
                  <c:v>2.2722675902242001E-2</c:v>
                </c:pt>
                <c:pt idx="12">
                  <c:v>2.2772490564611999E-2</c:v>
                </c:pt>
                <c:pt idx="13">
                  <c:v>2.2783453245927E-2</c:v>
                </c:pt>
                <c:pt idx="14">
                  <c:v>2.2900566091775001E-2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2-4E97-BADB-F60333AA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μ'!$H$104:$H$118</c:f>
              <c:numCache>
                <c:formatCode>General</c:formatCode>
                <c:ptCount val="15"/>
                <c:pt idx="0">
                  <c:v>2.6511283437939001E-2</c:v>
                </c:pt>
                <c:pt idx="1">
                  <c:v>2.6617144423057001E-2</c:v>
                </c:pt>
                <c:pt idx="2">
                  <c:v>2.6846662407237001E-2</c:v>
                </c:pt>
                <c:pt idx="3">
                  <c:v>2.6896695021315E-2</c:v>
                </c:pt>
                <c:pt idx="4">
                  <c:v>2.6926961688386999E-2</c:v>
                </c:pt>
                <c:pt idx="5">
                  <c:v>2.7118188589047E-2</c:v>
                </c:pt>
                <c:pt idx="6">
                  <c:v>2.7118443128808001E-2</c:v>
                </c:pt>
                <c:pt idx="7">
                  <c:v>2.7174174802022E-2</c:v>
                </c:pt>
                <c:pt idx="8">
                  <c:v>2.7420582619959999E-2</c:v>
                </c:pt>
                <c:pt idx="9">
                  <c:v>2.7435830534357001E-2</c:v>
                </c:pt>
                <c:pt idx="10">
                  <c:v>2.7529549859500999E-2</c:v>
                </c:pt>
                <c:pt idx="11">
                  <c:v>2.7616267779881999E-2</c:v>
                </c:pt>
                <c:pt idx="12">
                  <c:v>2.7632589609979E-2</c:v>
                </c:pt>
                <c:pt idx="13">
                  <c:v>2.7721689813447001E-2</c:v>
                </c:pt>
                <c:pt idx="14">
                  <c:v>2.7789156319666001E-2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4-4402-B97D-BA2F9D1A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μ'!$H$121:$H$135</c:f>
              <c:numCache>
                <c:formatCode>General</c:formatCode>
                <c:ptCount val="15"/>
                <c:pt idx="0">
                  <c:v>3.2845171492191003E-2</c:v>
                </c:pt>
                <c:pt idx="1">
                  <c:v>3.3092452116104003E-2</c:v>
                </c:pt>
                <c:pt idx="2">
                  <c:v>3.3430762468618001E-2</c:v>
                </c:pt>
                <c:pt idx="3">
                  <c:v>3.3646237444985003E-2</c:v>
                </c:pt>
                <c:pt idx="4">
                  <c:v>3.3780862032251002E-2</c:v>
                </c:pt>
                <c:pt idx="5">
                  <c:v>3.3920002357887002E-2</c:v>
                </c:pt>
                <c:pt idx="6">
                  <c:v>3.3944639963957003E-2</c:v>
                </c:pt>
                <c:pt idx="7">
                  <c:v>3.3962756781372998E-2</c:v>
                </c:pt>
                <c:pt idx="8">
                  <c:v>3.3965815870091003E-2</c:v>
                </c:pt>
                <c:pt idx="9">
                  <c:v>3.3993018722477002E-2</c:v>
                </c:pt>
                <c:pt idx="10">
                  <c:v>3.4387023459321001E-2</c:v>
                </c:pt>
                <c:pt idx="11">
                  <c:v>3.4468940683502002E-2</c:v>
                </c:pt>
                <c:pt idx="12">
                  <c:v>3.4569906798292999E-2</c:v>
                </c:pt>
                <c:pt idx="13">
                  <c:v>3.4762152445912999E-2</c:v>
                </c:pt>
                <c:pt idx="14">
                  <c:v>3.5434121938509998E-2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C-43D3-A567-372889F7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for μ'!$J$138:$J$152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μ'!$H$138:$H$152</c:f>
              <c:numCache>
                <c:formatCode>General</c:formatCode>
                <c:ptCount val="15"/>
                <c:pt idx="0">
                  <c:v>4.2342712944855997E-2</c:v>
                </c:pt>
                <c:pt idx="1">
                  <c:v>4.2714306553897997E-2</c:v>
                </c:pt>
                <c:pt idx="2">
                  <c:v>4.3171747038808002E-2</c:v>
                </c:pt>
                <c:pt idx="3">
                  <c:v>4.3219361639726998E-2</c:v>
                </c:pt>
                <c:pt idx="4">
                  <c:v>4.4004845510254E-2</c:v>
                </c:pt>
                <c:pt idx="5">
                  <c:v>4.4218830248813998E-2</c:v>
                </c:pt>
                <c:pt idx="6">
                  <c:v>4.4288897423404999E-2</c:v>
                </c:pt>
                <c:pt idx="7">
                  <c:v>4.4623778503071997E-2</c:v>
                </c:pt>
                <c:pt idx="8">
                  <c:v>4.4806309890636997E-2</c:v>
                </c:pt>
                <c:pt idx="9">
                  <c:v>4.4946647302027E-2</c:v>
                </c:pt>
                <c:pt idx="10">
                  <c:v>4.5013972039176002E-2</c:v>
                </c:pt>
                <c:pt idx="11">
                  <c:v>4.5309621748615997E-2</c:v>
                </c:pt>
                <c:pt idx="12">
                  <c:v>4.5370536942896E-2</c:v>
                </c:pt>
                <c:pt idx="13">
                  <c:v>4.5390459767000998E-2</c:v>
                </c:pt>
                <c:pt idx="14">
                  <c:v>4.6203517608636002E-2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5-45BD-9295-17C3E8D7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18" Type="http://schemas.openxmlformats.org/officeDocument/2006/relationships/chart" Target="../charts/chart53.xml"/><Relationship Id="rId3" Type="http://schemas.openxmlformats.org/officeDocument/2006/relationships/chart" Target="../charts/chart38.xml"/><Relationship Id="rId21" Type="http://schemas.openxmlformats.org/officeDocument/2006/relationships/chart" Target="../charts/chart56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17" Type="http://schemas.openxmlformats.org/officeDocument/2006/relationships/chart" Target="../charts/chart52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20" Type="http://schemas.openxmlformats.org/officeDocument/2006/relationships/chart" Target="../charts/chart55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10" Type="http://schemas.openxmlformats.org/officeDocument/2006/relationships/chart" Target="../charts/chart45.xml"/><Relationship Id="rId19" Type="http://schemas.openxmlformats.org/officeDocument/2006/relationships/chart" Target="../charts/chart54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6AA26FDA-0209-4030-881E-608A6C9F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17</xdr:row>
      <xdr:rowOff>68580</xdr:rowOff>
    </xdr:from>
    <xdr:to>
      <xdr:col>17</xdr:col>
      <xdr:colOff>502920</xdr:colOff>
      <xdr:row>32</xdr:row>
      <xdr:rowOff>177165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7B144CE4-F87B-46E8-BBA5-DD88A860B75A}"/>
            </a:ext>
            <a:ext uri="{147F2762-F138-4A5C-976F-8EAC2B608ADB}">
              <a16:predDERef xmlns:a16="http://schemas.microsoft.com/office/drawing/2014/main" pred="{6AA26FDA-0209-4030-881E-608A6C9F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213360</xdr:colOff>
      <xdr:row>34</xdr:row>
      <xdr:rowOff>30480</xdr:rowOff>
    </xdr:from>
    <xdr:to>
      <xdr:col>17</xdr:col>
      <xdr:colOff>518160</xdr:colOff>
      <xdr:row>49</xdr:row>
      <xdr:rowOff>140970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B1742A72-0F66-435A-84F3-5286FD627EB6}"/>
            </a:ext>
            <a:ext uri="{147F2762-F138-4A5C-976F-8EAC2B608ADB}">
              <a16:predDERef xmlns:a16="http://schemas.microsoft.com/office/drawing/2014/main" pred="{7B144CE4-F87B-46E8-BBA5-DD88A860B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236220</xdr:colOff>
      <xdr:row>51</xdr:row>
      <xdr:rowOff>22860</xdr:rowOff>
    </xdr:from>
    <xdr:to>
      <xdr:col>17</xdr:col>
      <xdr:colOff>541020</xdr:colOff>
      <xdr:row>66</xdr:row>
      <xdr:rowOff>133350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F5BEB87D-3441-40B2-A884-B6F7130BB37F}"/>
            </a:ext>
            <a:ext uri="{147F2762-F138-4A5C-976F-8EAC2B608ADB}">
              <a16:predDERef xmlns:a16="http://schemas.microsoft.com/office/drawing/2014/main" pred="{B1742A72-0F66-435A-84F3-5286FD627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251460</xdr:colOff>
      <xdr:row>68</xdr:row>
      <xdr:rowOff>38100</xdr:rowOff>
    </xdr:from>
    <xdr:to>
      <xdr:col>17</xdr:col>
      <xdr:colOff>556260</xdr:colOff>
      <xdr:row>83</xdr:row>
      <xdr:rowOff>148590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9C5873CA-65C6-4A8E-8E43-82C7BC64F51D}"/>
            </a:ext>
            <a:ext uri="{147F2762-F138-4A5C-976F-8EAC2B608ADB}">
              <a16:predDERef xmlns:a16="http://schemas.microsoft.com/office/drawing/2014/main" pred="{F5BEB87D-3441-40B2-A884-B6F7130BB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85</xdr:row>
      <xdr:rowOff>30480</xdr:rowOff>
    </xdr:from>
    <xdr:to>
      <xdr:col>17</xdr:col>
      <xdr:colOff>571500</xdr:colOff>
      <xdr:row>100</xdr:row>
      <xdr:rowOff>140970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3246D360-98FB-4AE3-8F3B-C32952E1819D}"/>
            </a:ext>
            <a:ext uri="{147F2762-F138-4A5C-976F-8EAC2B608ADB}">
              <a16:predDERef xmlns:a16="http://schemas.microsoft.com/office/drawing/2014/main" pred="{9C5873CA-65C6-4A8E-8E43-82C7BC64F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281940</xdr:colOff>
      <xdr:row>102</xdr:row>
      <xdr:rowOff>38100</xdr:rowOff>
    </xdr:from>
    <xdr:to>
      <xdr:col>17</xdr:col>
      <xdr:colOff>586740</xdr:colOff>
      <xdr:row>117</xdr:row>
      <xdr:rowOff>148590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8F260B58-AB50-4D26-9E6E-D7D2D8D54746}"/>
            </a:ext>
            <a:ext uri="{147F2762-F138-4A5C-976F-8EAC2B608ADB}">
              <a16:predDERef xmlns:a16="http://schemas.microsoft.com/office/drawing/2014/main" pred="{3246D360-98FB-4AE3-8F3B-C32952E1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297180</xdr:colOff>
      <xdr:row>119</xdr:row>
      <xdr:rowOff>30480</xdr:rowOff>
    </xdr:from>
    <xdr:to>
      <xdr:col>17</xdr:col>
      <xdr:colOff>601980</xdr:colOff>
      <xdr:row>134</xdr:row>
      <xdr:rowOff>140970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06EBD8D3-E04B-48A1-9E49-1E3EA298D01A}"/>
            </a:ext>
            <a:ext uri="{147F2762-F138-4A5C-976F-8EAC2B608ADB}">
              <a16:predDERef xmlns:a16="http://schemas.microsoft.com/office/drawing/2014/main" pred="{8F260B58-AB50-4D26-9E6E-D7D2D8D54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289560</xdr:colOff>
      <xdr:row>136</xdr:row>
      <xdr:rowOff>30480</xdr:rowOff>
    </xdr:from>
    <xdr:to>
      <xdr:col>17</xdr:col>
      <xdr:colOff>594360</xdr:colOff>
      <xdr:row>151</xdr:row>
      <xdr:rowOff>140970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AC7A7ABB-DCEA-4743-BEE6-D8ED7B2ED815}"/>
            </a:ext>
            <a:ext uri="{147F2762-F138-4A5C-976F-8EAC2B608ADB}">
              <a16:predDERef xmlns:a16="http://schemas.microsoft.com/office/drawing/2014/main" pred="{06EBD8D3-E04B-48A1-9E49-1E3EA298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348615</xdr:colOff>
      <xdr:row>153</xdr:row>
      <xdr:rowOff>125730</xdr:rowOff>
    </xdr:from>
    <xdr:to>
      <xdr:col>7</xdr:col>
      <xdr:colOff>337185</xdr:colOff>
      <xdr:row>168</xdr:row>
      <xdr:rowOff>19050</xdr:rowOff>
    </xdr:to>
    <xdr:graphicFrame macro="">
      <xdr:nvGraphicFramePr>
        <xdr:cNvPr id="9" name="Grafico 6">
          <a:extLst>
            <a:ext uri="{FF2B5EF4-FFF2-40B4-BE49-F238E27FC236}">
              <a16:creationId xmlns:a16="http://schemas.microsoft.com/office/drawing/2014/main" id="{888A038B-BB64-4268-8A36-2F4A68819B6F}"/>
            </a:ext>
            <a:ext uri="{147F2762-F138-4A5C-976F-8EAC2B608ADB}">
              <a16:predDERef xmlns:a16="http://schemas.microsoft.com/office/drawing/2014/main" pred="{AC7A7ABB-DCEA-4743-BEE6-D8ED7B2ED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459105</xdr:colOff>
      <xdr:row>169</xdr:row>
      <xdr:rowOff>186690</xdr:rowOff>
    </xdr:from>
    <xdr:to>
      <xdr:col>8</xdr:col>
      <xdr:colOff>609601</xdr:colOff>
      <xdr:row>184</xdr:row>
      <xdr:rowOff>188595</xdr:rowOff>
    </xdr:to>
    <xdr:graphicFrame macro="">
      <xdr:nvGraphicFramePr>
        <xdr:cNvPr id="15" name="Grafico 6">
          <a:extLst>
            <a:ext uri="{FF2B5EF4-FFF2-40B4-BE49-F238E27FC236}">
              <a16:creationId xmlns:a16="http://schemas.microsoft.com/office/drawing/2014/main" id="{6EFDD982-7A0F-4E9B-A677-78884089B209}"/>
            </a:ext>
            <a:ext uri="{147F2762-F138-4A5C-976F-8EAC2B608ADB}">
              <a16:predDERef xmlns:a16="http://schemas.microsoft.com/office/drawing/2014/main" pred="{888A038B-BB64-4268-8A36-2F4A68819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563879</xdr:colOff>
      <xdr:row>186</xdr:row>
      <xdr:rowOff>1908</xdr:rowOff>
    </xdr:from>
    <xdr:to>
      <xdr:col>7</xdr:col>
      <xdr:colOff>243839</xdr:colOff>
      <xdr:row>197</xdr:row>
      <xdr:rowOff>9526</xdr:rowOff>
    </xdr:to>
    <xdr:graphicFrame macro="">
      <xdr:nvGraphicFramePr>
        <xdr:cNvPr id="41" name="Grafico 101">
          <a:extLst>
            <a:ext uri="{FF2B5EF4-FFF2-40B4-BE49-F238E27FC236}">
              <a16:creationId xmlns:a16="http://schemas.microsoft.com/office/drawing/2014/main" id="{442DD05F-1452-4D5A-8289-6B79E0794C25}"/>
            </a:ext>
            <a:ext uri="{147F2762-F138-4A5C-976F-8EAC2B608ADB}">
              <a16:predDERef xmlns:a16="http://schemas.microsoft.com/office/drawing/2014/main" pred="{6EFDD982-7A0F-4E9B-A677-78884089B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1125855</xdr:colOff>
      <xdr:row>198</xdr:row>
      <xdr:rowOff>0</xdr:rowOff>
    </xdr:from>
    <xdr:to>
      <xdr:col>6</xdr:col>
      <xdr:colOff>283845</xdr:colOff>
      <xdr:row>209</xdr:row>
      <xdr:rowOff>0</xdr:rowOff>
    </xdr:to>
    <xdr:graphicFrame macro="">
      <xdr:nvGraphicFramePr>
        <xdr:cNvPr id="42" name="Grafico 131">
          <a:extLst>
            <a:ext uri="{FF2B5EF4-FFF2-40B4-BE49-F238E27FC236}">
              <a16:creationId xmlns:a16="http://schemas.microsoft.com/office/drawing/2014/main" id="{5081BB87-946E-4241-903C-80459C384CCA}"/>
            </a:ext>
            <a:ext uri="{147F2762-F138-4A5C-976F-8EAC2B608ADB}">
              <a16:predDERef xmlns:a16="http://schemas.microsoft.com/office/drawing/2014/main" pred="{442DD05F-1452-4D5A-8289-6B79E0794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1120140</xdr:colOff>
      <xdr:row>209</xdr:row>
      <xdr:rowOff>188595</xdr:rowOff>
    </xdr:from>
    <xdr:to>
      <xdr:col>6</xdr:col>
      <xdr:colOff>281940</xdr:colOff>
      <xdr:row>220</xdr:row>
      <xdr:rowOff>186690</xdr:rowOff>
    </xdr:to>
    <xdr:graphicFrame macro="">
      <xdr:nvGraphicFramePr>
        <xdr:cNvPr id="43" name="Grafico 132">
          <a:extLst>
            <a:ext uri="{FF2B5EF4-FFF2-40B4-BE49-F238E27FC236}">
              <a16:creationId xmlns:a16="http://schemas.microsoft.com/office/drawing/2014/main" id="{9FE2CDBA-D068-4386-A78D-67785D41B4A6}"/>
            </a:ext>
            <a:ext uri="{147F2762-F138-4A5C-976F-8EAC2B608ADB}">
              <a16:predDERef xmlns:a16="http://schemas.microsoft.com/office/drawing/2014/main" pred="{5081BB87-946E-4241-903C-80459C384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03945B-2081-4FF0-BFFD-F8A5F2D08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272</xdr:row>
      <xdr:rowOff>161925</xdr:rowOff>
    </xdr:from>
    <xdr:to>
      <xdr:col>7</xdr:col>
      <xdr:colOff>598170</xdr:colOff>
      <xdr:row>295</xdr:row>
      <xdr:rowOff>57150</xdr:rowOff>
    </xdr:to>
    <xdr:graphicFrame macro="">
      <xdr:nvGraphicFramePr>
        <xdr:cNvPr id="3" name="Grafico 6">
          <a:extLst>
            <a:ext uri="{FF2B5EF4-FFF2-40B4-BE49-F238E27FC236}">
              <a16:creationId xmlns:a16="http://schemas.microsoft.com/office/drawing/2014/main" id="{A0A86F67-C79B-4815-858A-AD4908D3734A}"/>
            </a:ext>
            <a:ext uri="{147F2762-F138-4A5C-976F-8EAC2B608ADB}">
              <a16:predDERef xmlns:a16="http://schemas.microsoft.com/office/drawing/2014/main" pred="{5B03945B-2081-4FF0-BFFD-F8A5F2D08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459105</xdr:colOff>
      <xdr:row>295</xdr:row>
      <xdr:rowOff>186690</xdr:rowOff>
    </xdr:from>
    <xdr:to>
      <xdr:col>8</xdr:col>
      <xdr:colOff>609601</xdr:colOff>
      <xdr:row>318</xdr:row>
      <xdr:rowOff>188595</xdr:rowOff>
    </xdr:to>
    <xdr:graphicFrame macro="">
      <xdr:nvGraphicFramePr>
        <xdr:cNvPr id="4" name="Grafico 6">
          <a:extLst>
            <a:ext uri="{FF2B5EF4-FFF2-40B4-BE49-F238E27FC236}">
              <a16:creationId xmlns:a16="http://schemas.microsoft.com/office/drawing/2014/main" id="{9DD8B9AC-5BCB-4BED-A302-0378A2A4FE8F}"/>
            </a:ext>
            <a:ext uri="{147F2762-F138-4A5C-976F-8EAC2B608ADB}">
              <a16:predDERef xmlns:a16="http://schemas.microsoft.com/office/drawing/2014/main" pred="{A0A86F67-C79B-4815-858A-AD4908D37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563879</xdr:colOff>
      <xdr:row>320</xdr:row>
      <xdr:rowOff>1908</xdr:rowOff>
    </xdr:from>
    <xdr:to>
      <xdr:col>7</xdr:col>
      <xdr:colOff>243839</xdr:colOff>
      <xdr:row>338</xdr:row>
      <xdr:rowOff>9526</xdr:rowOff>
    </xdr:to>
    <xdr:graphicFrame macro="">
      <xdr:nvGraphicFramePr>
        <xdr:cNvPr id="5" name="Grafico 101">
          <a:extLst>
            <a:ext uri="{FF2B5EF4-FFF2-40B4-BE49-F238E27FC236}">
              <a16:creationId xmlns:a16="http://schemas.microsoft.com/office/drawing/2014/main" id="{94E33EB9-255A-42C4-9B1A-D45594651B6A}"/>
            </a:ext>
            <a:ext uri="{147F2762-F138-4A5C-976F-8EAC2B608ADB}">
              <a16:predDERef xmlns:a16="http://schemas.microsoft.com/office/drawing/2014/main" pred="{9DD8B9AC-5BCB-4BED-A302-0378A2A4F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1125855</xdr:colOff>
      <xdr:row>339</xdr:row>
      <xdr:rowOff>0</xdr:rowOff>
    </xdr:from>
    <xdr:to>
      <xdr:col>6</xdr:col>
      <xdr:colOff>283845</xdr:colOff>
      <xdr:row>357</xdr:row>
      <xdr:rowOff>7620</xdr:rowOff>
    </xdr:to>
    <xdr:graphicFrame macro="">
      <xdr:nvGraphicFramePr>
        <xdr:cNvPr id="6" name="Grafico 131">
          <a:extLst>
            <a:ext uri="{FF2B5EF4-FFF2-40B4-BE49-F238E27FC236}">
              <a16:creationId xmlns:a16="http://schemas.microsoft.com/office/drawing/2014/main" id="{A82DF217-B992-4DA1-B022-7F718345CB15}"/>
            </a:ext>
            <a:ext uri="{147F2762-F138-4A5C-976F-8EAC2B608ADB}">
              <a16:predDERef xmlns:a16="http://schemas.microsoft.com/office/drawing/2014/main" pred="{94E33EB9-255A-42C4-9B1A-D45594651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1120140</xdr:colOff>
      <xdr:row>357</xdr:row>
      <xdr:rowOff>188595</xdr:rowOff>
    </xdr:from>
    <xdr:to>
      <xdr:col>6</xdr:col>
      <xdr:colOff>281940</xdr:colOff>
      <xdr:row>376</xdr:row>
      <xdr:rowOff>186690</xdr:rowOff>
    </xdr:to>
    <xdr:graphicFrame macro="">
      <xdr:nvGraphicFramePr>
        <xdr:cNvPr id="7" name="Grafico 132">
          <a:extLst>
            <a:ext uri="{FF2B5EF4-FFF2-40B4-BE49-F238E27FC236}">
              <a16:creationId xmlns:a16="http://schemas.microsoft.com/office/drawing/2014/main" id="{9BD98716-3AEB-4706-9C4E-A5B7C87F15CE}"/>
            </a:ext>
            <a:ext uri="{147F2762-F138-4A5C-976F-8EAC2B608ADB}">
              <a16:predDERef xmlns:a16="http://schemas.microsoft.com/office/drawing/2014/main" pred="{A82DF217-B992-4DA1-B022-7F718345C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160020</xdr:colOff>
      <xdr:row>17</xdr:row>
      <xdr:rowOff>68580</xdr:rowOff>
    </xdr:from>
    <xdr:to>
      <xdr:col>17</xdr:col>
      <xdr:colOff>464820</xdr:colOff>
      <xdr:row>32</xdr:row>
      <xdr:rowOff>66675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913FB22-BDA2-43A7-AA6A-9EE840E7D368}"/>
            </a:ext>
            <a:ext uri="{147F2762-F138-4A5C-976F-8EAC2B608ADB}">
              <a16:predDERef xmlns:a16="http://schemas.microsoft.com/office/drawing/2014/main" pred="{9BD98716-3AEB-4706-9C4E-A5B7C87F1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182880</xdr:colOff>
      <xdr:row>34</xdr:row>
      <xdr:rowOff>99060</xdr:rowOff>
    </xdr:from>
    <xdr:to>
      <xdr:col>17</xdr:col>
      <xdr:colOff>487680</xdr:colOff>
      <xdr:row>50</xdr:row>
      <xdr:rowOff>20955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14F3AD9-4382-4177-8975-9C471CF750D2}"/>
            </a:ext>
            <a:ext uri="{147F2762-F138-4A5C-976F-8EAC2B608ADB}">
              <a16:predDERef xmlns:a16="http://schemas.microsoft.com/office/drawing/2014/main" pred="{2913FB22-BDA2-43A7-AA6A-9EE840E7D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205740</xdr:colOff>
      <xdr:row>51</xdr:row>
      <xdr:rowOff>30480</xdr:rowOff>
    </xdr:from>
    <xdr:to>
      <xdr:col>17</xdr:col>
      <xdr:colOff>510540</xdr:colOff>
      <xdr:row>66</xdr:row>
      <xdr:rowOff>135255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3A99C2C-A670-418A-B3FE-55571A9E8B46}"/>
            </a:ext>
            <a:ext uri="{147F2762-F138-4A5C-976F-8EAC2B608ADB}">
              <a16:predDERef xmlns:a16="http://schemas.microsoft.com/office/drawing/2014/main" pred="{A14F3AD9-4382-4177-8975-9C471CF7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198120</xdr:colOff>
      <xdr:row>68</xdr:row>
      <xdr:rowOff>30480</xdr:rowOff>
    </xdr:from>
    <xdr:to>
      <xdr:col>17</xdr:col>
      <xdr:colOff>502920</xdr:colOff>
      <xdr:row>83</xdr:row>
      <xdr:rowOff>135255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EC87989-68F5-4B11-9FBF-1E599185C9A5}"/>
            </a:ext>
            <a:ext uri="{147F2762-F138-4A5C-976F-8EAC2B608ADB}">
              <a16:predDERef xmlns:a16="http://schemas.microsoft.com/office/drawing/2014/main" pred="{B3A99C2C-A670-418A-B3FE-55571A9E8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160020</xdr:colOff>
      <xdr:row>85</xdr:row>
      <xdr:rowOff>30480</xdr:rowOff>
    </xdr:from>
    <xdr:to>
      <xdr:col>17</xdr:col>
      <xdr:colOff>464820</xdr:colOff>
      <xdr:row>100</xdr:row>
      <xdr:rowOff>135255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4EC0C2F3-223F-4AFB-AEAA-B8E86774D0BF}"/>
            </a:ext>
            <a:ext uri="{147F2762-F138-4A5C-976F-8EAC2B608ADB}">
              <a16:predDERef xmlns:a16="http://schemas.microsoft.com/office/drawing/2014/main" pred="{4EC87989-68F5-4B11-9FBF-1E599185C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160020</xdr:colOff>
      <xdr:row>102</xdr:row>
      <xdr:rowOff>38100</xdr:rowOff>
    </xdr:from>
    <xdr:to>
      <xdr:col>17</xdr:col>
      <xdr:colOff>464820</xdr:colOff>
      <xdr:row>117</xdr:row>
      <xdr:rowOff>142875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E7B19D99-805D-42FE-A987-F9092EFC81AB}"/>
            </a:ext>
            <a:ext uri="{147F2762-F138-4A5C-976F-8EAC2B608ADB}">
              <a16:predDERef xmlns:a16="http://schemas.microsoft.com/office/drawing/2014/main" pred="{4EC0C2F3-223F-4AFB-AEAA-B8E86774D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160020</xdr:colOff>
      <xdr:row>119</xdr:row>
      <xdr:rowOff>68580</xdr:rowOff>
    </xdr:from>
    <xdr:to>
      <xdr:col>17</xdr:col>
      <xdr:colOff>464820</xdr:colOff>
      <xdr:row>134</xdr:row>
      <xdr:rowOff>173355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EE0B062-4D2F-437F-A1B4-8D458ED2E3F5}"/>
            </a:ext>
            <a:ext uri="{147F2762-F138-4A5C-976F-8EAC2B608ADB}">
              <a16:predDERef xmlns:a16="http://schemas.microsoft.com/office/drawing/2014/main" pred="{E7B19D99-805D-42FE-A987-F9092EFC8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175260</xdr:colOff>
      <xdr:row>136</xdr:row>
      <xdr:rowOff>30480</xdr:rowOff>
    </xdr:from>
    <xdr:to>
      <xdr:col>17</xdr:col>
      <xdr:colOff>480060</xdr:colOff>
      <xdr:row>151</xdr:row>
      <xdr:rowOff>135255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F1B9E17-B804-45F2-ADF2-1C3133C416D1}"/>
            </a:ext>
            <a:ext uri="{147F2762-F138-4A5C-976F-8EAC2B608ADB}">
              <a16:predDERef xmlns:a16="http://schemas.microsoft.com/office/drawing/2014/main" pred="{BEE0B062-4D2F-437F-A1B4-8D458ED2E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236220</xdr:colOff>
      <xdr:row>153</xdr:row>
      <xdr:rowOff>152400</xdr:rowOff>
    </xdr:from>
    <xdr:to>
      <xdr:col>17</xdr:col>
      <xdr:colOff>541020</xdr:colOff>
      <xdr:row>168</xdr:row>
      <xdr:rowOff>51435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13777F38-1758-490A-A1EB-577EF72E07D2}"/>
            </a:ext>
            <a:ext uri="{147F2762-F138-4A5C-976F-8EAC2B608ADB}">
              <a16:predDERef xmlns:a16="http://schemas.microsoft.com/office/drawing/2014/main" pred="{BF1B9E17-B804-45F2-ADF2-1C3133C41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251460</xdr:colOff>
      <xdr:row>170</xdr:row>
      <xdr:rowOff>160020</xdr:rowOff>
    </xdr:from>
    <xdr:to>
      <xdr:col>17</xdr:col>
      <xdr:colOff>556260</xdr:colOff>
      <xdr:row>185</xdr:row>
      <xdr:rowOff>36195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8FE0962-3118-4370-B10C-65FA7FE9F1BD}"/>
            </a:ext>
            <a:ext uri="{147F2762-F138-4A5C-976F-8EAC2B608ADB}">
              <a16:predDERef xmlns:a16="http://schemas.microsoft.com/office/drawing/2014/main" pred="{13777F38-1758-490A-A1EB-577EF72E0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373380</xdr:colOff>
      <xdr:row>185</xdr:row>
      <xdr:rowOff>152401</xdr:rowOff>
    </xdr:from>
    <xdr:to>
      <xdr:col>17</xdr:col>
      <xdr:colOff>342900</xdr:colOff>
      <xdr:row>203</xdr:row>
      <xdr:rowOff>22860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60634446-09FE-47F4-A32F-287E94A9BBE0}"/>
            </a:ext>
            <a:ext uri="{147F2762-F138-4A5C-976F-8EAC2B608ADB}">
              <a16:predDERef xmlns:a16="http://schemas.microsoft.com/office/drawing/2014/main" pred="{98FE0962-3118-4370-B10C-65FA7FE9F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350520</xdr:colOff>
      <xdr:row>204</xdr:row>
      <xdr:rowOff>99060</xdr:rowOff>
    </xdr:from>
    <xdr:to>
      <xdr:col>17</xdr:col>
      <xdr:colOff>320040</xdr:colOff>
      <xdr:row>219</xdr:row>
      <xdr:rowOff>45719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02B5DF8-2E27-4E29-AFC0-59CA76A1C161}"/>
            </a:ext>
            <a:ext uri="{147F2762-F138-4A5C-976F-8EAC2B608ADB}">
              <a16:predDERef xmlns:a16="http://schemas.microsoft.com/office/drawing/2014/main" pred="{60634446-09FE-47F4-A32F-287E94A9B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312420</xdr:colOff>
      <xdr:row>222</xdr:row>
      <xdr:rowOff>45720</xdr:rowOff>
    </xdr:from>
    <xdr:to>
      <xdr:col>17</xdr:col>
      <xdr:colOff>281940</xdr:colOff>
      <xdr:row>235</xdr:row>
      <xdr:rowOff>167639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A738ADC2-634C-44D3-94DE-9CCA75F516E2}"/>
            </a:ext>
            <a:ext uri="{147F2762-F138-4A5C-976F-8EAC2B608ADB}">
              <a16:predDERef xmlns:a16="http://schemas.microsoft.com/office/drawing/2014/main" pred="{702B5DF8-2E27-4E29-AFC0-59CA76A1C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297180</xdr:colOff>
      <xdr:row>238</xdr:row>
      <xdr:rowOff>106680</xdr:rowOff>
    </xdr:from>
    <xdr:to>
      <xdr:col>17</xdr:col>
      <xdr:colOff>266700</xdr:colOff>
      <xdr:row>252</xdr:row>
      <xdr:rowOff>45719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7DAFACA-8C83-4802-97DD-3D1467239BD7}"/>
            </a:ext>
            <a:ext uri="{147F2762-F138-4A5C-976F-8EAC2B608ADB}">
              <a16:predDERef xmlns:a16="http://schemas.microsoft.com/office/drawing/2014/main" pred="{A738ADC2-634C-44D3-94DE-9CCA75F51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327660</xdr:colOff>
      <xdr:row>256</xdr:row>
      <xdr:rowOff>30480</xdr:rowOff>
    </xdr:from>
    <xdr:to>
      <xdr:col>17</xdr:col>
      <xdr:colOff>297180</xdr:colOff>
      <xdr:row>269</xdr:row>
      <xdr:rowOff>152399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0327776B-621C-4A5A-9BE2-74F93DA37DA1}"/>
            </a:ext>
            <a:ext uri="{147F2762-F138-4A5C-976F-8EAC2B608ADB}">
              <a16:predDERef xmlns:a16="http://schemas.microsoft.com/office/drawing/2014/main" pred="{C7DAFACA-8C83-4802-97DD-3D146723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9E22603B-1E2F-4F4F-88D9-4F2D9764C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272</xdr:row>
      <xdr:rowOff>57150</xdr:rowOff>
    </xdr:from>
    <xdr:to>
      <xdr:col>7</xdr:col>
      <xdr:colOff>474345</xdr:colOff>
      <xdr:row>294</xdr:row>
      <xdr:rowOff>133350</xdr:rowOff>
    </xdr:to>
    <xdr:graphicFrame macro="">
      <xdr:nvGraphicFramePr>
        <xdr:cNvPr id="8" name="Grafico 6">
          <a:extLst>
            <a:ext uri="{FF2B5EF4-FFF2-40B4-BE49-F238E27FC236}">
              <a16:creationId xmlns:a16="http://schemas.microsoft.com/office/drawing/2014/main" id="{D3852F0A-4C41-48EC-97CD-4E997005014A}"/>
            </a:ext>
            <a:ext uri="{147F2762-F138-4A5C-976F-8EAC2B608ADB}">
              <a16:predDERef xmlns:a16="http://schemas.microsoft.com/office/drawing/2014/main" pred="{9E22603B-1E2F-4F4F-88D9-4F2D9764C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459105</xdr:colOff>
      <xdr:row>295</xdr:row>
      <xdr:rowOff>186690</xdr:rowOff>
    </xdr:from>
    <xdr:to>
      <xdr:col>8</xdr:col>
      <xdr:colOff>609601</xdr:colOff>
      <xdr:row>318</xdr:row>
      <xdr:rowOff>188595</xdr:rowOff>
    </xdr:to>
    <xdr:graphicFrame macro="">
      <xdr:nvGraphicFramePr>
        <xdr:cNvPr id="14" name="Grafico 6">
          <a:extLst>
            <a:ext uri="{FF2B5EF4-FFF2-40B4-BE49-F238E27FC236}">
              <a16:creationId xmlns:a16="http://schemas.microsoft.com/office/drawing/2014/main" id="{BDF83B9F-9AC0-4BD0-8564-4C686BE3A092}"/>
            </a:ext>
            <a:ext uri="{147F2762-F138-4A5C-976F-8EAC2B608ADB}">
              <a16:predDERef xmlns:a16="http://schemas.microsoft.com/office/drawing/2014/main" pred="{D3852F0A-4C41-48EC-97CD-4E9970050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563879</xdr:colOff>
      <xdr:row>320</xdr:row>
      <xdr:rowOff>1908</xdr:rowOff>
    </xdr:from>
    <xdr:to>
      <xdr:col>7</xdr:col>
      <xdr:colOff>243839</xdr:colOff>
      <xdr:row>338</xdr:row>
      <xdr:rowOff>9526</xdr:rowOff>
    </xdr:to>
    <xdr:graphicFrame macro="">
      <xdr:nvGraphicFramePr>
        <xdr:cNvPr id="45" name="Grafico 101">
          <a:extLst>
            <a:ext uri="{FF2B5EF4-FFF2-40B4-BE49-F238E27FC236}">
              <a16:creationId xmlns:a16="http://schemas.microsoft.com/office/drawing/2014/main" id="{A4F4338C-4EE6-4236-9192-132E441307CA}"/>
            </a:ext>
            <a:ext uri="{147F2762-F138-4A5C-976F-8EAC2B608ADB}">
              <a16:predDERef xmlns:a16="http://schemas.microsoft.com/office/drawing/2014/main" pred="{BDF83B9F-9AC0-4BD0-8564-4C686BE3A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1125855</xdr:colOff>
      <xdr:row>339</xdr:row>
      <xdr:rowOff>0</xdr:rowOff>
    </xdr:from>
    <xdr:to>
      <xdr:col>6</xdr:col>
      <xdr:colOff>283845</xdr:colOff>
      <xdr:row>357</xdr:row>
      <xdr:rowOff>7620</xdr:rowOff>
    </xdr:to>
    <xdr:graphicFrame macro="">
      <xdr:nvGraphicFramePr>
        <xdr:cNvPr id="6" name="Grafico 131">
          <a:extLst>
            <a:ext uri="{FF2B5EF4-FFF2-40B4-BE49-F238E27FC236}">
              <a16:creationId xmlns:a16="http://schemas.microsoft.com/office/drawing/2014/main" id="{0A888D29-7F3C-46EF-B350-4D23A1557D2F}"/>
            </a:ext>
            <a:ext uri="{147F2762-F138-4A5C-976F-8EAC2B608ADB}">
              <a16:predDERef xmlns:a16="http://schemas.microsoft.com/office/drawing/2014/main" pred="{A4F4338C-4EE6-4236-9192-132E44130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1120140</xdr:colOff>
      <xdr:row>357</xdr:row>
      <xdr:rowOff>188595</xdr:rowOff>
    </xdr:from>
    <xdr:to>
      <xdr:col>6</xdr:col>
      <xdr:colOff>281940</xdr:colOff>
      <xdr:row>376</xdr:row>
      <xdr:rowOff>186690</xdr:rowOff>
    </xdr:to>
    <xdr:graphicFrame macro="">
      <xdr:nvGraphicFramePr>
        <xdr:cNvPr id="7" name="Grafico 132">
          <a:extLst>
            <a:ext uri="{FF2B5EF4-FFF2-40B4-BE49-F238E27FC236}">
              <a16:creationId xmlns:a16="http://schemas.microsoft.com/office/drawing/2014/main" id="{F4A79482-6871-44BB-AD26-D1EAE4C98169}"/>
            </a:ext>
            <a:ext uri="{147F2762-F138-4A5C-976F-8EAC2B608ADB}">
              <a16:predDERef xmlns:a16="http://schemas.microsoft.com/office/drawing/2014/main" pred="{0A888D29-7F3C-46EF-B350-4D23A1557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160020</xdr:colOff>
      <xdr:row>17</xdr:row>
      <xdr:rowOff>68580</xdr:rowOff>
    </xdr:from>
    <xdr:to>
      <xdr:col>17</xdr:col>
      <xdr:colOff>464820</xdr:colOff>
      <xdr:row>32</xdr:row>
      <xdr:rowOff>66675</xdr:rowOff>
    </xdr:to>
    <xdr:graphicFrame macro="">
      <xdr:nvGraphicFramePr>
        <xdr:cNvPr id="29" name="Grafico 7">
          <a:extLst>
            <a:ext uri="{FF2B5EF4-FFF2-40B4-BE49-F238E27FC236}">
              <a16:creationId xmlns:a16="http://schemas.microsoft.com/office/drawing/2014/main" id="{96B8ADF6-8DB5-4918-AFCF-0F36B096E7D3}"/>
            </a:ext>
            <a:ext uri="{147F2762-F138-4A5C-976F-8EAC2B608ADB}">
              <a16:predDERef xmlns:a16="http://schemas.microsoft.com/office/drawing/2014/main" pred="{F4A79482-6871-44BB-AD26-D1EAE4C9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182880</xdr:colOff>
      <xdr:row>34</xdr:row>
      <xdr:rowOff>99060</xdr:rowOff>
    </xdr:from>
    <xdr:to>
      <xdr:col>17</xdr:col>
      <xdr:colOff>487680</xdr:colOff>
      <xdr:row>50</xdr:row>
      <xdr:rowOff>20955</xdr:rowOff>
    </xdr:to>
    <xdr:graphicFrame macro="">
      <xdr:nvGraphicFramePr>
        <xdr:cNvPr id="31" name="Grafico 8">
          <a:extLst>
            <a:ext uri="{FF2B5EF4-FFF2-40B4-BE49-F238E27FC236}">
              <a16:creationId xmlns:a16="http://schemas.microsoft.com/office/drawing/2014/main" id="{4FD88FC3-EA0C-4D90-B1E3-F8720808CEF7}"/>
            </a:ext>
            <a:ext uri="{147F2762-F138-4A5C-976F-8EAC2B608ADB}">
              <a16:predDERef xmlns:a16="http://schemas.microsoft.com/office/drawing/2014/main" pred="{96B8ADF6-8DB5-4918-AFCF-0F36B096E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205740</xdr:colOff>
      <xdr:row>51</xdr:row>
      <xdr:rowOff>30480</xdr:rowOff>
    </xdr:from>
    <xdr:to>
      <xdr:col>17</xdr:col>
      <xdr:colOff>510540</xdr:colOff>
      <xdr:row>66</xdr:row>
      <xdr:rowOff>135255</xdr:rowOff>
    </xdr:to>
    <xdr:graphicFrame macro="">
      <xdr:nvGraphicFramePr>
        <xdr:cNvPr id="32" name="Grafico 9">
          <a:extLst>
            <a:ext uri="{FF2B5EF4-FFF2-40B4-BE49-F238E27FC236}">
              <a16:creationId xmlns:a16="http://schemas.microsoft.com/office/drawing/2014/main" id="{21B1CE72-D3AB-4AF0-9AB2-FE082FF9D416}"/>
            </a:ext>
            <a:ext uri="{147F2762-F138-4A5C-976F-8EAC2B608ADB}">
              <a16:predDERef xmlns:a16="http://schemas.microsoft.com/office/drawing/2014/main" pred="{4FD88FC3-EA0C-4D90-B1E3-F8720808C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198120</xdr:colOff>
      <xdr:row>68</xdr:row>
      <xdr:rowOff>30480</xdr:rowOff>
    </xdr:from>
    <xdr:to>
      <xdr:col>17</xdr:col>
      <xdr:colOff>502920</xdr:colOff>
      <xdr:row>83</xdr:row>
      <xdr:rowOff>135255</xdr:rowOff>
    </xdr:to>
    <xdr:graphicFrame macro="">
      <xdr:nvGraphicFramePr>
        <xdr:cNvPr id="33" name="Grafico 10">
          <a:extLst>
            <a:ext uri="{FF2B5EF4-FFF2-40B4-BE49-F238E27FC236}">
              <a16:creationId xmlns:a16="http://schemas.microsoft.com/office/drawing/2014/main" id="{4A5253D2-2DF7-4F76-B1E8-FE782245897A}"/>
            </a:ext>
            <a:ext uri="{147F2762-F138-4A5C-976F-8EAC2B608ADB}">
              <a16:predDERef xmlns:a16="http://schemas.microsoft.com/office/drawing/2014/main" pred="{21B1CE72-D3AB-4AF0-9AB2-FE082FF9D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160020</xdr:colOff>
      <xdr:row>85</xdr:row>
      <xdr:rowOff>30480</xdr:rowOff>
    </xdr:from>
    <xdr:to>
      <xdr:col>17</xdr:col>
      <xdr:colOff>464820</xdr:colOff>
      <xdr:row>100</xdr:row>
      <xdr:rowOff>135255</xdr:rowOff>
    </xdr:to>
    <xdr:graphicFrame macro="">
      <xdr:nvGraphicFramePr>
        <xdr:cNvPr id="34" name="Grafico 11">
          <a:extLst>
            <a:ext uri="{FF2B5EF4-FFF2-40B4-BE49-F238E27FC236}">
              <a16:creationId xmlns:a16="http://schemas.microsoft.com/office/drawing/2014/main" id="{F16EE338-CBFC-457E-98C6-D24B4D0A000B}"/>
            </a:ext>
            <a:ext uri="{147F2762-F138-4A5C-976F-8EAC2B608ADB}">
              <a16:predDERef xmlns:a16="http://schemas.microsoft.com/office/drawing/2014/main" pred="{4A5253D2-2DF7-4F76-B1E8-FE7822458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160020</xdr:colOff>
      <xdr:row>102</xdr:row>
      <xdr:rowOff>38100</xdr:rowOff>
    </xdr:from>
    <xdr:to>
      <xdr:col>17</xdr:col>
      <xdr:colOff>464820</xdr:colOff>
      <xdr:row>117</xdr:row>
      <xdr:rowOff>142875</xdr:rowOff>
    </xdr:to>
    <xdr:graphicFrame macro="">
      <xdr:nvGraphicFramePr>
        <xdr:cNvPr id="35" name="Grafico 12">
          <a:extLst>
            <a:ext uri="{FF2B5EF4-FFF2-40B4-BE49-F238E27FC236}">
              <a16:creationId xmlns:a16="http://schemas.microsoft.com/office/drawing/2014/main" id="{B9D71E04-11EC-4A3A-AE12-CEE348DF5FDE}"/>
            </a:ext>
            <a:ext uri="{147F2762-F138-4A5C-976F-8EAC2B608ADB}">
              <a16:predDERef xmlns:a16="http://schemas.microsoft.com/office/drawing/2014/main" pred="{F16EE338-CBFC-457E-98C6-D24B4D0A0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160020</xdr:colOff>
      <xdr:row>119</xdr:row>
      <xdr:rowOff>68580</xdr:rowOff>
    </xdr:from>
    <xdr:to>
      <xdr:col>17</xdr:col>
      <xdr:colOff>464820</xdr:colOff>
      <xdr:row>134</xdr:row>
      <xdr:rowOff>173355</xdr:rowOff>
    </xdr:to>
    <xdr:graphicFrame macro="">
      <xdr:nvGraphicFramePr>
        <xdr:cNvPr id="36" name="Grafico 13">
          <a:extLst>
            <a:ext uri="{FF2B5EF4-FFF2-40B4-BE49-F238E27FC236}">
              <a16:creationId xmlns:a16="http://schemas.microsoft.com/office/drawing/2014/main" id="{AB60DA98-27D5-4C45-9B16-B8FDC36336BE}"/>
            </a:ext>
            <a:ext uri="{147F2762-F138-4A5C-976F-8EAC2B608ADB}">
              <a16:predDERef xmlns:a16="http://schemas.microsoft.com/office/drawing/2014/main" pred="{B9D71E04-11EC-4A3A-AE12-CEE348DF5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175260</xdr:colOff>
      <xdr:row>136</xdr:row>
      <xdr:rowOff>30480</xdr:rowOff>
    </xdr:from>
    <xdr:to>
      <xdr:col>17</xdr:col>
      <xdr:colOff>480060</xdr:colOff>
      <xdr:row>151</xdr:row>
      <xdr:rowOff>135255</xdr:rowOff>
    </xdr:to>
    <xdr:graphicFrame macro="">
      <xdr:nvGraphicFramePr>
        <xdr:cNvPr id="37" name="Grafico 14">
          <a:extLst>
            <a:ext uri="{FF2B5EF4-FFF2-40B4-BE49-F238E27FC236}">
              <a16:creationId xmlns:a16="http://schemas.microsoft.com/office/drawing/2014/main" id="{9715904E-5D4A-4307-9890-B0C4D995A2BD}"/>
            </a:ext>
            <a:ext uri="{147F2762-F138-4A5C-976F-8EAC2B608ADB}">
              <a16:predDERef xmlns:a16="http://schemas.microsoft.com/office/drawing/2014/main" pred="{AB60DA98-27D5-4C45-9B16-B8FDC3633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236220</xdr:colOff>
      <xdr:row>153</xdr:row>
      <xdr:rowOff>152400</xdr:rowOff>
    </xdr:from>
    <xdr:to>
      <xdr:col>17</xdr:col>
      <xdr:colOff>541020</xdr:colOff>
      <xdr:row>168</xdr:row>
      <xdr:rowOff>51435</xdr:rowOff>
    </xdr:to>
    <xdr:graphicFrame macro="">
      <xdr:nvGraphicFramePr>
        <xdr:cNvPr id="38" name="Grafico 15">
          <a:extLst>
            <a:ext uri="{FF2B5EF4-FFF2-40B4-BE49-F238E27FC236}">
              <a16:creationId xmlns:a16="http://schemas.microsoft.com/office/drawing/2014/main" id="{4A58FC28-DBF7-4A9A-B04E-BA8447E6AEA6}"/>
            </a:ext>
            <a:ext uri="{147F2762-F138-4A5C-976F-8EAC2B608ADB}">
              <a16:predDERef xmlns:a16="http://schemas.microsoft.com/office/drawing/2014/main" pred="{9715904E-5D4A-4307-9890-B0C4D995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251460</xdr:colOff>
      <xdr:row>170</xdr:row>
      <xdr:rowOff>160020</xdr:rowOff>
    </xdr:from>
    <xdr:to>
      <xdr:col>17</xdr:col>
      <xdr:colOff>556260</xdr:colOff>
      <xdr:row>185</xdr:row>
      <xdr:rowOff>36195</xdr:rowOff>
    </xdr:to>
    <xdr:graphicFrame macro="">
      <xdr:nvGraphicFramePr>
        <xdr:cNvPr id="39" name="Grafico 16">
          <a:extLst>
            <a:ext uri="{FF2B5EF4-FFF2-40B4-BE49-F238E27FC236}">
              <a16:creationId xmlns:a16="http://schemas.microsoft.com/office/drawing/2014/main" id="{02873FAB-2549-47A9-A4FE-6CE112F82EAB}"/>
            </a:ext>
            <a:ext uri="{147F2762-F138-4A5C-976F-8EAC2B608ADB}">
              <a16:predDERef xmlns:a16="http://schemas.microsoft.com/office/drawing/2014/main" pred="{4A58FC28-DBF7-4A9A-B04E-BA8447E6A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373380</xdr:colOff>
      <xdr:row>185</xdr:row>
      <xdr:rowOff>152401</xdr:rowOff>
    </xdr:from>
    <xdr:to>
      <xdr:col>17</xdr:col>
      <xdr:colOff>342900</xdr:colOff>
      <xdr:row>203</xdr:row>
      <xdr:rowOff>22860</xdr:rowOff>
    </xdr:to>
    <xdr:graphicFrame macro="">
      <xdr:nvGraphicFramePr>
        <xdr:cNvPr id="40" name="Grafico 17">
          <a:extLst>
            <a:ext uri="{FF2B5EF4-FFF2-40B4-BE49-F238E27FC236}">
              <a16:creationId xmlns:a16="http://schemas.microsoft.com/office/drawing/2014/main" id="{0896244B-41C9-4092-A332-6B7E1267D00D}"/>
            </a:ext>
            <a:ext uri="{147F2762-F138-4A5C-976F-8EAC2B608ADB}">
              <a16:predDERef xmlns:a16="http://schemas.microsoft.com/office/drawing/2014/main" pred="{02873FAB-2549-47A9-A4FE-6CE112F82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350520</xdr:colOff>
      <xdr:row>204</xdr:row>
      <xdr:rowOff>99060</xdr:rowOff>
    </xdr:from>
    <xdr:to>
      <xdr:col>17</xdr:col>
      <xdr:colOff>320040</xdr:colOff>
      <xdr:row>219</xdr:row>
      <xdr:rowOff>45719</xdr:rowOff>
    </xdr:to>
    <xdr:graphicFrame macro="">
      <xdr:nvGraphicFramePr>
        <xdr:cNvPr id="41" name="Grafico 18">
          <a:extLst>
            <a:ext uri="{FF2B5EF4-FFF2-40B4-BE49-F238E27FC236}">
              <a16:creationId xmlns:a16="http://schemas.microsoft.com/office/drawing/2014/main" id="{11020C0A-FEA1-4D40-A7C3-51B1FD3D3115}"/>
            </a:ext>
            <a:ext uri="{147F2762-F138-4A5C-976F-8EAC2B608ADB}">
              <a16:predDERef xmlns:a16="http://schemas.microsoft.com/office/drawing/2014/main" pred="{0896244B-41C9-4092-A332-6B7E1267D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312420</xdr:colOff>
      <xdr:row>222</xdr:row>
      <xdr:rowOff>45720</xdr:rowOff>
    </xdr:from>
    <xdr:to>
      <xdr:col>17</xdr:col>
      <xdr:colOff>281940</xdr:colOff>
      <xdr:row>235</xdr:row>
      <xdr:rowOff>167639</xdr:rowOff>
    </xdr:to>
    <xdr:graphicFrame macro="">
      <xdr:nvGraphicFramePr>
        <xdr:cNvPr id="42" name="Grafico 19">
          <a:extLst>
            <a:ext uri="{FF2B5EF4-FFF2-40B4-BE49-F238E27FC236}">
              <a16:creationId xmlns:a16="http://schemas.microsoft.com/office/drawing/2014/main" id="{663739E8-94C7-42AC-99D8-A323720E3F0B}"/>
            </a:ext>
            <a:ext uri="{147F2762-F138-4A5C-976F-8EAC2B608ADB}">
              <a16:predDERef xmlns:a16="http://schemas.microsoft.com/office/drawing/2014/main" pred="{11020C0A-FEA1-4D40-A7C3-51B1FD3D3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297180</xdr:colOff>
      <xdr:row>238</xdr:row>
      <xdr:rowOff>106680</xdr:rowOff>
    </xdr:from>
    <xdr:to>
      <xdr:col>17</xdr:col>
      <xdr:colOff>266700</xdr:colOff>
      <xdr:row>252</xdr:row>
      <xdr:rowOff>45719</xdr:rowOff>
    </xdr:to>
    <xdr:graphicFrame macro="">
      <xdr:nvGraphicFramePr>
        <xdr:cNvPr id="43" name="Grafico 20">
          <a:extLst>
            <a:ext uri="{FF2B5EF4-FFF2-40B4-BE49-F238E27FC236}">
              <a16:creationId xmlns:a16="http://schemas.microsoft.com/office/drawing/2014/main" id="{644DB3AB-4976-4532-AFD8-55941D9FCE0C}"/>
            </a:ext>
            <a:ext uri="{147F2762-F138-4A5C-976F-8EAC2B608ADB}">
              <a16:predDERef xmlns:a16="http://schemas.microsoft.com/office/drawing/2014/main" pred="{663739E8-94C7-42AC-99D8-A323720E3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327660</xdr:colOff>
      <xdr:row>256</xdr:row>
      <xdr:rowOff>30480</xdr:rowOff>
    </xdr:from>
    <xdr:to>
      <xdr:col>17</xdr:col>
      <xdr:colOff>297180</xdr:colOff>
      <xdr:row>269</xdr:row>
      <xdr:rowOff>152399</xdr:rowOff>
    </xdr:to>
    <xdr:graphicFrame macro="">
      <xdr:nvGraphicFramePr>
        <xdr:cNvPr id="44" name="Grafico 21">
          <a:extLst>
            <a:ext uri="{FF2B5EF4-FFF2-40B4-BE49-F238E27FC236}">
              <a16:creationId xmlns:a16="http://schemas.microsoft.com/office/drawing/2014/main" id="{82BED40F-47C5-44AF-B68D-BF23E1193551}"/>
            </a:ext>
            <a:ext uri="{147F2762-F138-4A5C-976F-8EAC2B608ADB}">
              <a16:predDERef xmlns:a16="http://schemas.microsoft.com/office/drawing/2014/main" pred="{644DB3AB-4976-4532-AFD8-55941D9FC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topLeftCell="A214" workbookViewId="0">
      <selection activeCell="D230" sqref="D230"/>
    </sheetView>
  </sheetViews>
  <sheetFormatPr defaultColWidth="9.140625" defaultRowHeight="14.45"/>
  <cols>
    <col min="1" max="1" width="29.140625" style="2" customWidth="1"/>
    <col min="2" max="2" width="17.28515625" style="2" customWidth="1"/>
    <col min="3" max="3" width="17" style="5" customWidth="1"/>
    <col min="4" max="4" width="28" style="2" customWidth="1"/>
    <col min="5" max="5" width="16.85546875" style="2" customWidth="1"/>
    <col min="6" max="6" width="26.7109375" style="2" customWidth="1"/>
    <col min="7" max="7" width="9.140625" style="2"/>
    <col min="8" max="8" width="21" style="2" customWidth="1"/>
    <col min="9" max="9" width="15.7109375" style="2" customWidth="1"/>
    <col min="10" max="10" width="15.85546875" style="2" customWidth="1"/>
    <col min="11" max="11" width="14.5703125" style="2" customWidth="1"/>
    <col min="12" max="12" width="12" style="2" customWidth="1"/>
    <col min="13" max="16384" width="9.140625" style="2"/>
  </cols>
  <sheetData>
    <row r="1" spans="1:11">
      <c r="A1" s="1" t="s">
        <v>0</v>
      </c>
      <c r="C1" s="3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K1" s="1"/>
    </row>
    <row r="2" spans="1:11">
      <c r="A2" s="4">
        <v>1.0562917002525001E-2</v>
      </c>
      <c r="C2" s="5">
        <f>AVERAGE(A2:A16)</f>
        <v>1.0495500618207266E-2</v>
      </c>
      <c r="D2" s="2">
        <f>_xlfn.VAR.S(A2:A16)</f>
        <v>3.6934731558504494E-9</v>
      </c>
      <c r="E2" s="2">
        <f>SQRT(D2)/C2</f>
        <v>5.7904766532320536E-3</v>
      </c>
      <c r="H2" s="4">
        <v>1.0410201864741E-2</v>
      </c>
      <c r="I2" s="2">
        <f>1/15 - 0.5/15</f>
        <v>3.3333333333333333E-2</v>
      </c>
      <c r="J2" s="2">
        <f t="shared" ref="J2:J16" si="0">4.91*(I2^0.14-(1-I2)^0.14)</f>
        <v>-1.836858897688687</v>
      </c>
    </row>
    <row r="3" spans="1:11">
      <c r="A3" s="4">
        <v>1.0564526875348E-2</v>
      </c>
      <c r="H3" s="4">
        <v>1.0411292892817E-2</v>
      </c>
      <c r="I3" s="2">
        <f t="shared" ref="I3:I16" si="1">I2+1/15</f>
        <v>0.1</v>
      </c>
      <c r="J3" s="2">
        <f t="shared" si="0"/>
        <v>-1.2811261510381207</v>
      </c>
    </row>
    <row r="4" spans="1:11">
      <c r="A4" s="4">
        <v>1.0606361124314E-2</v>
      </c>
      <c r="C4" s="3" t="s">
        <v>7</v>
      </c>
      <c r="E4" s="1" t="s">
        <v>8</v>
      </c>
      <c r="H4" s="4">
        <v>1.0442104773880001E-2</v>
      </c>
      <c r="I4" s="2">
        <f t="shared" si="1"/>
        <v>0.16666666666666669</v>
      </c>
      <c r="J4" s="2">
        <f t="shared" si="0"/>
        <v>-0.96558119772402384</v>
      </c>
    </row>
    <row r="5" spans="1:11">
      <c r="A5" s="4">
        <v>1.0463883418809E-2</v>
      </c>
      <c r="C5" s="5">
        <f>MEDIAN(A2:A16)</f>
        <v>1.0481529046626E-2</v>
      </c>
      <c r="E5" s="2">
        <v>2.145</v>
      </c>
      <c r="H5" s="4">
        <v>1.0463883418809E-2</v>
      </c>
      <c r="I5" s="2">
        <f t="shared" si="1"/>
        <v>0.23333333333333334</v>
      </c>
      <c r="J5" s="2">
        <f t="shared" si="0"/>
        <v>-0.72575040815577163</v>
      </c>
    </row>
    <row r="6" spans="1:11">
      <c r="A6" s="4">
        <v>1.0488187977066001E-2</v>
      </c>
      <c r="H6" s="4">
        <v>1.0465223784001E-2</v>
      </c>
      <c r="I6" s="2">
        <f t="shared" si="1"/>
        <v>0.3</v>
      </c>
      <c r="J6" s="2">
        <f t="shared" si="0"/>
        <v>-0.52246305252576009</v>
      </c>
    </row>
    <row r="7" spans="1:11">
      <c r="A7" s="4">
        <v>1.0410201864741E-2</v>
      </c>
      <c r="C7" s="3"/>
      <c r="D7" s="1" t="s">
        <v>9</v>
      </c>
      <c r="H7" s="4">
        <v>1.0469793518288001E-2</v>
      </c>
      <c r="I7" s="2">
        <f t="shared" si="1"/>
        <v>0.36666666666666664</v>
      </c>
      <c r="J7" s="2">
        <f t="shared" si="0"/>
        <v>-0.33927638280750583</v>
      </c>
    </row>
    <row r="8" spans="1:11">
      <c r="A8" s="4">
        <v>1.0506490348009E-2</v>
      </c>
      <c r="C8" s="3" t="s">
        <v>10</v>
      </c>
      <c r="D8" s="2">
        <f>C2+E5*SQRT(D2)/(SQRT(15))</f>
        <v>1.0529159457885125E-2</v>
      </c>
      <c r="H8" s="4">
        <v>1.0471679092465E-2</v>
      </c>
      <c r="I8" s="2">
        <f t="shared" si="1"/>
        <v>0.43333333333333329</v>
      </c>
      <c r="J8" s="2">
        <f t="shared" si="0"/>
        <v>-0.16715058832373922</v>
      </c>
    </row>
    <row r="9" spans="1:11">
      <c r="A9" s="4">
        <v>1.0411292892817E-2</v>
      </c>
      <c r="C9" s="3" t="s">
        <v>11</v>
      </c>
      <c r="D9" s="2">
        <f>C2-E5*SQRT(D2)/(SQRT(15))</f>
        <v>1.0461841778529407E-2</v>
      </c>
      <c r="H9" s="4">
        <v>1.0481529046626E-2</v>
      </c>
      <c r="I9" s="2">
        <f t="shared" si="1"/>
        <v>0.49999999999999994</v>
      </c>
      <c r="J9" s="2">
        <f t="shared" si="0"/>
        <v>0</v>
      </c>
    </row>
    <row r="10" spans="1:11">
      <c r="A10" s="4">
        <v>1.059233399977E-2</v>
      </c>
      <c r="H10" s="4">
        <v>1.0488187977066001E-2</v>
      </c>
      <c r="I10" s="2">
        <f t="shared" si="1"/>
        <v>0.56666666666666665</v>
      </c>
      <c r="J10" s="2">
        <f t="shared" si="0"/>
        <v>0.16715058832373922</v>
      </c>
    </row>
    <row r="11" spans="1:11">
      <c r="A11" s="4">
        <v>1.0442104773880001E-2</v>
      </c>
      <c r="H11" s="4">
        <v>1.049598355445E-2</v>
      </c>
      <c r="I11" s="2">
        <f t="shared" si="1"/>
        <v>0.6333333333333333</v>
      </c>
      <c r="J11" s="2">
        <f t="shared" si="0"/>
        <v>0.33927638280750583</v>
      </c>
    </row>
    <row r="12" spans="1:11">
      <c r="A12" s="4">
        <v>1.0471679092465E-2</v>
      </c>
      <c r="H12" s="4">
        <v>1.0506490348009E-2</v>
      </c>
      <c r="I12" s="2">
        <f t="shared" si="1"/>
        <v>0.7</v>
      </c>
      <c r="J12" s="2">
        <f t="shared" si="0"/>
        <v>0.52246305252576009</v>
      </c>
    </row>
    <row r="13" spans="1:11">
      <c r="A13" s="4">
        <v>1.0465223784001E-2</v>
      </c>
      <c r="H13" s="4">
        <v>1.0562917002525001E-2</v>
      </c>
      <c r="I13" s="2">
        <f t="shared" si="1"/>
        <v>0.76666666666666661</v>
      </c>
      <c r="J13" s="2">
        <f t="shared" si="0"/>
        <v>0.72575040815577163</v>
      </c>
    </row>
    <row r="14" spans="1:11">
      <c r="A14" s="4">
        <v>1.0481529046626E-2</v>
      </c>
      <c r="H14" s="4">
        <v>1.0564526875348E-2</v>
      </c>
      <c r="I14" s="2">
        <f t="shared" si="1"/>
        <v>0.83333333333333326</v>
      </c>
      <c r="J14" s="2">
        <f t="shared" si="0"/>
        <v>0.96558119772402329</v>
      </c>
    </row>
    <row r="15" spans="1:11">
      <c r="A15" s="4">
        <v>1.0469793518288001E-2</v>
      </c>
      <c r="H15" s="4">
        <v>1.059233399977E-2</v>
      </c>
      <c r="I15" s="2">
        <f t="shared" si="1"/>
        <v>0.89999999999999991</v>
      </c>
      <c r="J15" s="2">
        <f t="shared" si="0"/>
        <v>1.2811261510381207</v>
      </c>
    </row>
    <row r="16" spans="1:11">
      <c r="A16" s="4">
        <v>1.049598355445E-2</v>
      </c>
      <c r="H16" s="4">
        <v>1.0606361124314E-2</v>
      </c>
      <c r="I16" s="2">
        <f t="shared" si="1"/>
        <v>0.96666666666666656</v>
      </c>
      <c r="J16" s="2">
        <f t="shared" si="0"/>
        <v>1.8368588976886859</v>
      </c>
    </row>
    <row r="17" spans="1:10" s="6" customFormat="1">
      <c r="C17" s="7"/>
    </row>
    <row r="18" spans="1:10">
      <c r="A18" s="1" t="s">
        <v>12</v>
      </c>
      <c r="C18" s="3" t="s">
        <v>1</v>
      </c>
      <c r="D18" s="1" t="s">
        <v>2</v>
      </c>
      <c r="E18" s="1" t="s">
        <v>3</v>
      </c>
      <c r="F18" s="1"/>
      <c r="G18" s="1"/>
      <c r="H18" s="1" t="s">
        <v>4</v>
      </c>
      <c r="I18" s="1" t="s">
        <v>5</v>
      </c>
      <c r="J18" s="1" t="s">
        <v>6</v>
      </c>
    </row>
    <row r="19" spans="1:10">
      <c r="A19" s="8">
        <v>1.2047118485457999E-2</v>
      </c>
      <c r="C19" s="5">
        <f>AVERAGE(A19:A33)</f>
        <v>1.2014217288394134E-2</v>
      </c>
      <c r="D19" s="2">
        <f>_xlfn.VAR.S(A19:A33)</f>
        <v>6.50611849185288E-9</v>
      </c>
      <c r="E19" s="2">
        <f>SQRT(D19)/C19</f>
        <v>6.7137552032810761E-3</v>
      </c>
      <c r="H19" s="8">
        <v>1.182715181781E-2</v>
      </c>
      <c r="I19" s="2">
        <f>1/15 - 0.5/15</f>
        <v>3.3333333333333333E-2</v>
      </c>
      <c r="J19" s="2">
        <f t="shared" ref="J19:J33" si="2">4.91*(I19^0.14-(1-I19)^0.14)</f>
        <v>-1.836858897688687</v>
      </c>
    </row>
    <row r="20" spans="1:10">
      <c r="A20" s="8">
        <v>1.1929603069483E-2</v>
      </c>
      <c r="H20" s="8">
        <v>1.1929603069483E-2</v>
      </c>
      <c r="I20" s="2">
        <f t="shared" ref="I20:I33" si="3">I19+1/15</f>
        <v>0.1</v>
      </c>
      <c r="J20" s="2">
        <f t="shared" si="2"/>
        <v>-1.2811261510381207</v>
      </c>
    </row>
    <row r="21" spans="1:10">
      <c r="A21" s="8">
        <v>1.2151276178683E-2</v>
      </c>
      <c r="C21" s="3" t="s">
        <v>7</v>
      </c>
      <c r="E21" s="1" t="s">
        <v>8</v>
      </c>
      <c r="H21" s="8">
        <v>1.1943563313829999E-2</v>
      </c>
      <c r="I21" s="2">
        <f t="shared" si="3"/>
        <v>0.16666666666666669</v>
      </c>
      <c r="J21" s="2">
        <f t="shared" si="2"/>
        <v>-0.96558119772402384</v>
      </c>
    </row>
    <row r="22" spans="1:10">
      <c r="A22" s="8">
        <v>1.2040088766375001E-2</v>
      </c>
      <c r="C22" s="5">
        <f>MEDIAN(A19:A33)</f>
        <v>1.2008260104613E-2</v>
      </c>
      <c r="E22" s="2">
        <v>2.145</v>
      </c>
      <c r="H22" s="8">
        <v>1.194820304819E-2</v>
      </c>
      <c r="I22" s="2">
        <f t="shared" si="3"/>
        <v>0.23333333333333334</v>
      </c>
      <c r="J22" s="2">
        <f t="shared" si="2"/>
        <v>-0.72575040815577163</v>
      </c>
    </row>
    <row r="23" spans="1:10">
      <c r="A23" s="8">
        <v>1.2008260104613E-2</v>
      </c>
      <c r="H23" s="8">
        <v>1.1992632197522E-2</v>
      </c>
      <c r="I23" s="2">
        <f t="shared" si="3"/>
        <v>0.3</v>
      </c>
      <c r="J23" s="2">
        <f t="shared" si="2"/>
        <v>-0.52246305252576009</v>
      </c>
    </row>
    <row r="24" spans="1:10">
      <c r="A24" s="8">
        <v>1.1943563313829999E-2</v>
      </c>
      <c r="C24" s="3"/>
      <c r="D24" s="1" t="s">
        <v>9</v>
      </c>
      <c r="H24" s="8">
        <v>1.1999344198786E-2</v>
      </c>
      <c r="I24" s="2">
        <f t="shared" si="3"/>
        <v>0.36666666666666664</v>
      </c>
      <c r="J24" s="2">
        <f t="shared" si="2"/>
        <v>-0.33927638280750583</v>
      </c>
    </row>
    <row r="25" spans="1:10">
      <c r="A25" s="8">
        <v>1.182715181781E-2</v>
      </c>
      <c r="C25" s="3" t="s">
        <v>10</v>
      </c>
      <c r="D25" s="2">
        <f>C19+E22*SQRT(D19)/(SQRT(15))</f>
        <v>1.2058890034622662E-2</v>
      </c>
      <c r="H25" s="8">
        <v>1.2006108157258E-2</v>
      </c>
      <c r="I25" s="2">
        <f t="shared" si="3"/>
        <v>0.43333333333333329</v>
      </c>
      <c r="J25" s="2">
        <f t="shared" si="2"/>
        <v>-0.16715058832373922</v>
      </c>
    </row>
    <row r="26" spans="1:10">
      <c r="A26" s="8">
        <v>1.194820304819E-2</v>
      </c>
      <c r="C26" s="3" t="s">
        <v>11</v>
      </c>
      <c r="D26" s="2">
        <f>C19-E22*SQRT(D19)/(SQRT(15))</f>
        <v>1.1969544542165606E-2</v>
      </c>
      <c r="H26" s="8">
        <v>1.2008260104613E-2</v>
      </c>
      <c r="I26" s="2">
        <f t="shared" si="3"/>
        <v>0.49999999999999994</v>
      </c>
      <c r="J26" s="2">
        <f t="shared" si="2"/>
        <v>0</v>
      </c>
    </row>
    <row r="27" spans="1:10">
      <c r="A27" s="8">
        <v>1.2067891140460999E-2</v>
      </c>
      <c r="H27" s="8">
        <v>1.2040088766375001E-2</v>
      </c>
      <c r="I27" s="2">
        <f t="shared" si="3"/>
        <v>0.56666666666666665</v>
      </c>
      <c r="J27" s="2">
        <f t="shared" si="2"/>
        <v>0.16715058832373922</v>
      </c>
    </row>
    <row r="28" spans="1:10">
      <c r="A28" s="8">
        <v>1.2106370633704001E-2</v>
      </c>
      <c r="H28" s="8">
        <v>1.2047118485457999E-2</v>
      </c>
      <c r="I28" s="2">
        <f t="shared" si="3"/>
        <v>0.6333333333333333</v>
      </c>
      <c r="J28" s="2">
        <f t="shared" si="2"/>
        <v>0.33927638280750583</v>
      </c>
    </row>
    <row r="29" spans="1:10">
      <c r="A29" s="8">
        <v>1.2075541292858E-2</v>
      </c>
      <c r="H29" s="8">
        <v>1.2067891140460999E-2</v>
      </c>
      <c r="I29" s="2">
        <f t="shared" si="3"/>
        <v>0.7</v>
      </c>
      <c r="J29" s="2">
        <f t="shared" si="2"/>
        <v>0.52246305252576009</v>
      </c>
    </row>
    <row r="30" spans="1:10">
      <c r="A30" s="8">
        <v>1.1992632197522E-2</v>
      </c>
      <c r="H30" s="8">
        <v>1.2070106920881001E-2</v>
      </c>
      <c r="I30" s="2">
        <f t="shared" si="3"/>
        <v>0.76666666666666661</v>
      </c>
      <c r="J30" s="2">
        <f t="shared" si="2"/>
        <v>0.72575040815577163</v>
      </c>
    </row>
    <row r="31" spans="1:10">
      <c r="A31" s="8">
        <v>1.2006108157258E-2</v>
      </c>
      <c r="H31" s="8">
        <v>1.2075541292858E-2</v>
      </c>
      <c r="I31" s="2">
        <f t="shared" si="3"/>
        <v>0.83333333333333326</v>
      </c>
      <c r="J31" s="2">
        <f t="shared" si="2"/>
        <v>0.96558119772402329</v>
      </c>
    </row>
    <row r="32" spans="1:10">
      <c r="A32" s="8">
        <v>1.2070106920881001E-2</v>
      </c>
      <c r="H32" s="8">
        <v>1.2106370633704001E-2</v>
      </c>
      <c r="I32" s="2">
        <f t="shared" si="3"/>
        <v>0.89999999999999991</v>
      </c>
      <c r="J32" s="2">
        <f t="shared" si="2"/>
        <v>1.2811261510381207</v>
      </c>
    </row>
    <row r="33" spans="1:10">
      <c r="A33" s="8">
        <v>1.1999344198786E-2</v>
      </c>
      <c r="H33" s="8">
        <v>1.2151276178683E-2</v>
      </c>
      <c r="I33" s="2">
        <f t="shared" si="3"/>
        <v>0.96666666666666656</v>
      </c>
      <c r="J33" s="2">
        <f t="shared" si="2"/>
        <v>1.8368588976886859</v>
      </c>
    </row>
    <row r="34" spans="1:10" s="6" customFormat="1">
      <c r="C34" s="7"/>
    </row>
    <row r="35" spans="1:10">
      <c r="A35" s="1" t="s">
        <v>13</v>
      </c>
      <c r="C35" s="3" t="s">
        <v>1</v>
      </c>
      <c r="D35" s="1" t="s">
        <v>2</v>
      </c>
      <c r="E35" s="1" t="s">
        <v>3</v>
      </c>
      <c r="F35" s="1"/>
      <c r="H35" s="1" t="s">
        <v>4</v>
      </c>
      <c r="I35" s="1" t="s">
        <v>5</v>
      </c>
      <c r="J35" s="1" t="s">
        <v>6</v>
      </c>
    </row>
    <row r="36" spans="1:10">
      <c r="A36" s="9">
        <v>1.3903180639964E-2</v>
      </c>
      <c r="C36" s="5">
        <f>AVERAGE(A36:A50)</f>
        <v>1.3829698865016201E-2</v>
      </c>
      <c r="D36" s="2">
        <f>_xlfn.VAR.S(A36:A50)</f>
        <v>1.1470801911212159E-8</v>
      </c>
      <c r="E36" s="2">
        <f>SQRT(D36)/C36</f>
        <v>7.7443356273033878E-3</v>
      </c>
      <c r="H36" s="9">
        <v>1.3596245151938999E-2</v>
      </c>
      <c r="I36" s="2">
        <f>1/15 - 0.5/15</f>
        <v>3.3333333333333333E-2</v>
      </c>
      <c r="J36" s="2">
        <f t="shared" ref="J36:J50" si="4">4.91*(I36^0.14-(1-I36)^0.14)</f>
        <v>-1.836858897688687</v>
      </c>
    </row>
    <row r="37" spans="1:10">
      <c r="A37" s="9">
        <v>1.3944907908945E-2</v>
      </c>
      <c r="H37" s="9">
        <v>1.3702591398253999E-2</v>
      </c>
      <c r="I37" s="2">
        <f t="shared" ref="I37:I50" si="5">I36+1/15</f>
        <v>0.1</v>
      </c>
      <c r="J37" s="2">
        <f t="shared" si="4"/>
        <v>-1.2811261510381207</v>
      </c>
    </row>
    <row r="38" spans="1:10">
      <c r="A38" s="9">
        <v>1.3743209193934999E-2</v>
      </c>
      <c r="C38" s="3" t="s">
        <v>7</v>
      </c>
      <c r="E38" s="1" t="s">
        <v>8</v>
      </c>
      <c r="H38" s="9">
        <v>1.3723753386758001E-2</v>
      </c>
      <c r="I38" s="2">
        <f t="shared" si="5"/>
        <v>0.16666666666666669</v>
      </c>
      <c r="J38" s="2">
        <f t="shared" si="4"/>
        <v>-0.96558119772402384</v>
      </c>
    </row>
    <row r="39" spans="1:10">
      <c r="A39" s="9">
        <v>1.3782863681224999E-2</v>
      </c>
      <c r="C39" s="5">
        <f>MEDIAN(A36:A50)</f>
        <v>1.3891109740642E-2</v>
      </c>
      <c r="E39" s="2">
        <v>2.145</v>
      </c>
      <c r="H39" s="9">
        <v>1.3743209193934999E-2</v>
      </c>
      <c r="I39" s="2">
        <f t="shared" si="5"/>
        <v>0.23333333333333334</v>
      </c>
      <c r="J39" s="2">
        <f t="shared" si="4"/>
        <v>-0.72575040815577163</v>
      </c>
    </row>
    <row r="40" spans="1:10">
      <c r="A40" s="9">
        <v>1.3723753386758001E-2</v>
      </c>
      <c r="H40" s="9">
        <v>1.3767111054314E-2</v>
      </c>
      <c r="I40" s="2">
        <f t="shared" si="5"/>
        <v>0.3</v>
      </c>
      <c r="J40" s="2">
        <f t="shared" si="4"/>
        <v>-0.52246305252576009</v>
      </c>
    </row>
    <row r="41" spans="1:10">
      <c r="A41" s="9">
        <v>1.3918879699360001E-2</v>
      </c>
      <c r="C41" s="3"/>
      <c r="D41" s="1" t="s">
        <v>9</v>
      </c>
      <c r="H41" s="9">
        <v>1.3782863681224999E-2</v>
      </c>
      <c r="I41" s="2">
        <f t="shared" si="5"/>
        <v>0.36666666666666664</v>
      </c>
      <c r="J41" s="2">
        <f t="shared" si="4"/>
        <v>-0.33927638280750583</v>
      </c>
    </row>
    <row r="42" spans="1:10">
      <c r="A42" s="9">
        <v>1.3912016989949001E-2</v>
      </c>
      <c r="C42" s="3" t="s">
        <v>10</v>
      </c>
      <c r="D42" s="2">
        <f>C36+E39*SQRT(D36)/(SQRT(15))</f>
        <v>1.3889015780177356E-2</v>
      </c>
      <c r="H42" s="9">
        <v>1.3791034332399E-2</v>
      </c>
      <c r="I42" s="2">
        <f t="shared" si="5"/>
        <v>0.43333333333333329</v>
      </c>
      <c r="J42" s="2">
        <f t="shared" si="4"/>
        <v>-0.16715058832373922</v>
      </c>
    </row>
    <row r="43" spans="1:10">
      <c r="A43" s="9">
        <v>1.392508461212E-2</v>
      </c>
      <c r="C43" s="3" t="s">
        <v>11</v>
      </c>
      <c r="D43" s="2">
        <f>C36-E39*SQRT(D36)/(SQRT(15))</f>
        <v>1.3770381949855045E-2</v>
      </c>
      <c r="H43" s="9">
        <v>1.3891109740642E-2</v>
      </c>
      <c r="I43" s="2">
        <f t="shared" si="5"/>
        <v>0.49999999999999994</v>
      </c>
      <c r="J43" s="2">
        <f t="shared" si="4"/>
        <v>0</v>
      </c>
    </row>
    <row r="44" spans="1:10">
      <c r="A44" s="9">
        <v>1.3907503340134001E-2</v>
      </c>
      <c r="H44" s="9">
        <v>1.3903180639964E-2</v>
      </c>
      <c r="I44" s="2">
        <f t="shared" si="5"/>
        <v>0.56666666666666665</v>
      </c>
      <c r="J44" s="2">
        <f t="shared" si="4"/>
        <v>0.16715058832373922</v>
      </c>
    </row>
    <row r="45" spans="1:10">
      <c r="A45" s="9">
        <v>1.3596245151938999E-2</v>
      </c>
      <c r="H45" s="9">
        <v>1.3907503340134001E-2</v>
      </c>
      <c r="I45" s="2">
        <f t="shared" si="5"/>
        <v>0.6333333333333333</v>
      </c>
      <c r="J45" s="2">
        <f t="shared" si="4"/>
        <v>0.33927638280750583</v>
      </c>
    </row>
    <row r="46" spans="1:10">
      <c r="A46" s="9">
        <v>1.3767111054314E-2</v>
      </c>
      <c r="H46" s="9">
        <v>1.3912016989949001E-2</v>
      </c>
      <c r="I46" s="2">
        <f t="shared" si="5"/>
        <v>0.7</v>
      </c>
      <c r="J46" s="2">
        <f t="shared" si="4"/>
        <v>0.52246305252576009</v>
      </c>
    </row>
    <row r="47" spans="1:10">
      <c r="A47" s="9">
        <v>1.3702591398253999E-2</v>
      </c>
      <c r="H47" s="9">
        <v>1.3918879699360001E-2</v>
      </c>
      <c r="I47" s="2">
        <f t="shared" si="5"/>
        <v>0.76666666666666661</v>
      </c>
      <c r="J47" s="2">
        <f t="shared" si="4"/>
        <v>0.72575040815577163</v>
      </c>
    </row>
    <row r="48" spans="1:10">
      <c r="A48" s="9">
        <v>1.3935991845305E-2</v>
      </c>
      <c r="H48" s="9">
        <v>1.392508461212E-2</v>
      </c>
      <c r="I48" s="2">
        <f t="shared" si="5"/>
        <v>0.83333333333333326</v>
      </c>
      <c r="J48" s="2">
        <f t="shared" si="4"/>
        <v>0.96558119772402329</v>
      </c>
    </row>
    <row r="49" spans="1:10">
      <c r="A49" s="9">
        <v>1.3791034332399E-2</v>
      </c>
      <c r="H49" s="9">
        <v>1.3935991845305E-2</v>
      </c>
      <c r="I49" s="2">
        <f t="shared" si="5"/>
        <v>0.89999999999999991</v>
      </c>
      <c r="J49" s="2">
        <f t="shared" si="4"/>
        <v>1.2811261510381207</v>
      </c>
    </row>
    <row r="50" spans="1:10">
      <c r="A50" s="9">
        <v>1.3891109740642E-2</v>
      </c>
      <c r="H50" s="9">
        <v>1.3944907908945E-2</v>
      </c>
      <c r="I50" s="2">
        <f t="shared" si="5"/>
        <v>0.96666666666666656</v>
      </c>
      <c r="J50" s="2">
        <f t="shared" si="4"/>
        <v>1.8368588976886859</v>
      </c>
    </row>
    <row r="51" spans="1:10" s="6" customFormat="1">
      <c r="C51" s="7"/>
    </row>
    <row r="52" spans="1:10">
      <c r="A52" s="1" t="s">
        <v>14</v>
      </c>
      <c r="C52" s="3" t="s">
        <v>1</v>
      </c>
      <c r="D52" s="1" t="s">
        <v>2</v>
      </c>
      <c r="E52" s="1" t="s">
        <v>3</v>
      </c>
      <c r="F52" s="1"/>
      <c r="H52" s="1" t="s">
        <v>4</v>
      </c>
      <c r="I52" s="1" t="s">
        <v>5</v>
      </c>
      <c r="J52" s="1" t="s">
        <v>6</v>
      </c>
    </row>
    <row r="53" spans="1:10">
      <c r="A53" s="9">
        <v>1.6210876263792001E-2</v>
      </c>
      <c r="C53" s="5">
        <f>AVERAGE(A53:A67)</f>
        <v>1.6028161371976067E-2</v>
      </c>
      <c r="D53" s="2">
        <f>_xlfn.VAR.S(A53:A67)</f>
        <v>2.3014924881170284E-8</v>
      </c>
      <c r="E53" s="2">
        <f>SQRT(D53)/C53</f>
        <v>9.4650099444596163E-3</v>
      </c>
      <c r="H53" s="9">
        <v>1.5793215667728001E-2</v>
      </c>
      <c r="I53" s="2">
        <f>1/15 - 0.5/15</f>
        <v>3.3333333333333333E-2</v>
      </c>
      <c r="J53" s="2">
        <f t="shared" ref="J53:J67" si="6">4.91*(I53^0.14-(1-I53)^0.14)</f>
        <v>-1.836858897688687</v>
      </c>
    </row>
    <row r="54" spans="1:10">
      <c r="A54" s="9">
        <v>1.5942262739487002E-2</v>
      </c>
      <c r="H54" s="9">
        <v>1.579415978076E-2</v>
      </c>
      <c r="I54" s="2">
        <f t="shared" ref="I54:I67" si="7">I53+1/15</f>
        <v>0.1</v>
      </c>
      <c r="J54" s="2">
        <f t="shared" si="6"/>
        <v>-1.2811261510381207</v>
      </c>
    </row>
    <row r="55" spans="1:10">
      <c r="A55" s="9">
        <v>1.5955946343875999E-2</v>
      </c>
      <c r="C55" s="3" t="s">
        <v>7</v>
      </c>
      <c r="E55" s="1" t="s">
        <v>8</v>
      </c>
      <c r="H55" s="9">
        <v>1.5802104073394999E-2</v>
      </c>
      <c r="I55" s="2">
        <f t="shared" si="7"/>
        <v>0.16666666666666669</v>
      </c>
      <c r="J55" s="2">
        <f t="shared" si="6"/>
        <v>-0.96558119772402384</v>
      </c>
    </row>
    <row r="56" spans="1:10">
      <c r="A56" s="9">
        <v>1.6043369483811999E-2</v>
      </c>
      <c r="C56" s="5">
        <f>MEDIAN(A53:A67)</f>
        <v>1.6043369483811999E-2</v>
      </c>
      <c r="E56" s="2">
        <v>2.145</v>
      </c>
      <c r="H56" s="9">
        <v>1.5942262739487002E-2</v>
      </c>
      <c r="I56" s="2">
        <f t="shared" si="7"/>
        <v>0.23333333333333334</v>
      </c>
      <c r="J56" s="2">
        <f t="shared" si="6"/>
        <v>-0.72575040815577163</v>
      </c>
    </row>
    <row r="57" spans="1:10">
      <c r="A57" s="9">
        <v>1.6029075565724998E-2</v>
      </c>
      <c r="H57" s="9">
        <v>1.5952975608454E-2</v>
      </c>
      <c r="I57" s="2">
        <f t="shared" si="7"/>
        <v>0.3</v>
      </c>
      <c r="J57" s="2">
        <f t="shared" si="6"/>
        <v>-0.52246305252576009</v>
      </c>
    </row>
    <row r="58" spans="1:10">
      <c r="A58" s="9">
        <v>1.6063174976818001E-2</v>
      </c>
      <c r="C58" s="3"/>
      <c r="D58" s="1" t="s">
        <v>9</v>
      </c>
      <c r="H58" s="9">
        <v>1.5955946343875999E-2</v>
      </c>
      <c r="I58" s="2">
        <f t="shared" si="7"/>
        <v>0.36666666666666664</v>
      </c>
      <c r="J58" s="2">
        <f t="shared" si="6"/>
        <v>-0.33927638280750583</v>
      </c>
    </row>
    <row r="59" spans="1:10">
      <c r="A59" s="9">
        <v>1.5802104073394999E-2</v>
      </c>
      <c r="C59" s="3" t="s">
        <v>10</v>
      </c>
      <c r="D59" s="2">
        <f>C53+E56*SQRT(D53)/(SQRT(15))</f>
        <v>1.6112182101462463E-2</v>
      </c>
      <c r="H59" s="9">
        <v>1.6029075565724998E-2</v>
      </c>
      <c r="I59" s="2">
        <f t="shared" si="7"/>
        <v>0.43333333333333329</v>
      </c>
      <c r="J59" s="2">
        <f t="shared" si="6"/>
        <v>-0.16715058832373922</v>
      </c>
    </row>
    <row r="60" spans="1:10">
      <c r="A60" s="9">
        <v>1.579415978076E-2</v>
      </c>
      <c r="C60" s="3" t="s">
        <v>11</v>
      </c>
      <c r="D60" s="2">
        <f>C53-E56*SQRT(D53)/(SQRT(15))</f>
        <v>1.5944140642489672E-2</v>
      </c>
      <c r="H60" s="9">
        <v>1.6043369483811999E-2</v>
      </c>
      <c r="I60" s="2">
        <f t="shared" si="7"/>
        <v>0.49999999999999994</v>
      </c>
      <c r="J60" s="2">
        <f t="shared" si="6"/>
        <v>0</v>
      </c>
    </row>
    <row r="61" spans="1:10">
      <c r="A61" s="9">
        <v>1.6231581777766999E-2</v>
      </c>
      <c r="H61" s="9">
        <v>1.6063174976818001E-2</v>
      </c>
      <c r="I61" s="2">
        <f t="shared" si="7"/>
        <v>0.56666666666666665</v>
      </c>
      <c r="J61" s="2">
        <f t="shared" si="6"/>
        <v>0.16715058832373922</v>
      </c>
    </row>
    <row r="62" spans="1:10">
      <c r="A62" s="9">
        <v>1.6193730630806001E-2</v>
      </c>
      <c r="H62" s="9">
        <v>1.6103806046625001E-2</v>
      </c>
      <c r="I62" s="2">
        <f t="shared" si="7"/>
        <v>0.6333333333333333</v>
      </c>
      <c r="J62" s="2">
        <f t="shared" si="6"/>
        <v>0.33927638280750583</v>
      </c>
    </row>
    <row r="63" spans="1:10">
      <c r="A63" s="9">
        <v>1.5793215667728001E-2</v>
      </c>
      <c r="H63" s="9">
        <v>1.6118853613483999E-2</v>
      </c>
      <c r="I63" s="2">
        <f t="shared" si="7"/>
        <v>0.7</v>
      </c>
      <c r="J63" s="2">
        <f t="shared" si="6"/>
        <v>0.52246305252576009</v>
      </c>
    </row>
    <row r="64" spans="1:10">
      <c r="A64" s="9">
        <v>1.6103806046625001E-2</v>
      </c>
      <c r="H64" s="9">
        <v>1.6187288007112E-2</v>
      </c>
      <c r="I64" s="2">
        <f t="shared" si="7"/>
        <v>0.76666666666666661</v>
      </c>
      <c r="J64" s="2">
        <f t="shared" si="6"/>
        <v>0.72575040815577163</v>
      </c>
    </row>
    <row r="65" spans="1:10">
      <c r="A65" s="9">
        <v>1.6187288007112E-2</v>
      </c>
      <c r="H65" s="9">
        <v>1.6193730630806001E-2</v>
      </c>
      <c r="I65" s="2">
        <f t="shared" si="7"/>
        <v>0.83333333333333326</v>
      </c>
      <c r="J65" s="2">
        <f t="shared" si="6"/>
        <v>0.96558119772402329</v>
      </c>
    </row>
    <row r="66" spans="1:10">
      <c r="A66" s="9">
        <v>1.6118853613483999E-2</v>
      </c>
      <c r="H66" s="9">
        <v>1.6210876263792001E-2</v>
      </c>
      <c r="I66" s="2">
        <f t="shared" si="7"/>
        <v>0.89999999999999991</v>
      </c>
      <c r="J66" s="2">
        <f t="shared" si="6"/>
        <v>1.2811261510381207</v>
      </c>
    </row>
    <row r="67" spans="1:10">
      <c r="A67" s="9">
        <v>1.5952975608454E-2</v>
      </c>
      <c r="H67" s="9">
        <v>1.6231581777766999E-2</v>
      </c>
      <c r="I67" s="2">
        <f t="shared" si="7"/>
        <v>0.96666666666666656</v>
      </c>
      <c r="J67" s="2">
        <f t="shared" si="6"/>
        <v>1.8368588976886859</v>
      </c>
    </row>
    <row r="68" spans="1:10" s="6" customFormat="1">
      <c r="C68" s="7"/>
    </row>
    <row r="69" spans="1:10">
      <c r="A69" s="1" t="s">
        <v>15</v>
      </c>
      <c r="C69" s="3" t="s">
        <v>1</v>
      </c>
      <c r="D69" s="1" t="s">
        <v>2</v>
      </c>
      <c r="E69" s="1" t="s">
        <v>3</v>
      </c>
      <c r="F69" s="1"/>
      <c r="H69" s="1" t="s">
        <v>4</v>
      </c>
      <c r="I69" s="1" t="s">
        <v>5</v>
      </c>
      <c r="J69" s="1" t="s">
        <v>6</v>
      </c>
    </row>
    <row r="70" spans="1:10">
      <c r="A70" s="4">
        <v>1.8668500327054E-2</v>
      </c>
      <c r="C70" s="5">
        <f>AVERAGE(A70:A84)</f>
        <v>1.8823458917969268E-2</v>
      </c>
      <c r="D70" s="2">
        <f>_xlfn.VAR.S(A70:A84)</f>
        <v>5.7968072438069416E-8</v>
      </c>
      <c r="E70" s="2">
        <f>SQRT(D70)/C70</f>
        <v>1.2790720212891819E-2</v>
      </c>
      <c r="H70" s="4">
        <v>1.8285049526882001E-2</v>
      </c>
      <c r="I70" s="2">
        <f>1/15 - 0.5/15</f>
        <v>3.3333333333333333E-2</v>
      </c>
      <c r="J70" s="2">
        <f t="shared" ref="J70:J84" si="8">4.91*(I70^0.14-(1-I70)^0.14)</f>
        <v>-1.836858897688687</v>
      </c>
    </row>
    <row r="71" spans="1:10">
      <c r="A71" s="4">
        <v>1.8711001016622E-2</v>
      </c>
      <c r="H71" s="4">
        <v>1.8548080628358998E-2</v>
      </c>
      <c r="I71" s="2">
        <f t="shared" ref="I71:I84" si="9">I70+1/15</f>
        <v>0.1</v>
      </c>
      <c r="J71" s="2">
        <f t="shared" si="8"/>
        <v>-1.2811261510381207</v>
      </c>
    </row>
    <row r="72" spans="1:10">
      <c r="A72" s="4">
        <v>1.8927233832281998E-2</v>
      </c>
      <c r="C72" s="3" t="s">
        <v>7</v>
      </c>
      <c r="E72" s="1" t="s">
        <v>8</v>
      </c>
      <c r="H72" s="4">
        <v>1.8564608884743001E-2</v>
      </c>
      <c r="I72" s="2">
        <f t="shared" si="9"/>
        <v>0.16666666666666669</v>
      </c>
      <c r="J72" s="2">
        <f t="shared" si="8"/>
        <v>-0.96558119772402384</v>
      </c>
    </row>
    <row r="73" spans="1:10">
      <c r="A73" s="4">
        <v>1.8904905359772999E-2</v>
      </c>
      <c r="C73" s="5">
        <f>MEDIAN(A70:A84)</f>
        <v>1.8877358970581001E-2</v>
      </c>
      <c r="E73" s="2">
        <v>2.145</v>
      </c>
      <c r="H73" s="4">
        <v>1.8668500327054E-2</v>
      </c>
      <c r="I73" s="2">
        <f t="shared" si="9"/>
        <v>0.23333333333333334</v>
      </c>
      <c r="J73" s="2">
        <f t="shared" si="8"/>
        <v>-0.72575040815577163</v>
      </c>
    </row>
    <row r="74" spans="1:10">
      <c r="A74" s="4">
        <v>1.8548080628358998E-2</v>
      </c>
      <c r="H74" s="4">
        <v>1.8711001016622E-2</v>
      </c>
      <c r="I74" s="2">
        <f t="shared" si="9"/>
        <v>0.3</v>
      </c>
      <c r="J74" s="2">
        <f t="shared" si="8"/>
        <v>-0.52246305252576009</v>
      </c>
    </row>
    <row r="75" spans="1:10">
      <c r="A75" s="4">
        <v>1.8771685052089999E-2</v>
      </c>
      <c r="C75" s="3"/>
      <c r="D75" s="1" t="s">
        <v>9</v>
      </c>
      <c r="H75" s="4">
        <v>1.8771685052089999E-2</v>
      </c>
      <c r="I75" s="2">
        <f t="shared" si="9"/>
        <v>0.36666666666666664</v>
      </c>
      <c r="J75" s="2">
        <f t="shared" si="8"/>
        <v>-0.33927638280750583</v>
      </c>
    </row>
    <row r="76" spans="1:10">
      <c r="A76" s="4">
        <v>1.8285049526882001E-2</v>
      </c>
      <c r="C76" s="3" t="s">
        <v>10</v>
      </c>
      <c r="D76" s="2">
        <f>C70+E73*SQRT(D70)/(SQRT(15))</f>
        <v>1.8956803721764882E-2</v>
      </c>
      <c r="H76" s="4">
        <v>1.8837430192886001E-2</v>
      </c>
      <c r="I76" s="2">
        <f t="shared" si="9"/>
        <v>0.43333333333333329</v>
      </c>
      <c r="J76" s="2">
        <f t="shared" si="8"/>
        <v>-0.16715058832373922</v>
      </c>
    </row>
    <row r="77" spans="1:10">
      <c r="A77" s="4">
        <v>1.8877358970581001E-2</v>
      </c>
      <c r="C77" s="3" t="s">
        <v>11</v>
      </c>
      <c r="D77" s="2">
        <f>C70-E73*SQRT(D70)/(SQRT(15))</f>
        <v>1.8690114114173654E-2</v>
      </c>
      <c r="H77" s="4">
        <v>1.8877358970581001E-2</v>
      </c>
      <c r="I77" s="2">
        <f t="shared" si="9"/>
        <v>0.49999999999999994</v>
      </c>
      <c r="J77" s="2">
        <f t="shared" si="8"/>
        <v>0</v>
      </c>
    </row>
    <row r="78" spans="1:10">
      <c r="A78" s="4">
        <v>1.8957740971330999E-2</v>
      </c>
      <c r="H78" s="4">
        <v>1.8904905359772999E-2</v>
      </c>
      <c r="I78" s="2">
        <f t="shared" si="9"/>
        <v>0.56666666666666665</v>
      </c>
      <c r="J78" s="2">
        <f t="shared" si="8"/>
        <v>0.16715058832373922</v>
      </c>
    </row>
    <row r="79" spans="1:10">
      <c r="A79" s="4">
        <v>1.8837430192886001E-2</v>
      </c>
      <c r="H79" s="4">
        <v>1.8927233832281998E-2</v>
      </c>
      <c r="I79" s="2">
        <f t="shared" si="9"/>
        <v>0.6333333333333333</v>
      </c>
      <c r="J79" s="2">
        <f t="shared" si="8"/>
        <v>0.33927638280750583</v>
      </c>
    </row>
    <row r="80" spans="1:10">
      <c r="A80" s="4">
        <v>1.8932792993983E-2</v>
      </c>
      <c r="H80" s="4">
        <v>1.8932792993983E-2</v>
      </c>
      <c r="I80" s="2">
        <f t="shared" si="9"/>
        <v>0.7</v>
      </c>
      <c r="J80" s="2">
        <f t="shared" si="8"/>
        <v>0.52246305252576009</v>
      </c>
    </row>
    <row r="81" spans="1:10">
      <c r="A81" s="4">
        <v>1.8564608884743001E-2</v>
      </c>
      <c r="H81" s="4">
        <v>1.8957740971330999E-2</v>
      </c>
      <c r="I81" s="2">
        <f t="shared" si="9"/>
        <v>0.76666666666666661</v>
      </c>
      <c r="J81" s="2">
        <f t="shared" si="8"/>
        <v>0.72575040815577163</v>
      </c>
    </row>
    <row r="82" spans="1:10">
      <c r="A82" s="4">
        <v>1.9149834545683999E-2</v>
      </c>
      <c r="H82" s="4">
        <v>1.9005978304688999E-2</v>
      </c>
      <c r="I82" s="2">
        <f t="shared" si="9"/>
        <v>0.83333333333333326</v>
      </c>
      <c r="J82" s="2">
        <f t="shared" si="8"/>
        <v>0.96558119772402329</v>
      </c>
    </row>
    <row r="83" spans="1:10">
      <c r="A83" s="4">
        <v>1.9005978304688999E-2</v>
      </c>
      <c r="H83" s="4">
        <v>1.9149834545683999E-2</v>
      </c>
      <c r="I83" s="2">
        <f t="shared" si="9"/>
        <v>0.89999999999999991</v>
      </c>
      <c r="J83" s="2">
        <f t="shared" si="8"/>
        <v>1.2811261510381207</v>
      </c>
    </row>
    <row r="84" spans="1:10">
      <c r="A84" s="4">
        <v>1.920968316258E-2</v>
      </c>
      <c r="H84" s="4">
        <v>1.920968316258E-2</v>
      </c>
      <c r="I84" s="2">
        <f t="shared" si="9"/>
        <v>0.96666666666666656</v>
      </c>
      <c r="J84" s="2">
        <f t="shared" si="8"/>
        <v>1.8368588976886859</v>
      </c>
    </row>
    <row r="85" spans="1:10" s="6" customFormat="1">
      <c r="C85" s="7"/>
    </row>
    <row r="86" spans="1:10">
      <c r="A86" s="1" t="s">
        <v>16</v>
      </c>
      <c r="C86" s="3" t="s">
        <v>1</v>
      </c>
      <c r="D86" s="1" t="s">
        <v>2</v>
      </c>
      <c r="E86" s="1" t="s">
        <v>3</v>
      </c>
      <c r="F86" s="1"/>
      <c r="H86" s="1" t="s">
        <v>4</v>
      </c>
      <c r="I86" s="1" t="s">
        <v>5</v>
      </c>
      <c r="J86" s="1" t="s">
        <v>6</v>
      </c>
    </row>
    <row r="87" spans="1:10">
      <c r="A87" s="9">
        <v>2.1885480636592999E-2</v>
      </c>
      <c r="C87" s="5">
        <f>AVERAGE(A87:A101)</f>
        <v>2.2441491291538732E-2</v>
      </c>
      <c r="D87" s="2">
        <f>_xlfn.VAR.S(A87:A101)</f>
        <v>7.8733520087396914E-8</v>
      </c>
      <c r="E87" s="2">
        <f>SQRT(D87)/C87</f>
        <v>1.2503399880177903E-2</v>
      </c>
      <c r="H87" s="9">
        <v>2.1885480636592999E-2</v>
      </c>
      <c r="I87" s="2">
        <f>1/15 - 0.5/15</f>
        <v>3.3333333333333333E-2</v>
      </c>
      <c r="J87" s="2">
        <f t="shared" ref="J87:J101" si="10">4.91*(I87^0.14-(1-I87)^0.14)</f>
        <v>-1.836858897688687</v>
      </c>
    </row>
    <row r="88" spans="1:10">
      <c r="A88" s="9">
        <v>2.2306728599586999E-2</v>
      </c>
      <c r="H88" s="9">
        <v>2.2016118164858999E-2</v>
      </c>
      <c r="I88" s="2">
        <f t="shared" ref="I88:I101" si="11">I87+1/15</f>
        <v>0.1</v>
      </c>
      <c r="J88" s="2">
        <f t="shared" si="10"/>
        <v>-1.2811261510381207</v>
      </c>
    </row>
    <row r="89" spans="1:10">
      <c r="A89" s="9">
        <v>2.2352716731093E-2</v>
      </c>
      <c r="C89" s="3" t="s">
        <v>7</v>
      </c>
      <c r="E89" s="1" t="s">
        <v>8</v>
      </c>
      <c r="H89" s="9">
        <v>2.2278307802557001E-2</v>
      </c>
      <c r="I89" s="2">
        <f t="shared" si="11"/>
        <v>0.16666666666666669</v>
      </c>
      <c r="J89" s="2">
        <f t="shared" si="10"/>
        <v>-0.96558119772402384</v>
      </c>
    </row>
    <row r="90" spans="1:10">
      <c r="A90" s="9">
        <v>2.2340484171614002E-2</v>
      </c>
      <c r="C90" s="5">
        <f>MEDIAN(A87:A101)</f>
        <v>2.2412258348465001E-2</v>
      </c>
      <c r="E90" s="2">
        <v>2.145</v>
      </c>
      <c r="H90" s="9">
        <v>2.2306728599586999E-2</v>
      </c>
      <c r="I90" s="2">
        <f t="shared" si="11"/>
        <v>0.23333333333333334</v>
      </c>
      <c r="J90" s="2">
        <f t="shared" si="10"/>
        <v>-0.72575040815577163</v>
      </c>
    </row>
    <row r="91" spans="1:10">
      <c r="A91" s="9">
        <v>2.2573612474342999E-2</v>
      </c>
      <c r="H91" s="9">
        <v>2.2333941485232999E-2</v>
      </c>
      <c r="I91" s="2">
        <f t="shared" si="11"/>
        <v>0.3</v>
      </c>
      <c r="J91" s="2">
        <f t="shared" si="10"/>
        <v>-0.52246305252576009</v>
      </c>
    </row>
    <row r="92" spans="1:10">
      <c r="A92" s="9">
        <v>2.2783453245927E-2</v>
      </c>
      <c r="C92" s="3"/>
      <c r="D92" s="1" t="s">
        <v>9</v>
      </c>
      <c r="H92" s="9">
        <v>2.2340484171614002E-2</v>
      </c>
      <c r="I92" s="2">
        <f t="shared" si="11"/>
        <v>0.36666666666666664</v>
      </c>
      <c r="J92" s="2">
        <f t="shared" si="10"/>
        <v>-0.33927638280750583</v>
      </c>
    </row>
    <row r="93" spans="1:10">
      <c r="A93" s="9">
        <v>2.2497087002677999E-2</v>
      </c>
      <c r="C93" s="3" t="s">
        <v>10</v>
      </c>
      <c r="D93" s="2">
        <f>C87+E90*SQRT(D87)/(SQRT(15))</f>
        <v>2.2596895044015974E-2</v>
      </c>
      <c r="H93" s="9">
        <v>2.2352716731093E-2</v>
      </c>
      <c r="I93" s="2">
        <f t="shared" si="11"/>
        <v>0.43333333333333329</v>
      </c>
      <c r="J93" s="2">
        <f t="shared" si="10"/>
        <v>-0.16715058832373922</v>
      </c>
    </row>
    <row r="94" spans="1:10">
      <c r="A94" s="9">
        <v>2.2772490564611999E-2</v>
      </c>
      <c r="C94" s="3" t="s">
        <v>11</v>
      </c>
      <c r="D94" s="2">
        <f>C87-E90*SQRT(D87)/(SQRT(15))</f>
        <v>2.2286087539061489E-2</v>
      </c>
      <c r="H94" s="9">
        <v>2.2412258348465001E-2</v>
      </c>
      <c r="I94" s="2">
        <f t="shared" si="11"/>
        <v>0.49999999999999994</v>
      </c>
      <c r="J94" s="2">
        <f t="shared" si="10"/>
        <v>0</v>
      </c>
    </row>
    <row r="95" spans="1:10">
      <c r="A95" s="9">
        <v>2.2016118164858999E-2</v>
      </c>
      <c r="H95" s="9">
        <v>2.2446448151502998E-2</v>
      </c>
      <c r="I95" s="2">
        <f t="shared" si="11"/>
        <v>0.56666666666666665</v>
      </c>
      <c r="J95" s="2">
        <f t="shared" si="10"/>
        <v>0.16715058832373922</v>
      </c>
    </row>
    <row r="96" spans="1:10">
      <c r="A96" s="9">
        <v>2.2333941485232999E-2</v>
      </c>
      <c r="H96" s="9">
        <v>2.2497087002677999E-2</v>
      </c>
      <c r="I96" s="2">
        <f t="shared" si="11"/>
        <v>0.6333333333333333</v>
      </c>
      <c r="J96" s="2">
        <f t="shared" si="10"/>
        <v>0.33927638280750583</v>
      </c>
    </row>
    <row r="97" spans="1:10">
      <c r="A97" s="9">
        <v>2.2278307802557001E-2</v>
      </c>
      <c r="H97" s="9">
        <v>2.2573612474342999E-2</v>
      </c>
      <c r="I97" s="2">
        <f t="shared" si="11"/>
        <v>0.7</v>
      </c>
      <c r="J97" s="2">
        <f t="shared" si="10"/>
        <v>0.52246305252576009</v>
      </c>
    </row>
    <row r="98" spans="1:10">
      <c r="A98" s="9">
        <v>2.2722675902242001E-2</v>
      </c>
      <c r="H98" s="9">
        <v>2.2722675902242001E-2</v>
      </c>
      <c r="I98" s="2">
        <f t="shared" si="11"/>
        <v>0.76666666666666661</v>
      </c>
      <c r="J98" s="2">
        <f t="shared" si="10"/>
        <v>0.72575040815577163</v>
      </c>
    </row>
    <row r="99" spans="1:10">
      <c r="A99" s="9">
        <v>2.2412258348465001E-2</v>
      </c>
      <c r="H99" s="9">
        <v>2.2772490564611999E-2</v>
      </c>
      <c r="I99" s="2">
        <f t="shared" si="11"/>
        <v>0.83333333333333326</v>
      </c>
      <c r="J99" s="2">
        <f t="shared" si="10"/>
        <v>0.96558119772402329</v>
      </c>
    </row>
    <row r="100" spans="1:10">
      <c r="A100" s="9">
        <v>2.2900566091775001E-2</v>
      </c>
      <c r="H100" s="9">
        <v>2.2783453245927E-2</v>
      </c>
      <c r="I100" s="2">
        <f t="shared" si="11"/>
        <v>0.89999999999999991</v>
      </c>
      <c r="J100" s="2">
        <f t="shared" si="10"/>
        <v>1.2811261510381207</v>
      </c>
    </row>
    <row r="101" spans="1:10">
      <c r="A101" s="9">
        <v>2.2446448151502998E-2</v>
      </c>
      <c r="H101" s="9">
        <v>2.2900566091775001E-2</v>
      </c>
      <c r="I101" s="2">
        <f t="shared" si="11"/>
        <v>0.96666666666666656</v>
      </c>
      <c r="J101" s="2">
        <f t="shared" si="10"/>
        <v>1.8368588976886859</v>
      </c>
    </row>
    <row r="102" spans="1:10" s="6" customFormat="1">
      <c r="C102" s="7"/>
    </row>
    <row r="103" spans="1:10">
      <c r="A103" s="1" t="s">
        <v>17</v>
      </c>
      <c r="C103" s="3" t="s">
        <v>1</v>
      </c>
      <c r="D103" s="1" t="s">
        <v>2</v>
      </c>
      <c r="E103" s="1" t="s">
        <v>3</v>
      </c>
      <c r="F103" s="1"/>
      <c r="H103" s="1" t="s">
        <v>4</v>
      </c>
      <c r="I103" s="1" t="s">
        <v>5</v>
      </c>
      <c r="J103" s="1" t="s">
        <v>6</v>
      </c>
    </row>
    <row r="104" spans="1:10">
      <c r="A104" s="4">
        <v>2.6926961688386999E-2</v>
      </c>
      <c r="C104" s="5">
        <f>AVERAGE(A104:A118)</f>
        <v>2.7223681335640269E-2</v>
      </c>
      <c r="D104" s="2">
        <f>_xlfn.VAR.S(A104:A118)</f>
        <v>1.6454255753761729E-7</v>
      </c>
      <c r="E104" s="2">
        <f>SQRT(D104)/C104</f>
        <v>1.4900205878799021E-2</v>
      </c>
      <c r="H104" s="4">
        <v>2.6511283437939001E-2</v>
      </c>
      <c r="I104" s="2">
        <f>1/15 - 0.5/15</f>
        <v>3.3333333333333333E-2</v>
      </c>
      <c r="J104" s="2">
        <f t="shared" ref="J104:J118" si="12">4.91*(I104^0.14-(1-I104)^0.14)</f>
        <v>-1.836858897688687</v>
      </c>
    </row>
    <row r="105" spans="1:10">
      <c r="A105" s="4">
        <v>2.6896695021315E-2</v>
      </c>
      <c r="H105" s="4">
        <v>2.6617144423057001E-2</v>
      </c>
      <c r="I105" s="2">
        <f t="shared" ref="I105:I118" si="13">I104+1/15</f>
        <v>0.1</v>
      </c>
      <c r="J105" s="2">
        <f t="shared" si="12"/>
        <v>-1.2811261510381207</v>
      </c>
    </row>
    <row r="106" spans="1:10">
      <c r="A106" s="4">
        <v>2.7174174802022E-2</v>
      </c>
      <c r="C106" s="3" t="s">
        <v>7</v>
      </c>
      <c r="E106" s="1" t="s">
        <v>8</v>
      </c>
      <c r="H106" s="4">
        <v>2.6846662407237001E-2</v>
      </c>
      <c r="I106" s="2">
        <f t="shared" si="13"/>
        <v>0.16666666666666669</v>
      </c>
      <c r="J106" s="2">
        <f t="shared" si="12"/>
        <v>-0.96558119772402384</v>
      </c>
    </row>
    <row r="107" spans="1:10">
      <c r="A107" s="4">
        <v>2.7118188589047E-2</v>
      </c>
      <c r="C107" s="5">
        <f>MEDIAN(A104:A118)</f>
        <v>2.7174174802022E-2</v>
      </c>
      <c r="E107" s="2">
        <v>2.145</v>
      </c>
      <c r="H107" s="4">
        <v>2.6896695021315E-2</v>
      </c>
      <c r="I107" s="2">
        <f t="shared" si="13"/>
        <v>0.23333333333333334</v>
      </c>
      <c r="J107" s="2">
        <f t="shared" si="12"/>
        <v>-0.72575040815577163</v>
      </c>
    </row>
    <row r="108" spans="1:10">
      <c r="A108" s="4">
        <v>2.6617144423057001E-2</v>
      </c>
      <c r="H108" s="4">
        <v>2.6926961688386999E-2</v>
      </c>
      <c r="I108" s="2">
        <f t="shared" si="13"/>
        <v>0.3</v>
      </c>
      <c r="J108" s="2">
        <f t="shared" si="12"/>
        <v>-0.52246305252576009</v>
      </c>
    </row>
    <row r="109" spans="1:10">
      <c r="A109" s="4">
        <v>2.7721689813447001E-2</v>
      </c>
      <c r="C109" s="3"/>
      <c r="D109" s="1" t="s">
        <v>9</v>
      </c>
      <c r="H109" s="4">
        <v>2.7118188589047E-2</v>
      </c>
      <c r="I109" s="2">
        <f t="shared" si="13"/>
        <v>0.36666666666666664</v>
      </c>
      <c r="J109" s="2">
        <f t="shared" si="12"/>
        <v>-0.33927638280750583</v>
      </c>
    </row>
    <row r="110" spans="1:10">
      <c r="A110" s="4">
        <v>2.7118443128808001E-2</v>
      </c>
      <c r="C110" s="3" t="s">
        <v>10</v>
      </c>
      <c r="D110" s="2">
        <f>C104+E107*SQRT(D104)/(SQRT(15))</f>
        <v>2.7448338766824506E-2</v>
      </c>
      <c r="H110" s="4">
        <v>2.7118443128808001E-2</v>
      </c>
      <c r="I110" s="2">
        <f t="shared" si="13"/>
        <v>0.43333333333333329</v>
      </c>
      <c r="J110" s="2">
        <f t="shared" si="12"/>
        <v>-0.16715058832373922</v>
      </c>
    </row>
    <row r="111" spans="1:10">
      <c r="A111" s="4">
        <v>2.7435830534357001E-2</v>
      </c>
      <c r="C111" s="3" t="s">
        <v>11</v>
      </c>
      <c r="D111" s="2">
        <f>C104-E107*SQRT(D104)/(SQRT(15))</f>
        <v>2.6999023904456031E-2</v>
      </c>
      <c r="H111" s="4">
        <v>2.7174174802022E-2</v>
      </c>
      <c r="I111" s="2">
        <f t="shared" si="13"/>
        <v>0.49999999999999994</v>
      </c>
      <c r="J111" s="2">
        <f t="shared" si="12"/>
        <v>0</v>
      </c>
    </row>
    <row r="112" spans="1:10">
      <c r="A112" s="4">
        <v>2.6511283437939001E-2</v>
      </c>
      <c r="H112" s="4">
        <v>2.7420582619959999E-2</v>
      </c>
      <c r="I112" s="2">
        <f t="shared" si="13"/>
        <v>0.56666666666666665</v>
      </c>
      <c r="J112" s="2">
        <f t="shared" si="12"/>
        <v>0.16715058832373922</v>
      </c>
    </row>
    <row r="113" spans="1:10">
      <c r="A113" s="4">
        <v>2.7616267779881999E-2</v>
      </c>
      <c r="H113" s="4">
        <v>2.7435830534357001E-2</v>
      </c>
      <c r="I113" s="2">
        <f t="shared" si="13"/>
        <v>0.6333333333333333</v>
      </c>
      <c r="J113" s="2">
        <f t="shared" si="12"/>
        <v>0.33927638280750583</v>
      </c>
    </row>
    <row r="114" spans="1:10">
      <c r="A114" s="4">
        <v>2.7529549859500999E-2</v>
      </c>
      <c r="H114" s="4">
        <v>2.7529549859500999E-2</v>
      </c>
      <c r="I114" s="2">
        <f t="shared" si="13"/>
        <v>0.7</v>
      </c>
      <c r="J114" s="2">
        <f t="shared" si="12"/>
        <v>0.52246305252576009</v>
      </c>
    </row>
    <row r="115" spans="1:10">
      <c r="A115" s="4">
        <v>2.7420582619959999E-2</v>
      </c>
      <c r="H115" s="4">
        <v>2.7616267779881999E-2</v>
      </c>
      <c r="I115" s="2">
        <f t="shared" si="13"/>
        <v>0.76666666666666661</v>
      </c>
      <c r="J115" s="2">
        <f t="shared" si="12"/>
        <v>0.72575040815577163</v>
      </c>
    </row>
    <row r="116" spans="1:10">
      <c r="A116" s="4">
        <v>2.7632589609979E-2</v>
      </c>
      <c r="H116" s="4">
        <v>2.7632589609979E-2</v>
      </c>
      <c r="I116" s="2">
        <f t="shared" si="13"/>
        <v>0.83333333333333326</v>
      </c>
      <c r="J116" s="2">
        <f t="shared" si="12"/>
        <v>0.96558119772402329</v>
      </c>
    </row>
    <row r="117" spans="1:10">
      <c r="A117" s="4">
        <v>2.7789156319666001E-2</v>
      </c>
      <c r="H117" s="4">
        <v>2.7721689813447001E-2</v>
      </c>
      <c r="I117" s="2">
        <f t="shared" si="13"/>
        <v>0.89999999999999991</v>
      </c>
      <c r="J117" s="2">
        <f t="shared" si="12"/>
        <v>1.2811261510381207</v>
      </c>
    </row>
    <row r="118" spans="1:10">
      <c r="A118" s="4">
        <v>2.6846662407237001E-2</v>
      </c>
      <c r="H118" s="4">
        <v>2.7789156319666001E-2</v>
      </c>
      <c r="I118" s="2">
        <f t="shared" si="13"/>
        <v>0.96666666666666656</v>
      </c>
      <c r="J118" s="2">
        <f t="shared" si="12"/>
        <v>1.8368588976886859</v>
      </c>
    </row>
    <row r="119" spans="1:10" s="6" customFormat="1">
      <c r="C119" s="7"/>
    </row>
    <row r="120" spans="1:10">
      <c r="A120" s="1" t="s">
        <v>18</v>
      </c>
      <c r="C120" s="3" t="s">
        <v>1</v>
      </c>
      <c r="D120" s="1" t="s">
        <v>2</v>
      </c>
      <c r="E120" s="1" t="s">
        <v>3</v>
      </c>
      <c r="F120" s="1"/>
      <c r="H120" s="1" t="s">
        <v>4</v>
      </c>
      <c r="I120" s="1" t="s">
        <v>5</v>
      </c>
      <c r="J120" s="1" t="s">
        <v>6</v>
      </c>
    </row>
    <row r="121" spans="1:10">
      <c r="A121" s="4">
        <v>3.3430762468618001E-2</v>
      </c>
      <c r="C121" s="5">
        <f>AVERAGE(A121:A135)</f>
        <v>3.4013590971698197E-2</v>
      </c>
      <c r="D121" s="2">
        <f>_xlfn.VAR.S(A121:A135)</f>
        <v>4.2827422579483966E-7</v>
      </c>
      <c r="E121" s="2">
        <f>SQRT(D121)/C121</f>
        <v>1.9240151371123986E-2</v>
      </c>
      <c r="H121" s="4">
        <v>3.2845171492191003E-2</v>
      </c>
      <c r="I121" s="2">
        <f>1/15 - 0.5/15</f>
        <v>3.3333333333333333E-2</v>
      </c>
      <c r="J121" s="2">
        <f t="shared" ref="J121:J135" si="14">4.91*(I121^0.14-(1-I121)^0.14)</f>
        <v>-1.836858897688687</v>
      </c>
    </row>
    <row r="122" spans="1:10">
      <c r="A122" s="4">
        <v>3.2845171492191003E-2</v>
      </c>
      <c r="H122" s="4">
        <v>3.3092452116104003E-2</v>
      </c>
      <c r="I122" s="2">
        <f t="shared" ref="I122:I135" si="15">I121+1/15</f>
        <v>0.1</v>
      </c>
      <c r="J122" s="2">
        <f t="shared" si="14"/>
        <v>-1.2811261510381207</v>
      </c>
    </row>
    <row r="123" spans="1:10">
      <c r="A123" s="4">
        <v>3.4762152445912999E-2</v>
      </c>
      <c r="C123" s="3" t="s">
        <v>7</v>
      </c>
      <c r="E123" s="1" t="s">
        <v>8</v>
      </c>
      <c r="H123" s="4">
        <v>3.3430762468618001E-2</v>
      </c>
      <c r="I123" s="2">
        <f t="shared" si="15"/>
        <v>0.16666666666666669</v>
      </c>
      <c r="J123" s="2">
        <f t="shared" si="14"/>
        <v>-0.96558119772402384</v>
      </c>
    </row>
    <row r="124" spans="1:10">
      <c r="A124" s="4">
        <v>3.3944639963957003E-2</v>
      </c>
      <c r="C124" s="5">
        <f>MEDIAN(A121:A135)</f>
        <v>3.3962756781372998E-2</v>
      </c>
      <c r="E124" s="2">
        <v>2.145</v>
      </c>
      <c r="H124" s="4">
        <v>3.3646237444985003E-2</v>
      </c>
      <c r="I124" s="2">
        <f t="shared" si="15"/>
        <v>0.23333333333333334</v>
      </c>
      <c r="J124" s="2">
        <f t="shared" si="14"/>
        <v>-0.72575040815577163</v>
      </c>
    </row>
    <row r="125" spans="1:10">
      <c r="A125" s="4">
        <v>3.3920002357887002E-2</v>
      </c>
      <c r="H125" s="4">
        <v>3.3780862032251002E-2</v>
      </c>
      <c r="I125" s="2">
        <f t="shared" si="15"/>
        <v>0.3</v>
      </c>
      <c r="J125" s="2">
        <f t="shared" si="14"/>
        <v>-0.52246305252576009</v>
      </c>
    </row>
    <row r="126" spans="1:10">
      <c r="A126" s="4">
        <v>3.3646237444985003E-2</v>
      </c>
      <c r="C126" s="3"/>
      <c r="D126" s="1" t="s">
        <v>9</v>
      </c>
      <c r="H126" s="4">
        <v>3.3920002357887002E-2</v>
      </c>
      <c r="I126" s="2">
        <f t="shared" si="15"/>
        <v>0.36666666666666664</v>
      </c>
      <c r="J126" s="2">
        <f t="shared" si="14"/>
        <v>-0.33927638280750583</v>
      </c>
    </row>
    <row r="127" spans="1:10">
      <c r="A127" s="4">
        <v>3.3780862032251002E-2</v>
      </c>
      <c r="C127" s="3" t="s">
        <v>10</v>
      </c>
      <c r="D127" s="2">
        <f>C121+E124*SQRT(D121)/(SQRT(15))</f>
        <v>3.4376036408487215E-2</v>
      </c>
      <c r="H127" s="4">
        <v>3.3944639963957003E-2</v>
      </c>
      <c r="I127" s="2">
        <f t="shared" si="15"/>
        <v>0.43333333333333329</v>
      </c>
      <c r="J127" s="2">
        <f t="shared" si="14"/>
        <v>-0.16715058832373922</v>
      </c>
    </row>
    <row r="128" spans="1:10">
      <c r="A128" s="4">
        <v>3.3962756781372998E-2</v>
      </c>
      <c r="C128" s="3" t="s">
        <v>11</v>
      </c>
      <c r="D128" s="2">
        <f>C121-E124*SQRT(D121)/(SQRT(15))</f>
        <v>3.365114553490918E-2</v>
      </c>
      <c r="H128" s="4">
        <v>3.3962756781372998E-2</v>
      </c>
      <c r="I128" s="2">
        <f t="shared" si="15"/>
        <v>0.49999999999999994</v>
      </c>
      <c r="J128" s="2">
        <f t="shared" si="14"/>
        <v>0</v>
      </c>
    </row>
    <row r="129" spans="1:10">
      <c r="A129" s="4">
        <v>3.3092452116104003E-2</v>
      </c>
      <c r="H129" s="4">
        <v>3.3965815870091003E-2</v>
      </c>
      <c r="I129" s="2">
        <f t="shared" si="15"/>
        <v>0.56666666666666665</v>
      </c>
      <c r="J129" s="2">
        <f t="shared" si="14"/>
        <v>0.16715058832373922</v>
      </c>
    </row>
    <row r="130" spans="1:10">
      <c r="A130" s="4">
        <v>3.4569906798292999E-2</v>
      </c>
      <c r="H130" s="4">
        <v>3.3993018722477002E-2</v>
      </c>
      <c r="I130" s="2">
        <f t="shared" si="15"/>
        <v>0.6333333333333333</v>
      </c>
      <c r="J130" s="2">
        <f t="shared" si="14"/>
        <v>0.33927638280750583</v>
      </c>
    </row>
    <row r="131" spans="1:10">
      <c r="A131" s="4">
        <v>3.3965815870091003E-2</v>
      </c>
      <c r="H131" s="4">
        <v>3.4387023459321001E-2</v>
      </c>
      <c r="I131" s="2">
        <f t="shared" si="15"/>
        <v>0.7</v>
      </c>
      <c r="J131" s="2">
        <f t="shared" si="14"/>
        <v>0.52246305252576009</v>
      </c>
    </row>
    <row r="132" spans="1:10">
      <c r="A132" s="4">
        <v>3.4387023459321001E-2</v>
      </c>
      <c r="H132" s="4">
        <v>3.4468940683502002E-2</v>
      </c>
      <c r="I132" s="2">
        <f t="shared" si="15"/>
        <v>0.76666666666666661</v>
      </c>
      <c r="J132" s="2">
        <f t="shared" si="14"/>
        <v>0.72575040815577163</v>
      </c>
    </row>
    <row r="133" spans="1:10">
      <c r="A133" s="4">
        <v>3.4468940683502002E-2</v>
      </c>
      <c r="H133" s="4">
        <v>3.4569906798292999E-2</v>
      </c>
      <c r="I133" s="2">
        <f t="shared" si="15"/>
        <v>0.83333333333333326</v>
      </c>
      <c r="J133" s="2">
        <f t="shared" si="14"/>
        <v>0.96558119772402329</v>
      </c>
    </row>
    <row r="134" spans="1:10">
      <c r="A134" s="4">
        <v>3.3993018722477002E-2</v>
      </c>
      <c r="H134" s="4">
        <v>3.4762152445912999E-2</v>
      </c>
      <c r="I134" s="2">
        <f t="shared" si="15"/>
        <v>0.89999999999999991</v>
      </c>
      <c r="J134" s="2">
        <f t="shared" si="14"/>
        <v>1.2811261510381207</v>
      </c>
    </row>
    <row r="135" spans="1:10">
      <c r="A135" s="4">
        <v>3.5434121938509998E-2</v>
      </c>
      <c r="H135" s="4">
        <v>3.5434121938509998E-2</v>
      </c>
      <c r="I135" s="2">
        <f t="shared" si="15"/>
        <v>0.96666666666666656</v>
      </c>
      <c r="J135" s="2">
        <f t="shared" si="14"/>
        <v>1.8368588976886859</v>
      </c>
    </row>
    <row r="136" spans="1:10" s="6" customFormat="1">
      <c r="C136" s="7"/>
    </row>
    <row r="137" spans="1:10">
      <c r="A137" s="1" t="s">
        <v>19</v>
      </c>
      <c r="C137" s="3" t="s">
        <v>1</v>
      </c>
      <c r="D137" s="1" t="s">
        <v>2</v>
      </c>
      <c r="E137" s="1" t="s">
        <v>3</v>
      </c>
      <c r="F137" s="1"/>
      <c r="H137" s="1" t="s">
        <v>4</v>
      </c>
      <c r="I137" s="1" t="s">
        <v>5</v>
      </c>
      <c r="J137" s="1" t="s">
        <v>6</v>
      </c>
    </row>
    <row r="138" spans="1:10">
      <c r="A138" s="4">
        <v>4.5309621748615997E-2</v>
      </c>
      <c r="C138" s="5">
        <f>AVERAGE(A138:A152)</f>
        <v>4.4375036344121536E-2</v>
      </c>
      <c r="D138" s="2">
        <f>_xlfn.VAR.S(A138:A152)</f>
        <v>1.2187471248138012E-6</v>
      </c>
      <c r="E138" s="2">
        <f>SQRT(D138)/C138</f>
        <v>2.4878149902260019E-2</v>
      </c>
      <c r="H138" s="4">
        <v>4.2342712944855997E-2</v>
      </c>
      <c r="I138" s="2">
        <f>1/15 - 0.5/15</f>
        <v>3.3333333333333333E-2</v>
      </c>
      <c r="J138" s="2">
        <f t="shared" ref="J138:J152" si="16">4.91*(I138^0.14-(1-I138)^0.14)</f>
        <v>-1.836858897688687</v>
      </c>
    </row>
    <row r="139" spans="1:10">
      <c r="A139" s="4">
        <v>4.4004845510254E-2</v>
      </c>
      <c r="H139" s="4">
        <v>4.2714306553897997E-2</v>
      </c>
      <c r="I139" s="2">
        <f t="shared" ref="I139:I152" si="17">I138+1/15</f>
        <v>0.1</v>
      </c>
      <c r="J139" s="2">
        <f t="shared" si="16"/>
        <v>-1.2811261510381207</v>
      </c>
    </row>
    <row r="140" spans="1:10">
      <c r="A140" s="4">
        <v>4.3219361639726998E-2</v>
      </c>
      <c r="C140" s="3" t="s">
        <v>7</v>
      </c>
      <c r="E140" s="1" t="s">
        <v>8</v>
      </c>
      <c r="H140" s="4">
        <v>4.3171747038808002E-2</v>
      </c>
      <c r="I140" s="2">
        <f t="shared" si="17"/>
        <v>0.16666666666666669</v>
      </c>
      <c r="J140" s="2">
        <f t="shared" si="16"/>
        <v>-0.96558119772402384</v>
      </c>
    </row>
    <row r="141" spans="1:10">
      <c r="A141" s="4">
        <v>4.5390459767000998E-2</v>
      </c>
      <c r="C141" s="5">
        <f>MEDIAN(A138:A152)</f>
        <v>4.4623778503071997E-2</v>
      </c>
      <c r="E141" s="2">
        <v>2.145</v>
      </c>
      <c r="H141" s="4">
        <v>4.3219361639726998E-2</v>
      </c>
      <c r="I141" s="2">
        <f t="shared" si="17"/>
        <v>0.23333333333333334</v>
      </c>
      <c r="J141" s="2">
        <f t="shared" si="16"/>
        <v>-0.72575040815577163</v>
      </c>
    </row>
    <row r="142" spans="1:10">
      <c r="A142" s="4">
        <v>4.4218830248813998E-2</v>
      </c>
      <c r="H142" s="4">
        <v>4.4004845510254E-2</v>
      </c>
      <c r="I142" s="2">
        <f t="shared" si="17"/>
        <v>0.3</v>
      </c>
      <c r="J142" s="2">
        <f t="shared" si="16"/>
        <v>-0.52246305252576009</v>
      </c>
    </row>
    <row r="143" spans="1:10">
      <c r="A143" s="4">
        <v>4.3171747038808002E-2</v>
      </c>
      <c r="C143" s="3"/>
      <c r="D143" s="1" t="s">
        <v>9</v>
      </c>
      <c r="H143" s="4">
        <v>4.4218830248813998E-2</v>
      </c>
      <c r="I143" s="2">
        <f t="shared" si="17"/>
        <v>0.36666666666666664</v>
      </c>
      <c r="J143" s="2">
        <f t="shared" si="16"/>
        <v>-0.33927638280750583</v>
      </c>
    </row>
    <row r="144" spans="1:10">
      <c r="A144" s="4">
        <v>4.4946647302027E-2</v>
      </c>
      <c r="C144" s="3" t="s">
        <v>10</v>
      </c>
      <c r="D144" s="2">
        <f>C138+E141*SQRT(D138)/(SQRT(15))</f>
        <v>4.4986454694622861E-2</v>
      </c>
      <c r="H144" s="4">
        <v>4.4288897423404999E-2</v>
      </c>
      <c r="I144" s="2">
        <f t="shared" si="17"/>
        <v>0.43333333333333329</v>
      </c>
      <c r="J144" s="2">
        <f t="shared" si="16"/>
        <v>-0.16715058832373922</v>
      </c>
    </row>
    <row r="145" spans="1:10">
      <c r="A145" s="4">
        <v>4.4288897423404999E-2</v>
      </c>
      <c r="C145" s="3" t="s">
        <v>11</v>
      </c>
      <c r="D145" s="2">
        <f>C138-E141*SQRT(D138)/(SQRT(15))</f>
        <v>4.3763617993620212E-2</v>
      </c>
      <c r="H145" s="4">
        <v>4.4623778503071997E-2</v>
      </c>
      <c r="I145" s="2">
        <f t="shared" si="17"/>
        <v>0.49999999999999994</v>
      </c>
      <c r="J145" s="2">
        <f t="shared" si="16"/>
        <v>0</v>
      </c>
    </row>
    <row r="146" spans="1:10">
      <c r="A146" s="4">
        <v>4.5013972039176002E-2</v>
      </c>
      <c r="H146" s="4">
        <v>4.4806309890636997E-2</v>
      </c>
      <c r="I146" s="2">
        <f t="shared" si="17"/>
        <v>0.56666666666666665</v>
      </c>
      <c r="J146" s="2">
        <f t="shared" si="16"/>
        <v>0.16715058832373922</v>
      </c>
    </row>
    <row r="147" spans="1:10">
      <c r="A147" s="4">
        <v>4.6203517608636002E-2</v>
      </c>
      <c r="H147" s="4">
        <v>4.4946647302027E-2</v>
      </c>
      <c r="I147" s="2">
        <f t="shared" si="17"/>
        <v>0.6333333333333333</v>
      </c>
      <c r="J147" s="2">
        <f t="shared" si="16"/>
        <v>0.33927638280750583</v>
      </c>
    </row>
    <row r="148" spans="1:10">
      <c r="A148" s="4">
        <v>4.2714306553897997E-2</v>
      </c>
      <c r="H148" s="4">
        <v>4.5013972039176002E-2</v>
      </c>
      <c r="I148" s="2">
        <f t="shared" si="17"/>
        <v>0.7</v>
      </c>
      <c r="J148" s="2">
        <f t="shared" si="16"/>
        <v>0.52246305252576009</v>
      </c>
    </row>
    <row r="149" spans="1:10">
      <c r="A149" s="4">
        <v>4.4623778503071997E-2</v>
      </c>
      <c r="H149" s="4">
        <v>4.5309621748615997E-2</v>
      </c>
      <c r="I149" s="2">
        <f t="shared" si="17"/>
        <v>0.76666666666666661</v>
      </c>
      <c r="J149" s="2">
        <f t="shared" si="16"/>
        <v>0.72575040815577163</v>
      </c>
    </row>
    <row r="150" spans="1:10">
      <c r="A150" s="4">
        <v>4.5370536942896E-2</v>
      </c>
      <c r="H150" s="4">
        <v>4.5370536942896E-2</v>
      </c>
      <c r="I150" s="2">
        <f t="shared" si="17"/>
        <v>0.83333333333333326</v>
      </c>
      <c r="J150" s="2">
        <f t="shared" si="16"/>
        <v>0.96558119772402329</v>
      </c>
    </row>
    <row r="151" spans="1:10">
      <c r="A151" s="4">
        <v>4.4806309890636997E-2</v>
      </c>
      <c r="H151" s="4">
        <v>4.5390459767000998E-2</v>
      </c>
      <c r="I151" s="2">
        <f t="shared" si="17"/>
        <v>0.89999999999999991</v>
      </c>
      <c r="J151" s="2">
        <f t="shared" si="16"/>
        <v>1.2811261510381207</v>
      </c>
    </row>
    <row r="152" spans="1:10">
      <c r="A152" s="4">
        <v>4.2342712944855997E-2</v>
      </c>
      <c r="H152" s="4">
        <v>4.6203517608636002E-2</v>
      </c>
      <c r="I152" s="2">
        <f t="shared" si="17"/>
        <v>0.96666666666666656</v>
      </c>
      <c r="J152" s="2">
        <f t="shared" si="16"/>
        <v>1.8368588976886859</v>
      </c>
    </row>
    <row r="153" spans="1:10" s="6" customFormat="1">
      <c r="C153" s="7"/>
    </row>
    <row r="155" spans="1:10">
      <c r="A155" s="1"/>
      <c r="C155" s="1"/>
      <c r="D155" s="1"/>
      <c r="E155" s="1"/>
    </row>
    <row r="156" spans="1:10">
      <c r="A156" s="16" t="s">
        <v>20</v>
      </c>
      <c r="B156" s="16"/>
      <c r="C156" s="16"/>
    </row>
    <row r="157" spans="1:10">
      <c r="A157" s="1" t="s">
        <v>21</v>
      </c>
      <c r="B157" s="1" t="s">
        <v>22</v>
      </c>
      <c r="C157" s="1" t="s">
        <v>23</v>
      </c>
    </row>
    <row r="158" spans="1:10">
      <c r="A158" s="1" t="s">
        <v>24</v>
      </c>
      <c r="B158" s="2">
        <f>3*0.001</f>
        <v>3.0000000000000001E-3</v>
      </c>
      <c r="C158" s="2">
        <f>C2</f>
        <v>1.0495500618207266E-2</v>
      </c>
    </row>
    <row r="159" spans="1:10">
      <c r="A159" s="1" t="s">
        <v>25</v>
      </c>
      <c r="B159" s="2">
        <f>3.5*0.001</f>
        <v>3.5000000000000001E-3</v>
      </c>
      <c r="C159" s="2">
        <f>C19</f>
        <v>1.2014217288394134E-2</v>
      </c>
    </row>
    <row r="160" spans="1:10">
      <c r="A160" s="1" t="s">
        <v>26</v>
      </c>
      <c r="B160" s="2">
        <f>4*0.001</f>
        <v>4.0000000000000001E-3</v>
      </c>
      <c r="C160" s="2">
        <f>C36</f>
        <v>1.3829698865016201E-2</v>
      </c>
    </row>
    <row r="161" spans="1:7">
      <c r="A161" s="1" t="s">
        <v>27</v>
      </c>
      <c r="B161" s="2">
        <f>4.5*0.001</f>
        <v>4.5000000000000005E-3</v>
      </c>
      <c r="C161" s="2">
        <f>C53</f>
        <v>1.6028161371976067E-2</v>
      </c>
    </row>
    <row r="162" spans="1:7">
      <c r="A162" s="1" t="s">
        <v>28</v>
      </c>
      <c r="B162" s="2">
        <f>5*0.001</f>
        <v>5.0000000000000001E-3</v>
      </c>
      <c r="C162" s="2">
        <f>C70</f>
        <v>1.8823458917969268E-2</v>
      </c>
    </row>
    <row r="163" spans="1:7">
      <c r="A163" s="1" t="s">
        <v>29</v>
      </c>
      <c r="B163" s="2">
        <f>5.5*0.001</f>
        <v>5.4999999999999997E-3</v>
      </c>
      <c r="C163" s="2">
        <f>C87</f>
        <v>2.2441491291538732E-2</v>
      </c>
    </row>
    <row r="164" spans="1:7">
      <c r="A164" s="1" t="s">
        <v>30</v>
      </c>
      <c r="B164" s="2">
        <f>6*0.001</f>
        <v>6.0000000000000001E-3</v>
      </c>
      <c r="C164" s="2">
        <f>C104</f>
        <v>2.7223681335640269E-2</v>
      </c>
    </row>
    <row r="165" spans="1:7">
      <c r="A165" s="1" t="s">
        <v>31</v>
      </c>
      <c r="B165" s="2">
        <f>6.5*0.001</f>
        <v>6.5000000000000006E-3</v>
      </c>
      <c r="C165" s="2">
        <f>C121</f>
        <v>3.4013590971698197E-2</v>
      </c>
    </row>
    <row r="166" spans="1:7">
      <c r="A166" s="1" t="s">
        <v>32</v>
      </c>
      <c r="B166" s="2">
        <f>7*0.001</f>
        <v>7.0000000000000001E-3</v>
      </c>
      <c r="C166" s="2">
        <f>C138</f>
        <v>4.4375036344121536E-2</v>
      </c>
    </row>
    <row r="167" spans="1:7">
      <c r="C167" s="2"/>
    </row>
    <row r="171" spans="1:7">
      <c r="A171" s="16" t="s">
        <v>33</v>
      </c>
      <c r="B171" s="16"/>
      <c r="C171" s="16"/>
      <c r="D171" s="16"/>
    </row>
    <row r="172" spans="1:7">
      <c r="A172" s="1" t="s">
        <v>21</v>
      </c>
      <c r="B172" s="1" t="s">
        <v>22</v>
      </c>
      <c r="C172" s="1" t="s">
        <v>34</v>
      </c>
      <c r="D172" s="1" t="s">
        <v>35</v>
      </c>
      <c r="F172" s="3"/>
      <c r="G172" s="3"/>
    </row>
    <row r="173" spans="1:7">
      <c r="A173" s="1" t="s">
        <v>24</v>
      </c>
      <c r="B173" s="2">
        <f>0.001*3</f>
        <v>3.0000000000000001E-3</v>
      </c>
      <c r="C173" s="2">
        <f t="shared" ref="C173:C181" si="18">LN(C158)</f>
        <v>-4.5568086262080882</v>
      </c>
      <c r="D173" s="2">
        <f t="shared" ref="D173:D181" si="19">C173-B173*$C$185-$D$185</f>
        <v>6.6481373791911658E-2</v>
      </c>
    </row>
    <row r="174" spans="1:7">
      <c r="A174" s="1" t="s">
        <v>25</v>
      </c>
      <c r="B174" s="2">
        <f>0.001*3.5</f>
        <v>3.5000000000000001E-3</v>
      </c>
      <c r="C174" s="2">
        <f t="shared" si="18"/>
        <v>-4.4216645564521873</v>
      </c>
      <c r="D174" s="2">
        <f t="shared" si="19"/>
        <v>2.5290443547812735E-2</v>
      </c>
    </row>
    <row r="175" spans="1:7">
      <c r="A175" s="1" t="s">
        <v>26</v>
      </c>
      <c r="B175" s="2">
        <f>0.001*4</f>
        <v>4.0000000000000001E-3</v>
      </c>
      <c r="C175" s="2">
        <f t="shared" si="18"/>
        <v>-4.2809369075832944</v>
      </c>
      <c r="D175" s="2">
        <f t="shared" si="19"/>
        <v>-1.0316907583294288E-2</v>
      </c>
    </row>
    <row r="176" spans="1:7">
      <c r="A176" s="1" t="s">
        <v>27</v>
      </c>
      <c r="B176" s="2">
        <f>0.001*4.5</f>
        <v>4.5000000000000005E-3</v>
      </c>
      <c r="C176" s="2">
        <f t="shared" si="18"/>
        <v>-4.1334080181296446</v>
      </c>
      <c r="D176" s="2">
        <f t="shared" si="19"/>
        <v>-3.9123018129644471E-2</v>
      </c>
    </row>
    <row r="177" spans="1:4">
      <c r="A177" s="1" t="s">
        <v>28</v>
      </c>
      <c r="B177" s="2">
        <f>0.001*5</f>
        <v>5.0000000000000001E-3</v>
      </c>
      <c r="C177" s="2">
        <f t="shared" si="18"/>
        <v>-3.9726513722344761</v>
      </c>
      <c r="D177" s="2">
        <f t="shared" si="19"/>
        <v>-5.4701372234475798E-2</v>
      </c>
    </row>
    <row r="178" spans="1:4">
      <c r="A178" s="1" t="s">
        <v>29</v>
      </c>
      <c r="B178" s="2">
        <f>0.001*5.5</f>
        <v>5.4999999999999997E-3</v>
      </c>
      <c r="C178" s="2">
        <f t="shared" si="18"/>
        <v>-3.7968437436936102</v>
      </c>
      <c r="D178" s="2">
        <f t="shared" si="19"/>
        <v>-5.5228743693609417E-2</v>
      </c>
    </row>
    <row r="179" spans="1:4">
      <c r="A179" s="1" t="s">
        <v>30</v>
      </c>
      <c r="B179" s="2">
        <f>0.001*6</f>
        <v>6.0000000000000001E-3</v>
      </c>
      <c r="C179" s="2">
        <f t="shared" si="18"/>
        <v>-3.6036680471253182</v>
      </c>
      <c r="D179" s="2">
        <f t="shared" si="19"/>
        <v>-3.8388047125318181E-2</v>
      </c>
    </row>
    <row r="180" spans="1:4">
      <c r="A180" s="1" t="s">
        <v>31</v>
      </c>
      <c r="B180" s="2">
        <f>0.001*6.5</f>
        <v>6.5000000000000006E-3</v>
      </c>
      <c r="C180" s="2">
        <f t="shared" si="18"/>
        <v>-3.3809950997767992</v>
      </c>
      <c r="D180" s="2">
        <f t="shared" si="19"/>
        <v>7.9499002232008564E-3</v>
      </c>
    </row>
    <row r="181" spans="1:4">
      <c r="A181" s="1" t="s">
        <v>32</v>
      </c>
      <c r="B181" s="2">
        <f>0.001*7</f>
        <v>7.0000000000000001E-3</v>
      </c>
      <c r="C181" s="2">
        <f t="shared" si="18"/>
        <v>-3.1150782121644354</v>
      </c>
      <c r="D181" s="2">
        <f t="shared" si="19"/>
        <v>9.753178783556482E-2</v>
      </c>
    </row>
    <row r="182" spans="1:4">
      <c r="A182" s="1"/>
      <c r="C182" s="2"/>
    </row>
    <row r="183" spans="1:4">
      <c r="A183" s="1"/>
      <c r="C183" s="16" t="s">
        <v>36</v>
      </c>
      <c r="D183" s="16"/>
    </row>
    <row r="184" spans="1:4">
      <c r="A184" s="1"/>
      <c r="C184" s="1" t="s">
        <v>37</v>
      </c>
      <c r="D184" s="1" t="s">
        <v>38</v>
      </c>
    </row>
    <row r="185" spans="1:4">
      <c r="A185" s="1"/>
      <c r="C185" s="2">
        <v>352.67</v>
      </c>
      <c r="D185" s="2">
        <v>-5.6813000000000002</v>
      </c>
    </row>
    <row r="186" spans="1:4">
      <c r="A186" s="1"/>
      <c r="C186" s="2"/>
    </row>
    <row r="187" spans="1:4">
      <c r="A187" s="16" t="s">
        <v>39</v>
      </c>
      <c r="B187" s="16"/>
      <c r="C187" s="16"/>
    </row>
    <row r="188" spans="1:4">
      <c r="A188" s="1" t="s">
        <v>35</v>
      </c>
      <c r="B188" s="1" t="s">
        <v>5</v>
      </c>
      <c r="C188" s="1" t="s">
        <v>40</v>
      </c>
    </row>
    <row r="189" spans="1:4">
      <c r="A189" s="2">
        <v>-5.5228743693609417E-2</v>
      </c>
      <c r="B189" s="2">
        <f>1/9-0.5/9</f>
        <v>5.5555555555555552E-2</v>
      </c>
      <c r="C189" s="2">
        <f t="shared" ref="C189:C197" si="20">4.91*(B189^0.14-(1-B189)^0.14)</f>
        <v>-1.5948702548629692</v>
      </c>
    </row>
    <row r="190" spans="1:4">
      <c r="A190" s="2">
        <v>-5.4701372234475798E-2</v>
      </c>
      <c r="B190" s="2">
        <f t="shared" ref="B190:B197" si="21">B189+1/9</f>
        <v>0.16666666666666666</v>
      </c>
      <c r="C190" s="2">
        <f t="shared" si="20"/>
        <v>-0.96558119772402384</v>
      </c>
    </row>
    <row r="191" spans="1:4">
      <c r="A191" s="2">
        <v>-3.9123018129644471E-2</v>
      </c>
      <c r="B191" s="2">
        <f t="shared" si="21"/>
        <v>0.27777777777777779</v>
      </c>
      <c r="C191" s="2">
        <f t="shared" si="20"/>
        <v>-0.58740139704861805</v>
      </c>
    </row>
    <row r="192" spans="1:4">
      <c r="A192" s="2">
        <v>-3.8388047125318181E-2</v>
      </c>
      <c r="B192" s="2">
        <f t="shared" si="21"/>
        <v>0.3888888888888889</v>
      </c>
      <c r="C192" s="2">
        <f t="shared" si="20"/>
        <v>-0.28101035460789436</v>
      </c>
    </row>
    <row r="193" spans="1:3">
      <c r="A193" s="2">
        <v>-1.0316907583294288E-2</v>
      </c>
      <c r="B193" s="2">
        <f t="shared" si="21"/>
        <v>0.5</v>
      </c>
      <c r="C193" s="2">
        <f t="shared" si="20"/>
        <v>0</v>
      </c>
    </row>
    <row r="194" spans="1:3">
      <c r="A194" s="2">
        <v>7.9499002232008564E-3</v>
      </c>
      <c r="B194" s="2">
        <f t="shared" si="21"/>
        <v>0.61111111111111116</v>
      </c>
      <c r="C194" s="2">
        <f t="shared" si="20"/>
        <v>0.28101035460789436</v>
      </c>
    </row>
    <row r="195" spans="1:3">
      <c r="A195" s="2">
        <v>2.5290443547812735E-2</v>
      </c>
      <c r="B195" s="2">
        <f t="shared" si="21"/>
        <v>0.72222222222222232</v>
      </c>
      <c r="C195" s="2">
        <f t="shared" si="20"/>
        <v>0.5874013970486186</v>
      </c>
    </row>
    <row r="196" spans="1:3">
      <c r="A196" s="2">
        <v>6.6481373791911658E-2</v>
      </c>
      <c r="B196" s="2">
        <f t="shared" si="21"/>
        <v>0.83333333333333348</v>
      </c>
      <c r="C196" s="2">
        <f t="shared" si="20"/>
        <v>0.96558119772402384</v>
      </c>
    </row>
    <row r="197" spans="1:3">
      <c r="A197" s="2">
        <v>9.753178783556482E-2</v>
      </c>
      <c r="B197" s="2">
        <f t="shared" si="21"/>
        <v>0.94444444444444464</v>
      </c>
      <c r="C197" s="2">
        <f t="shared" si="20"/>
        <v>1.5948702548629707</v>
      </c>
    </row>
    <row r="199" spans="1:3">
      <c r="A199" s="16" t="s">
        <v>41</v>
      </c>
      <c r="B199" s="16"/>
    </row>
    <row r="200" spans="1:3">
      <c r="A200" s="1" t="s">
        <v>35</v>
      </c>
      <c r="B200" s="1" t="s">
        <v>42</v>
      </c>
    </row>
    <row r="201" spans="1:3">
      <c r="A201" s="2">
        <v>6.6481373791911658E-2</v>
      </c>
      <c r="B201" s="2">
        <f t="shared" ref="B201:B209" si="22">B173*$C$185+$D$185</f>
        <v>-4.6232899999999999</v>
      </c>
    </row>
    <row r="202" spans="1:3">
      <c r="A202" s="2">
        <v>2.5290443547812735E-2</v>
      </c>
      <c r="B202" s="2">
        <f t="shared" si="22"/>
        <v>-4.446955</v>
      </c>
    </row>
    <row r="203" spans="1:3">
      <c r="A203" s="2">
        <v>-1.0316907583294288E-2</v>
      </c>
      <c r="B203" s="2">
        <f t="shared" si="22"/>
        <v>-4.2706200000000001</v>
      </c>
    </row>
    <row r="204" spans="1:3">
      <c r="A204" s="2">
        <v>-3.9123018129644471E-2</v>
      </c>
      <c r="B204" s="2">
        <f t="shared" si="22"/>
        <v>-4.0942850000000002</v>
      </c>
    </row>
    <row r="205" spans="1:3">
      <c r="A205" s="2">
        <v>-5.4701372234475798E-2</v>
      </c>
      <c r="B205" s="2">
        <f t="shared" si="22"/>
        <v>-3.9179500000000003</v>
      </c>
    </row>
    <row r="206" spans="1:3">
      <c r="A206" s="2">
        <v>-5.5228743693609417E-2</v>
      </c>
      <c r="B206" s="2">
        <f t="shared" si="22"/>
        <v>-3.7416150000000004</v>
      </c>
    </row>
    <row r="207" spans="1:3">
      <c r="A207" s="2">
        <v>-3.8388047125318181E-2</v>
      </c>
      <c r="B207" s="2">
        <f t="shared" si="22"/>
        <v>-3.56528</v>
      </c>
    </row>
    <row r="208" spans="1:3">
      <c r="A208" s="2">
        <v>7.9499002232008564E-3</v>
      </c>
      <c r="B208" s="2">
        <f t="shared" si="22"/>
        <v>-3.3889450000000001</v>
      </c>
    </row>
    <row r="209" spans="1:12">
      <c r="A209" s="2">
        <v>9.753178783556482E-2</v>
      </c>
      <c r="B209" s="2">
        <f t="shared" si="22"/>
        <v>-3.2126100000000002</v>
      </c>
    </row>
    <row r="211" spans="1:12">
      <c r="A211" s="16" t="s">
        <v>43</v>
      </c>
      <c r="B211" s="16"/>
    </row>
    <row r="212" spans="1:12">
      <c r="A212" s="1" t="s">
        <v>35</v>
      </c>
      <c r="B212" s="1" t="s">
        <v>44</v>
      </c>
    </row>
    <row r="213" spans="1:12">
      <c r="A213" s="2">
        <v>6.6481373791911658E-2</v>
      </c>
      <c r="B213" s="2">
        <v>1</v>
      </c>
    </row>
    <row r="214" spans="1:12">
      <c r="A214" s="2">
        <v>2.5290443547812735E-2</v>
      </c>
      <c r="B214" s="2">
        <v>2</v>
      </c>
    </row>
    <row r="215" spans="1:12">
      <c r="A215" s="2">
        <v>-1.0316907583294288E-2</v>
      </c>
      <c r="B215" s="2">
        <v>3</v>
      </c>
    </row>
    <row r="216" spans="1:12">
      <c r="A216" s="2">
        <v>-3.9123018129644471E-2</v>
      </c>
      <c r="B216" s="2">
        <v>4</v>
      </c>
    </row>
    <row r="217" spans="1:12">
      <c r="A217" s="2">
        <v>-5.4701372234475798E-2</v>
      </c>
      <c r="B217" s="2">
        <v>5</v>
      </c>
    </row>
    <row r="218" spans="1:12">
      <c r="A218" s="2">
        <v>-5.5228743693609417E-2</v>
      </c>
      <c r="B218" s="2">
        <v>6</v>
      </c>
    </row>
    <row r="219" spans="1:12">
      <c r="A219" s="2">
        <v>-3.8388047125318181E-2</v>
      </c>
      <c r="B219" s="2">
        <v>7</v>
      </c>
    </row>
    <row r="220" spans="1:12">
      <c r="A220" s="2">
        <v>7.9499002232008564E-3</v>
      </c>
      <c r="B220" s="2">
        <v>8</v>
      </c>
    </row>
    <row r="221" spans="1:12">
      <c r="A221" s="2">
        <v>9.753178783556482E-2</v>
      </c>
      <c r="B221" s="2">
        <v>9</v>
      </c>
    </row>
    <row r="224" spans="1:12">
      <c r="A224" s="16" t="s">
        <v>45</v>
      </c>
      <c r="B224" s="16"/>
      <c r="C224" s="16"/>
      <c r="E224" s="1" t="s">
        <v>46</v>
      </c>
      <c r="F224" s="1" t="s">
        <v>47</v>
      </c>
      <c r="G224" s="1" t="s">
        <v>48</v>
      </c>
      <c r="H224" s="1" t="s">
        <v>49</v>
      </c>
      <c r="L224" s="1" t="s">
        <v>50</v>
      </c>
    </row>
    <row r="225" spans="1:12">
      <c r="A225" s="1"/>
      <c r="B225" s="1" t="s">
        <v>37</v>
      </c>
      <c r="C225" s="1" t="s">
        <v>38</v>
      </c>
      <c r="E225" s="2">
        <v>2.3650000000000002</v>
      </c>
      <c r="F225" s="2">
        <f>SUM(D173*D173,D174*D174,D175*D175,D176*D176,D177*D177,D178*D178,D179*D179,D180*D180,D181*D181)</f>
        <v>2.3788175694124919E-2</v>
      </c>
      <c r="G225" s="2">
        <f>SUM(C173:C181)/9</f>
        <v>-3.9180060648186501</v>
      </c>
      <c r="H225" s="2">
        <f>SUM(C173*C173,C174*C174,C175*C175,C176*C176,C177*C177,C178*C178,C179*C179,C180*C180,C181*C181)-9*G225*G225</f>
        <v>1.8894061069457848</v>
      </c>
      <c r="L225" s="2">
        <f t="shared" ref="L225:L233" si="23">(C173-G$225)^2</f>
        <v>0.40806871243770687</v>
      </c>
    </row>
    <row r="226" spans="1:12">
      <c r="A226" s="1" t="s">
        <v>51</v>
      </c>
      <c r="B226" s="2">
        <f>$C$185+$E$225*SQRT(($F$225/7)*(1/$H$225))</f>
        <v>352.77029979292905</v>
      </c>
      <c r="C226" s="2">
        <f>$D$185+$E$225*SQRT(($F$225/(9*7))*(($G$225^2)/$H$225))</f>
        <v>-5.5503082676679698</v>
      </c>
      <c r="L226" s="2">
        <f t="shared" si="23"/>
        <v>0.25367187619456982</v>
      </c>
    </row>
    <row r="227" spans="1:12">
      <c r="A227" s="1" t="s">
        <v>52</v>
      </c>
      <c r="B227" s="2">
        <f>$C$185-$E$225*SQRT(($F$225/7)*(1/$H$225))</f>
        <v>352.56970020707098</v>
      </c>
      <c r="C227" s="2">
        <f>$D$185-$E$225*SQRT(($F$225/(9*7))*(($G$225^2)/$H$225))</f>
        <v>-5.8122917323320307</v>
      </c>
      <c r="E227" s="1" t="s">
        <v>53</v>
      </c>
      <c r="F227" s="1" t="s">
        <v>54</v>
      </c>
      <c r="L227" s="2">
        <f t="shared" si="23"/>
        <v>0.13171879662985495</v>
      </c>
    </row>
    <row r="228" spans="1:12">
      <c r="E228" s="2">
        <f>SUM(L225:L233)</f>
        <v>1.8894061069457631</v>
      </c>
      <c r="F228" s="2">
        <f>($E$228 - $F$225)/$E$228</f>
        <v>0.98740970741722711</v>
      </c>
      <c r="L228" s="2">
        <f t="shared" si="23"/>
        <v>4.6398001490191874E-2</v>
      </c>
    </row>
    <row r="229" spans="1:12">
      <c r="A229" s="16" t="s">
        <v>55</v>
      </c>
      <c r="B229" s="16"/>
      <c r="C229" s="16"/>
      <c r="L229" s="2">
        <f t="shared" si="23"/>
        <v>2.9861096225701237E-3</v>
      </c>
    </row>
    <row r="230" spans="1:12">
      <c r="A230" s="1" t="s">
        <v>42</v>
      </c>
      <c r="B230" s="1" t="s">
        <v>11</v>
      </c>
      <c r="C230" s="1" t="s">
        <v>10</v>
      </c>
      <c r="L230" s="2">
        <f t="shared" si="23"/>
        <v>1.4680308060407286E-2</v>
      </c>
    </row>
    <row r="231" spans="1:12">
      <c r="A231" s="2">
        <f>B201</f>
        <v>-4.6232899999999999</v>
      </c>
      <c r="B231" s="2">
        <f t="shared" ref="B231:B239" si="24">$A231-$E$225*SQRT(($F$225/7)*(1 + 1/9+(($B173-$G$225)^2)/$H$225))</f>
        <v>-5.0425578753645253</v>
      </c>
      <c r="C231" s="2">
        <f t="shared" ref="C231:C239" si="25">$A231+$E$225*SQRT(($F$225/7)*(1 + 1/9+(($B173-$G$225)^2)/$H$225))</f>
        <v>-4.2040221246354745</v>
      </c>
      <c r="L231" s="2">
        <f t="shared" si="23"/>
        <v>9.8808389367373448E-2</v>
      </c>
    </row>
    <row r="232" spans="1:12">
      <c r="A232" s="2">
        <f t="shared" ref="A232:A239" si="26">B202</f>
        <v>-4.446955</v>
      </c>
      <c r="B232" s="2">
        <f t="shared" si="24"/>
        <v>-4.8662699166661323</v>
      </c>
      <c r="C232" s="2">
        <f t="shared" si="25"/>
        <v>-4.0276400833338677</v>
      </c>
      <c r="L232" s="2">
        <f t="shared" si="23"/>
        <v>0.28838077657517996</v>
      </c>
    </row>
    <row r="233" spans="1:12">
      <c r="A233" s="2">
        <f t="shared" si="26"/>
        <v>-4.2706200000000001</v>
      </c>
      <c r="B233" s="2">
        <f t="shared" si="24"/>
        <v>-4.689981958688187</v>
      </c>
      <c r="C233" s="2">
        <f t="shared" si="25"/>
        <v>-3.8512580413118132</v>
      </c>
      <c r="L233" s="2">
        <f t="shared" si="23"/>
        <v>0.64469313656790839</v>
      </c>
    </row>
    <row r="234" spans="1:12">
      <c r="A234" s="2">
        <f t="shared" si="26"/>
        <v>-4.0942850000000002</v>
      </c>
      <c r="B234" s="2">
        <f t="shared" si="24"/>
        <v>-4.5136940014304461</v>
      </c>
      <c r="C234" s="2">
        <f t="shared" si="25"/>
        <v>-3.6748759985695547</v>
      </c>
    </row>
    <row r="235" spans="1:12">
      <c r="A235" s="2">
        <f t="shared" si="26"/>
        <v>-3.9179500000000003</v>
      </c>
      <c r="B235" s="2">
        <f t="shared" si="24"/>
        <v>-4.337406044892667</v>
      </c>
      <c r="C235" s="2">
        <f t="shared" si="25"/>
        <v>-3.498493955107334</v>
      </c>
    </row>
    <row r="236" spans="1:12">
      <c r="A236" s="2">
        <f t="shared" si="26"/>
        <v>-3.7416150000000004</v>
      </c>
      <c r="B236" s="2">
        <f t="shared" si="24"/>
        <v>-4.1611180890746073</v>
      </c>
      <c r="C236" s="2">
        <f t="shared" si="25"/>
        <v>-3.3221119109253929</v>
      </c>
    </row>
    <row r="237" spans="1:12">
      <c r="A237" s="2">
        <f t="shared" si="26"/>
        <v>-3.56528</v>
      </c>
      <c r="B237" s="2">
        <f t="shared" si="24"/>
        <v>-3.9848301339760264</v>
      </c>
      <c r="C237" s="2">
        <f t="shared" si="25"/>
        <v>-3.1457298660239736</v>
      </c>
    </row>
    <row r="238" spans="1:12">
      <c r="A238" s="2">
        <f t="shared" si="26"/>
        <v>-3.3889450000000001</v>
      </c>
      <c r="B238" s="2">
        <f t="shared" si="24"/>
        <v>-3.8085421795966812</v>
      </c>
      <c r="C238" s="2">
        <f t="shared" si="25"/>
        <v>-2.969347820403319</v>
      </c>
    </row>
    <row r="239" spans="1:12">
      <c r="A239" s="2">
        <f t="shared" si="26"/>
        <v>-3.2126100000000002</v>
      </c>
      <c r="B239" s="2">
        <f t="shared" si="24"/>
        <v>-3.6322542259363302</v>
      </c>
      <c r="C239" s="2">
        <f t="shared" si="25"/>
        <v>-2.7929657740636702</v>
      </c>
    </row>
    <row r="240" spans="1:12">
      <c r="C240" s="2"/>
    </row>
    <row r="241" spans="1:7">
      <c r="A241" s="1"/>
      <c r="B241" s="1"/>
      <c r="C241" s="1"/>
      <c r="D241" s="1"/>
      <c r="F241" s="3"/>
      <c r="G241" s="3"/>
    </row>
    <row r="242" spans="1:7">
      <c r="A242" s="1"/>
      <c r="C242" s="2"/>
      <c r="F242" s="1"/>
      <c r="G242" s="1"/>
    </row>
    <row r="243" spans="1:7">
      <c r="A243" s="10"/>
      <c r="C243" s="2"/>
    </row>
    <row r="244" spans="1:7">
      <c r="A244" s="10"/>
      <c r="C244" s="2"/>
    </row>
    <row r="245" spans="1:7">
      <c r="A245" s="10"/>
      <c r="C245" s="2"/>
    </row>
    <row r="246" spans="1:7">
      <c r="A246" s="10"/>
      <c r="C246" s="2"/>
    </row>
    <row r="247" spans="1:7">
      <c r="A247" s="10"/>
      <c r="C247" s="2"/>
    </row>
    <row r="248" spans="1:7">
      <c r="A248" s="10"/>
      <c r="C248" s="2"/>
    </row>
    <row r="249" spans="1:7">
      <c r="A249" s="10"/>
      <c r="C249" s="2"/>
    </row>
    <row r="250" spans="1:7">
      <c r="A250" s="10"/>
      <c r="C250" s="2"/>
    </row>
    <row r="251" spans="1:7">
      <c r="C251" s="2"/>
    </row>
    <row r="252" spans="1:7">
      <c r="A252" s="1"/>
      <c r="C252" s="2"/>
    </row>
    <row r="253" spans="1:7">
      <c r="A253" s="1"/>
      <c r="C253" s="15"/>
      <c r="D253" s="15"/>
    </row>
    <row r="254" spans="1:7">
      <c r="A254" s="1"/>
      <c r="C254" s="1"/>
      <c r="D254" s="1"/>
    </row>
    <row r="255" spans="1:7">
      <c r="A255" s="1"/>
      <c r="C255" s="2"/>
    </row>
    <row r="256" spans="1:7">
      <c r="A256" s="1"/>
      <c r="C256" s="2"/>
    </row>
    <row r="257" spans="1:3">
      <c r="A257" s="3"/>
      <c r="B257" s="3"/>
      <c r="C257" s="3"/>
    </row>
    <row r="258" spans="1:3">
      <c r="A258" s="1"/>
      <c r="B258" s="1"/>
      <c r="C258" s="1"/>
    </row>
    <row r="259" spans="1:3">
      <c r="C259" s="2"/>
    </row>
    <row r="260" spans="1:3">
      <c r="C260" s="2"/>
    </row>
    <row r="261" spans="1:3">
      <c r="C261" s="2"/>
    </row>
    <row r="262" spans="1:3">
      <c r="C262" s="2"/>
    </row>
    <row r="263" spans="1:3">
      <c r="C263" s="2"/>
    </row>
    <row r="264" spans="1:3">
      <c r="C264" s="2"/>
    </row>
    <row r="265" spans="1:3">
      <c r="C265" s="2"/>
    </row>
    <row r="266" spans="1:3">
      <c r="C266" s="2"/>
    </row>
    <row r="267" spans="1:3">
      <c r="C267" s="2"/>
    </row>
    <row r="268" spans="1:3">
      <c r="C268" s="2"/>
    </row>
    <row r="270" spans="1:3">
      <c r="A270" s="15"/>
      <c r="B270" s="15"/>
    </row>
    <row r="271" spans="1:3">
      <c r="A271" s="1"/>
      <c r="B271" s="1"/>
    </row>
    <row r="283" spans="1:2">
      <c r="A283" s="15"/>
      <c r="B283" s="15"/>
    </row>
    <row r="284" spans="1:2">
      <c r="A284" s="1"/>
      <c r="B284" s="1"/>
    </row>
    <row r="297" spans="1:3">
      <c r="A297" s="15"/>
      <c r="B297" s="15"/>
      <c r="C297" s="15"/>
    </row>
    <row r="298" spans="1:3">
      <c r="A298" s="1"/>
      <c r="B298" s="1"/>
      <c r="C298" s="1"/>
    </row>
    <row r="299" spans="1:3">
      <c r="A299" s="1"/>
    </row>
    <row r="300" spans="1:3">
      <c r="A300" s="1"/>
    </row>
  </sheetData>
  <sortState xmlns:xlrd2="http://schemas.microsoft.com/office/spreadsheetml/2017/richdata2" ref="A189:A197">
    <sortCondition ref="A189:A197"/>
  </sortState>
  <mergeCells count="12">
    <mergeCell ref="A297:C297"/>
    <mergeCell ref="A156:C156"/>
    <mergeCell ref="A171:D171"/>
    <mergeCell ref="C183:D183"/>
    <mergeCell ref="A187:C187"/>
    <mergeCell ref="A199:B199"/>
    <mergeCell ref="A211:B211"/>
    <mergeCell ref="A224:C224"/>
    <mergeCell ref="A229:C229"/>
    <mergeCell ref="C253:D253"/>
    <mergeCell ref="A270:B270"/>
    <mergeCell ref="A283:B28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8B3F-3607-4C3B-9F02-B57454BBAD7F}">
  <dimension ref="A1:L402"/>
  <sheetViews>
    <sheetView topLeftCell="A287" workbookViewId="0">
      <selection activeCell="J315" sqref="J315"/>
    </sheetView>
  </sheetViews>
  <sheetFormatPr defaultColWidth="9.140625" defaultRowHeight="14.45"/>
  <cols>
    <col min="1" max="1" width="29.140625" style="2" customWidth="1"/>
    <col min="2" max="2" width="17.28515625" style="2" customWidth="1"/>
    <col min="3" max="3" width="17" style="5" customWidth="1"/>
    <col min="4" max="4" width="28" style="2" customWidth="1"/>
    <col min="5" max="5" width="16.85546875" style="2" customWidth="1"/>
    <col min="6" max="6" width="25.140625" style="2" customWidth="1"/>
    <col min="7" max="7" width="9.140625" style="2"/>
    <col min="8" max="8" width="21" style="2" customWidth="1"/>
    <col min="9" max="9" width="15.7109375" style="2" customWidth="1"/>
    <col min="10" max="10" width="15.85546875" style="2" customWidth="1"/>
    <col min="11" max="11" width="14.5703125" style="2" customWidth="1"/>
    <col min="12" max="12" width="14.140625" style="2" customWidth="1"/>
    <col min="13" max="16384" width="9.140625" style="2"/>
  </cols>
  <sheetData>
    <row r="1" spans="1:11">
      <c r="A1" s="1" t="s">
        <v>0</v>
      </c>
      <c r="C1" s="3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K1" s="1"/>
    </row>
    <row r="2" spans="1:11">
      <c r="A2" s="11">
        <v>1.0564526875348E-2</v>
      </c>
      <c r="C2" s="5">
        <f>AVERAGE(A2:A16)</f>
        <v>1.0495500618207265E-2</v>
      </c>
      <c r="D2" s="2">
        <f>_xlfn.VAR.S(A2:A16)</f>
        <v>3.6934731558504494E-9</v>
      </c>
      <c r="E2" s="2">
        <f>SQRT(D2)/C2</f>
        <v>5.7904766532320545E-3</v>
      </c>
      <c r="H2" s="11">
        <v>1.0410201864741E-2</v>
      </c>
      <c r="I2" s="2">
        <f>1/15 - 0.5/15</f>
        <v>3.3333333333333333E-2</v>
      </c>
      <c r="J2" s="2">
        <f t="shared" ref="J2:J16" si="0">4.91*(I2^0.14-(1-I2)^0.14)</f>
        <v>-1.836858897688687</v>
      </c>
    </row>
    <row r="3" spans="1:11">
      <c r="A3" s="11">
        <v>1.0411292892817E-2</v>
      </c>
      <c r="H3" s="11">
        <v>1.0411292892817E-2</v>
      </c>
      <c r="I3" s="2">
        <f>I2+1/15</f>
        <v>0.1</v>
      </c>
      <c r="J3" s="2">
        <f t="shared" si="0"/>
        <v>-1.2811261510381207</v>
      </c>
    </row>
    <row r="4" spans="1:11">
      <c r="A4" s="11">
        <v>1.0471679092465E-2</v>
      </c>
      <c r="C4" s="3" t="s">
        <v>7</v>
      </c>
      <c r="E4" s="1" t="s">
        <v>8</v>
      </c>
      <c r="H4" s="11">
        <v>1.0442104773880001E-2</v>
      </c>
      <c r="I4" s="2">
        <f t="shared" ref="I4:I16" si="1">I3+1/15</f>
        <v>0.16666666666666669</v>
      </c>
      <c r="J4" s="2">
        <f t="shared" si="0"/>
        <v>-0.96558119772402384</v>
      </c>
    </row>
    <row r="5" spans="1:11">
      <c r="A5" s="11">
        <v>1.0481529046626E-2</v>
      </c>
      <c r="C5" s="5">
        <f>MEDIAN(A2:A16)</f>
        <v>1.0481529046626E-2</v>
      </c>
      <c r="E5" s="2">
        <v>2.145</v>
      </c>
      <c r="H5" s="11">
        <v>1.0463883418809E-2</v>
      </c>
      <c r="I5" s="2">
        <f t="shared" si="1"/>
        <v>0.23333333333333334</v>
      </c>
      <c r="J5" s="2">
        <f t="shared" si="0"/>
        <v>-0.72575040815577163</v>
      </c>
    </row>
    <row r="6" spans="1:11">
      <c r="A6" s="11">
        <v>1.0506490348009E-2</v>
      </c>
      <c r="H6" s="11">
        <v>1.0465223784001E-2</v>
      </c>
      <c r="I6" s="2">
        <f t="shared" si="1"/>
        <v>0.3</v>
      </c>
      <c r="J6" s="2">
        <f t="shared" si="0"/>
        <v>-0.52246305252576009</v>
      </c>
    </row>
    <row r="7" spans="1:11">
      <c r="A7" s="11">
        <v>1.0442104773880001E-2</v>
      </c>
      <c r="C7" s="3"/>
      <c r="D7" s="1" t="s">
        <v>9</v>
      </c>
      <c r="H7" s="11">
        <v>1.0469793518288001E-2</v>
      </c>
      <c r="I7" s="2">
        <f t="shared" si="1"/>
        <v>0.36666666666666664</v>
      </c>
      <c r="J7" s="2">
        <f t="shared" si="0"/>
        <v>-0.33927638280750583</v>
      </c>
    </row>
    <row r="8" spans="1:11">
      <c r="A8" s="11">
        <v>1.0465223784001E-2</v>
      </c>
      <c r="C8" s="3" t="s">
        <v>10</v>
      </c>
      <c r="D8" s="2">
        <f>C2+E5*SQRT(D2)/(SQRT(15))</f>
        <v>1.0529159457885124E-2</v>
      </c>
      <c r="H8" s="11">
        <v>1.0471679092465E-2</v>
      </c>
      <c r="I8" s="2">
        <f t="shared" si="1"/>
        <v>0.43333333333333329</v>
      </c>
      <c r="J8" s="2">
        <f t="shared" si="0"/>
        <v>-0.16715058832373922</v>
      </c>
    </row>
    <row r="9" spans="1:11">
      <c r="A9" s="11">
        <v>1.0410201864741E-2</v>
      </c>
      <c r="C9" s="3" t="s">
        <v>11</v>
      </c>
      <c r="D9" s="2">
        <f>C2-E5*SQRT(D2)/(SQRT(15))</f>
        <v>1.0461841778529405E-2</v>
      </c>
      <c r="H9" s="11">
        <v>1.0481529046626E-2</v>
      </c>
      <c r="I9" s="2">
        <f t="shared" si="1"/>
        <v>0.49999999999999994</v>
      </c>
      <c r="J9" s="2">
        <f t="shared" si="0"/>
        <v>0</v>
      </c>
    </row>
    <row r="10" spans="1:11">
      <c r="A10" s="11">
        <v>1.049598355445E-2</v>
      </c>
      <c r="H10" s="11">
        <v>1.0488187977066001E-2</v>
      </c>
      <c r="I10" s="2">
        <f t="shared" si="1"/>
        <v>0.56666666666666665</v>
      </c>
      <c r="J10" s="2">
        <f t="shared" si="0"/>
        <v>0.16715058832373922</v>
      </c>
    </row>
    <row r="11" spans="1:11">
      <c r="A11" s="11">
        <v>1.0488187977066001E-2</v>
      </c>
      <c r="H11" s="11">
        <v>1.049598355445E-2</v>
      </c>
      <c r="I11" s="2">
        <f t="shared" si="1"/>
        <v>0.6333333333333333</v>
      </c>
      <c r="J11" s="2">
        <f t="shared" si="0"/>
        <v>0.33927638280750583</v>
      </c>
    </row>
    <row r="12" spans="1:11">
      <c r="A12" s="11">
        <v>1.0562917002525001E-2</v>
      </c>
      <c r="H12" s="11">
        <v>1.0506490348009E-2</v>
      </c>
      <c r="I12" s="2">
        <f t="shared" si="1"/>
        <v>0.7</v>
      </c>
      <c r="J12" s="2">
        <f t="shared" si="0"/>
        <v>0.52246305252576009</v>
      </c>
    </row>
    <row r="13" spans="1:11">
      <c r="A13" s="11">
        <v>1.0469793518288001E-2</v>
      </c>
      <c r="H13" s="11">
        <v>1.0562917002525001E-2</v>
      </c>
      <c r="I13" s="2">
        <f t="shared" si="1"/>
        <v>0.76666666666666661</v>
      </c>
      <c r="J13" s="2">
        <f t="shared" si="0"/>
        <v>0.72575040815577163</v>
      </c>
    </row>
    <row r="14" spans="1:11">
      <c r="A14" s="11">
        <v>1.0606361124314E-2</v>
      </c>
      <c r="H14" s="11">
        <v>1.0564526875348E-2</v>
      </c>
      <c r="I14" s="2">
        <f t="shared" si="1"/>
        <v>0.83333333333333326</v>
      </c>
      <c r="J14" s="2">
        <f t="shared" si="0"/>
        <v>0.96558119772402329</v>
      </c>
    </row>
    <row r="15" spans="1:11">
      <c r="A15" s="11">
        <v>1.0463883418809E-2</v>
      </c>
      <c r="H15" s="11">
        <v>1.059233399977E-2</v>
      </c>
      <c r="I15" s="2">
        <f t="shared" si="1"/>
        <v>0.89999999999999991</v>
      </c>
      <c r="J15" s="2">
        <f t="shared" si="0"/>
        <v>1.2811261510381207</v>
      </c>
    </row>
    <row r="16" spans="1:11">
      <c r="A16" s="11">
        <v>1.059233399977E-2</v>
      </c>
      <c r="H16" s="11">
        <v>1.0606361124314E-2</v>
      </c>
      <c r="I16" s="2">
        <f t="shared" si="1"/>
        <v>0.96666666666666656</v>
      </c>
      <c r="J16" s="2">
        <f t="shared" si="0"/>
        <v>1.8368588976886859</v>
      </c>
    </row>
    <row r="17" spans="1:10" s="6" customFormat="1" ht="3.75" customHeight="1">
      <c r="C17" s="7"/>
    </row>
    <row r="18" spans="1:10">
      <c r="A18" s="1" t="s">
        <v>13</v>
      </c>
      <c r="C18" s="3" t="s">
        <v>1</v>
      </c>
      <c r="D18" s="1" t="s">
        <v>2</v>
      </c>
      <c r="E18" s="1" t="s">
        <v>3</v>
      </c>
      <c r="F18" s="1"/>
      <c r="G18" s="1"/>
      <c r="H18" s="1" t="s">
        <v>4</v>
      </c>
      <c r="I18" s="1" t="s">
        <v>5</v>
      </c>
      <c r="J18" s="1" t="s">
        <v>6</v>
      </c>
    </row>
    <row r="19" spans="1:10">
      <c r="A19" s="8">
        <v>1.3907503340134001E-2</v>
      </c>
      <c r="C19" s="5">
        <f>AVERAGE(A19:A33)</f>
        <v>1.3829698865016199E-2</v>
      </c>
      <c r="D19" s="2">
        <f>_xlfn.VAR.S(A19:A33)</f>
        <v>1.1470801911212157E-8</v>
      </c>
      <c r="E19" s="2">
        <f>SQRT(D19)/C19</f>
        <v>7.7443356273033887E-3</v>
      </c>
      <c r="H19" s="8">
        <v>1.3596245151938999E-2</v>
      </c>
      <c r="I19" s="2">
        <f>1/15 - 0.5/15</f>
        <v>3.3333333333333333E-2</v>
      </c>
      <c r="J19" s="2">
        <f t="shared" ref="J19:J33" si="2">4.91*(I19^0.14-(1-I19)^0.14)</f>
        <v>-1.836858897688687</v>
      </c>
    </row>
    <row r="20" spans="1:10">
      <c r="A20" s="8">
        <v>1.3944907908945E-2</v>
      </c>
      <c r="H20" s="8">
        <v>1.3702591398253999E-2</v>
      </c>
      <c r="I20" s="2">
        <f>I19+1/15</f>
        <v>0.1</v>
      </c>
      <c r="J20" s="2">
        <f t="shared" si="2"/>
        <v>-1.2811261510381207</v>
      </c>
    </row>
    <row r="21" spans="1:10">
      <c r="A21" s="8">
        <v>1.3723753386758001E-2</v>
      </c>
      <c r="C21" s="3" t="s">
        <v>7</v>
      </c>
      <c r="E21" s="1" t="s">
        <v>8</v>
      </c>
      <c r="H21" s="8">
        <v>1.3723753386758001E-2</v>
      </c>
      <c r="I21" s="2">
        <f t="shared" ref="I21:I33" si="3">I20+1/15</f>
        <v>0.16666666666666669</v>
      </c>
      <c r="J21" s="2">
        <f t="shared" si="2"/>
        <v>-0.96558119772402384</v>
      </c>
    </row>
    <row r="22" spans="1:10">
      <c r="A22" s="8">
        <v>1.3596245151938999E-2</v>
      </c>
      <c r="C22" s="5">
        <f>MEDIAN(A19:A33)</f>
        <v>1.3891109740642E-2</v>
      </c>
      <c r="E22" s="2">
        <v>2.145</v>
      </c>
      <c r="H22" s="8">
        <v>1.3743209193934999E-2</v>
      </c>
      <c r="I22" s="2">
        <f t="shared" si="3"/>
        <v>0.23333333333333334</v>
      </c>
      <c r="J22" s="2">
        <f t="shared" si="2"/>
        <v>-0.72575040815577163</v>
      </c>
    </row>
    <row r="23" spans="1:10" ht="14.25" customHeight="1">
      <c r="A23" s="8">
        <v>1.3767111054314E-2</v>
      </c>
      <c r="H23" s="8">
        <v>1.3767111054314E-2</v>
      </c>
      <c r="I23" s="2">
        <f t="shared" si="3"/>
        <v>0.3</v>
      </c>
      <c r="J23" s="2">
        <f t="shared" si="2"/>
        <v>-0.52246305252576009</v>
      </c>
    </row>
    <row r="24" spans="1:10">
      <c r="A24" s="8">
        <v>1.392508461212E-2</v>
      </c>
      <c r="C24" s="3"/>
      <c r="D24" s="1" t="s">
        <v>9</v>
      </c>
      <c r="H24" s="8">
        <v>1.3782863681224999E-2</v>
      </c>
      <c r="I24" s="2">
        <f t="shared" si="3"/>
        <v>0.36666666666666664</v>
      </c>
      <c r="J24" s="2">
        <f t="shared" si="2"/>
        <v>-0.33927638280750583</v>
      </c>
    </row>
    <row r="25" spans="1:10">
      <c r="A25" s="8">
        <v>1.3903180639964E-2</v>
      </c>
      <c r="C25" s="3" t="s">
        <v>10</v>
      </c>
      <c r="D25" s="2">
        <f>C19+E22*SQRT(D19)/(SQRT(15))</f>
        <v>1.3889015780177354E-2</v>
      </c>
      <c r="H25" s="8">
        <v>1.3791034332399E-2</v>
      </c>
      <c r="I25" s="2">
        <f t="shared" si="3"/>
        <v>0.43333333333333329</v>
      </c>
      <c r="J25" s="2">
        <f t="shared" si="2"/>
        <v>-0.16715058832373922</v>
      </c>
    </row>
    <row r="26" spans="1:10">
      <c r="A26" s="8">
        <v>1.3912016989949001E-2</v>
      </c>
      <c r="C26" s="3" t="s">
        <v>11</v>
      </c>
      <c r="D26" s="2">
        <f>C19-E22*SQRT(D19)/(SQRT(15))</f>
        <v>1.3770381949855044E-2</v>
      </c>
      <c r="H26" s="8">
        <v>1.3891109740642E-2</v>
      </c>
      <c r="I26" s="2">
        <f t="shared" si="3"/>
        <v>0.49999999999999994</v>
      </c>
      <c r="J26" s="2">
        <f t="shared" si="2"/>
        <v>0</v>
      </c>
    </row>
    <row r="27" spans="1:10">
      <c r="A27" s="8">
        <v>1.3918879699360001E-2</v>
      </c>
      <c r="H27" s="8">
        <v>1.3903180639964E-2</v>
      </c>
      <c r="I27" s="2">
        <f t="shared" si="3"/>
        <v>0.56666666666666665</v>
      </c>
      <c r="J27" s="2">
        <f t="shared" si="2"/>
        <v>0.16715058832373922</v>
      </c>
    </row>
    <row r="28" spans="1:10" ht="16.5" customHeight="1">
      <c r="A28" s="8">
        <v>1.3935991845305E-2</v>
      </c>
      <c r="H28" s="8">
        <v>1.3907503340134001E-2</v>
      </c>
      <c r="I28" s="2">
        <f t="shared" si="3"/>
        <v>0.6333333333333333</v>
      </c>
      <c r="J28" s="2">
        <f t="shared" si="2"/>
        <v>0.33927638280750583</v>
      </c>
    </row>
    <row r="29" spans="1:10" ht="16.5" customHeight="1">
      <c r="A29" s="8">
        <v>1.3891109740642E-2</v>
      </c>
      <c r="H29" s="8">
        <v>1.3912016989949001E-2</v>
      </c>
      <c r="I29" s="2">
        <f t="shared" si="3"/>
        <v>0.7</v>
      </c>
      <c r="J29" s="2">
        <f t="shared" si="2"/>
        <v>0.52246305252576009</v>
      </c>
    </row>
    <row r="30" spans="1:10" ht="16.5" customHeight="1">
      <c r="A30" s="8">
        <v>1.3791034332399E-2</v>
      </c>
      <c r="H30" s="8">
        <v>1.3918879699360001E-2</v>
      </c>
      <c r="I30" s="2">
        <f t="shared" si="3"/>
        <v>0.76666666666666661</v>
      </c>
      <c r="J30" s="2">
        <f t="shared" si="2"/>
        <v>0.72575040815577163</v>
      </c>
    </row>
    <row r="31" spans="1:10" ht="16.5" customHeight="1">
      <c r="A31" s="8">
        <v>1.3743209193934999E-2</v>
      </c>
      <c r="H31" s="8">
        <v>1.392508461212E-2</v>
      </c>
      <c r="I31" s="2">
        <f t="shared" si="3"/>
        <v>0.83333333333333326</v>
      </c>
      <c r="J31" s="2">
        <f t="shared" si="2"/>
        <v>0.96558119772402329</v>
      </c>
    </row>
    <row r="32" spans="1:10" ht="16.5" customHeight="1">
      <c r="A32" s="8">
        <v>1.3782863681224999E-2</v>
      </c>
      <c r="H32" s="8">
        <v>1.3935991845305E-2</v>
      </c>
      <c r="I32" s="2">
        <f t="shared" si="3"/>
        <v>0.89999999999999991</v>
      </c>
      <c r="J32" s="2">
        <f t="shared" si="2"/>
        <v>1.2811261510381207</v>
      </c>
    </row>
    <row r="33" spans="1:10" ht="16.5" customHeight="1">
      <c r="A33" s="8">
        <v>1.3702591398253999E-2</v>
      </c>
      <c r="H33" s="8">
        <v>1.3944907908945E-2</v>
      </c>
      <c r="I33" s="2">
        <f t="shared" si="3"/>
        <v>0.96666666666666656</v>
      </c>
      <c r="J33" s="2">
        <f t="shared" si="2"/>
        <v>1.8368588976886859</v>
      </c>
    </row>
    <row r="34" spans="1:10" s="6" customFormat="1" ht="3.75" customHeight="1">
      <c r="C34" s="7"/>
    </row>
    <row r="35" spans="1:10">
      <c r="A35" s="1" t="s">
        <v>17</v>
      </c>
      <c r="C35" s="3" t="s">
        <v>1</v>
      </c>
      <c r="D35" s="1" t="s">
        <v>2</v>
      </c>
      <c r="E35" s="1" t="s">
        <v>3</v>
      </c>
      <c r="F35" s="1"/>
      <c r="H35" s="1" t="s">
        <v>4</v>
      </c>
      <c r="I35" s="1" t="s">
        <v>5</v>
      </c>
      <c r="J35" s="1" t="s">
        <v>6</v>
      </c>
    </row>
    <row r="36" spans="1:10">
      <c r="A36" s="9">
        <v>2.7420582619959999E-2</v>
      </c>
      <c r="C36" s="5">
        <f>AVERAGE(A36:A50)</f>
        <v>2.7223681335640272E-2</v>
      </c>
      <c r="D36" s="2">
        <f>_xlfn.VAR.S(A36:A50)</f>
        <v>1.6454255753761727E-7</v>
      </c>
      <c r="E36" s="2">
        <f>SQRT(D36)/C36</f>
        <v>1.4900205878799018E-2</v>
      </c>
      <c r="H36" s="9">
        <v>2.6511283437939001E-2</v>
      </c>
      <c r="I36" s="2">
        <f>1/15 - 0.5/15</f>
        <v>3.3333333333333333E-2</v>
      </c>
      <c r="J36" s="2">
        <f t="shared" ref="J36:J50" si="4">4.91*(I36^0.14-(1-I36)^0.14)</f>
        <v>-1.836858897688687</v>
      </c>
    </row>
    <row r="37" spans="1:10">
      <c r="A37" s="9">
        <v>2.6926961688386999E-2</v>
      </c>
      <c r="H37" s="9">
        <v>2.6617144423057001E-2</v>
      </c>
      <c r="I37" s="2">
        <f>I36+1/15</f>
        <v>0.1</v>
      </c>
      <c r="J37" s="2">
        <f t="shared" si="4"/>
        <v>-1.2811261510381207</v>
      </c>
    </row>
    <row r="38" spans="1:10">
      <c r="A38" s="9">
        <v>2.7721689813447001E-2</v>
      </c>
      <c r="C38" s="3" t="s">
        <v>7</v>
      </c>
      <c r="E38" s="1" t="s">
        <v>8</v>
      </c>
      <c r="H38" s="9">
        <v>2.6846662407237001E-2</v>
      </c>
      <c r="I38" s="2">
        <f t="shared" ref="I38:I50" si="5">I37+1/15</f>
        <v>0.16666666666666669</v>
      </c>
      <c r="J38" s="2">
        <f t="shared" si="4"/>
        <v>-0.96558119772402384</v>
      </c>
    </row>
    <row r="39" spans="1:10">
      <c r="A39" s="9">
        <v>2.7174174802022E-2</v>
      </c>
      <c r="C39" s="5">
        <f>MEDIAN(A36:A50)</f>
        <v>2.7174174802022E-2</v>
      </c>
      <c r="E39" s="2">
        <v>2.145</v>
      </c>
      <c r="H39" s="9">
        <v>2.6896695021315E-2</v>
      </c>
      <c r="I39" s="2">
        <f t="shared" si="5"/>
        <v>0.23333333333333334</v>
      </c>
      <c r="J39" s="2">
        <f t="shared" si="4"/>
        <v>-0.72575040815577163</v>
      </c>
    </row>
    <row r="40" spans="1:10">
      <c r="A40" s="9">
        <v>2.7632589609979E-2</v>
      </c>
      <c r="H40" s="9">
        <v>2.6926961688386999E-2</v>
      </c>
      <c r="I40" s="2">
        <f t="shared" si="5"/>
        <v>0.3</v>
      </c>
      <c r="J40" s="2">
        <f t="shared" si="4"/>
        <v>-0.52246305252576009</v>
      </c>
    </row>
    <row r="41" spans="1:10">
      <c r="A41" s="9">
        <v>2.7435830534357001E-2</v>
      </c>
      <c r="C41" s="3"/>
      <c r="D41" s="1" t="s">
        <v>9</v>
      </c>
      <c r="H41" s="9">
        <v>2.7118188589047E-2</v>
      </c>
      <c r="I41" s="2">
        <f t="shared" si="5"/>
        <v>0.36666666666666664</v>
      </c>
      <c r="J41" s="2">
        <f t="shared" si="4"/>
        <v>-0.33927638280750583</v>
      </c>
    </row>
    <row r="42" spans="1:10">
      <c r="A42" s="9">
        <v>2.7789156319666001E-2</v>
      </c>
      <c r="C42" s="3" t="s">
        <v>10</v>
      </c>
      <c r="D42" s="2">
        <f>C36+E39*SQRT(D36)/(SQRT(15))</f>
        <v>2.7448338766824509E-2</v>
      </c>
      <c r="H42" s="9">
        <v>2.7118443128808001E-2</v>
      </c>
      <c r="I42" s="2">
        <f t="shared" si="5"/>
        <v>0.43333333333333329</v>
      </c>
      <c r="J42" s="2">
        <f t="shared" si="4"/>
        <v>-0.16715058832373922</v>
      </c>
    </row>
    <row r="43" spans="1:10">
      <c r="A43" s="9">
        <v>2.6846662407237001E-2</v>
      </c>
      <c r="C43" s="3" t="s">
        <v>11</v>
      </c>
      <c r="D43" s="2">
        <f>C36-E39*SQRT(D36)/(SQRT(15))</f>
        <v>2.6999023904456035E-2</v>
      </c>
      <c r="H43" s="9">
        <v>2.7174174802022E-2</v>
      </c>
      <c r="I43" s="2">
        <f t="shared" si="5"/>
        <v>0.49999999999999994</v>
      </c>
      <c r="J43" s="2">
        <f t="shared" si="4"/>
        <v>0</v>
      </c>
    </row>
    <row r="44" spans="1:10">
      <c r="A44" s="9">
        <v>2.7529549859500999E-2</v>
      </c>
      <c r="H44" s="9">
        <v>2.7420582619959999E-2</v>
      </c>
      <c r="I44" s="2">
        <f t="shared" si="5"/>
        <v>0.56666666666666665</v>
      </c>
      <c r="J44" s="2">
        <f t="shared" si="4"/>
        <v>0.16715058832373922</v>
      </c>
    </row>
    <row r="45" spans="1:10">
      <c r="A45" s="9">
        <v>2.6617144423057001E-2</v>
      </c>
      <c r="H45" s="9">
        <v>2.7435830534357001E-2</v>
      </c>
      <c r="I45" s="2">
        <f t="shared" si="5"/>
        <v>0.6333333333333333</v>
      </c>
      <c r="J45" s="2">
        <f t="shared" si="4"/>
        <v>0.33927638280750583</v>
      </c>
    </row>
    <row r="46" spans="1:10">
      <c r="A46" s="9">
        <v>2.6511283437939001E-2</v>
      </c>
      <c r="H46" s="9">
        <v>2.7529549859500999E-2</v>
      </c>
      <c r="I46" s="2">
        <f t="shared" si="5"/>
        <v>0.7</v>
      </c>
      <c r="J46" s="2">
        <f t="shared" si="4"/>
        <v>0.52246305252576009</v>
      </c>
    </row>
    <row r="47" spans="1:10">
      <c r="A47" s="9">
        <v>2.7118188589047E-2</v>
      </c>
      <c r="H47" s="9">
        <v>2.7616267779881999E-2</v>
      </c>
      <c r="I47" s="2">
        <f t="shared" si="5"/>
        <v>0.76666666666666661</v>
      </c>
      <c r="J47" s="2">
        <f t="shared" si="4"/>
        <v>0.72575040815577163</v>
      </c>
    </row>
    <row r="48" spans="1:10">
      <c r="A48" s="9">
        <v>2.6896695021315E-2</v>
      </c>
      <c r="H48" s="9">
        <v>2.7632589609979E-2</v>
      </c>
      <c r="I48" s="2">
        <f t="shared" si="5"/>
        <v>0.83333333333333326</v>
      </c>
      <c r="J48" s="2">
        <f t="shared" si="4"/>
        <v>0.96558119772402329</v>
      </c>
    </row>
    <row r="49" spans="1:10">
      <c r="A49" s="9">
        <v>2.7616267779881999E-2</v>
      </c>
      <c r="H49" s="9">
        <v>2.7721689813447001E-2</v>
      </c>
      <c r="I49" s="2">
        <f t="shared" si="5"/>
        <v>0.89999999999999991</v>
      </c>
      <c r="J49" s="2">
        <f t="shared" si="4"/>
        <v>1.2811261510381207</v>
      </c>
    </row>
    <row r="50" spans="1:10">
      <c r="A50" s="9">
        <v>2.7118443128808001E-2</v>
      </c>
      <c r="H50" s="9">
        <v>2.7789156319666001E-2</v>
      </c>
      <c r="I50" s="2">
        <f t="shared" si="5"/>
        <v>0.96666666666666656</v>
      </c>
      <c r="J50" s="2">
        <f t="shared" si="4"/>
        <v>1.8368588976886859</v>
      </c>
    </row>
    <row r="51" spans="1:10" s="6" customFormat="1" ht="4.5" customHeight="1">
      <c r="C51" s="7"/>
    </row>
    <row r="52" spans="1:10">
      <c r="A52" s="1" t="s">
        <v>19</v>
      </c>
      <c r="C52" s="3" t="s">
        <v>1</v>
      </c>
      <c r="D52" s="1" t="s">
        <v>2</v>
      </c>
      <c r="E52" s="1" t="s">
        <v>3</v>
      </c>
      <c r="F52" s="1"/>
      <c r="H52" s="1" t="s">
        <v>4</v>
      </c>
      <c r="I52" s="1" t="s">
        <v>5</v>
      </c>
      <c r="J52" s="1" t="s">
        <v>6</v>
      </c>
    </row>
    <row r="53" spans="1:10">
      <c r="A53" s="9">
        <v>4.2342712944855997E-2</v>
      </c>
      <c r="C53" s="5">
        <f>AVERAGE(A53:A67)</f>
        <v>4.4375036344121536E-2</v>
      </c>
      <c r="D53" s="2">
        <f>_xlfn.VAR.S(A53:A67)</f>
        <v>1.2187471248138012E-6</v>
      </c>
      <c r="E53" s="2">
        <f>SQRT(D53)/C53</f>
        <v>2.4878149902260019E-2</v>
      </c>
      <c r="H53" s="9">
        <v>4.2342712944855997E-2</v>
      </c>
      <c r="I53" s="2">
        <f>1/15 - 0.5/15</f>
        <v>3.3333333333333333E-2</v>
      </c>
      <c r="J53" s="2">
        <f t="shared" ref="J53:J67" si="6">4.91*(I53^0.14-(1-I53)^0.14)</f>
        <v>-1.836858897688687</v>
      </c>
    </row>
    <row r="54" spans="1:10">
      <c r="A54" s="9">
        <v>4.2714306553897997E-2</v>
      </c>
      <c r="H54" s="9">
        <v>4.2714306553897997E-2</v>
      </c>
      <c r="I54" s="2">
        <f t="shared" ref="I54:I67" si="7">I53+1/15</f>
        <v>0.1</v>
      </c>
      <c r="J54" s="2">
        <f t="shared" si="6"/>
        <v>-1.2811261510381207</v>
      </c>
    </row>
    <row r="55" spans="1:10">
      <c r="A55" s="9">
        <v>4.5370536942896E-2</v>
      </c>
      <c r="C55" s="3" t="s">
        <v>7</v>
      </c>
      <c r="E55" s="1" t="s">
        <v>8</v>
      </c>
      <c r="H55" s="9">
        <v>4.3171747038808002E-2</v>
      </c>
      <c r="I55" s="2">
        <f t="shared" si="7"/>
        <v>0.16666666666666669</v>
      </c>
      <c r="J55" s="2">
        <f t="shared" si="6"/>
        <v>-0.96558119772402384</v>
      </c>
    </row>
    <row r="56" spans="1:10">
      <c r="A56" s="9">
        <v>4.4806309890636997E-2</v>
      </c>
      <c r="C56" s="5">
        <f>MEDIAN(A53:A67)</f>
        <v>4.4623778503071997E-2</v>
      </c>
      <c r="E56" s="2">
        <v>2.145</v>
      </c>
      <c r="H56" s="9">
        <v>4.3219361639726998E-2</v>
      </c>
      <c r="I56" s="2">
        <f t="shared" si="7"/>
        <v>0.23333333333333334</v>
      </c>
      <c r="J56" s="2">
        <f t="shared" si="6"/>
        <v>-0.72575040815577163</v>
      </c>
    </row>
    <row r="57" spans="1:10">
      <c r="A57" s="9">
        <v>4.5013972039176002E-2</v>
      </c>
      <c r="H57" s="9">
        <v>4.4004845510254E-2</v>
      </c>
      <c r="I57" s="2">
        <f t="shared" si="7"/>
        <v>0.3</v>
      </c>
      <c r="J57" s="2">
        <f t="shared" si="6"/>
        <v>-0.52246305252576009</v>
      </c>
    </row>
    <row r="58" spans="1:10">
      <c r="A58" s="9">
        <v>4.4623778503071997E-2</v>
      </c>
      <c r="C58" s="3"/>
      <c r="D58" s="1" t="s">
        <v>9</v>
      </c>
      <c r="H58" s="9">
        <v>4.4218830248813998E-2</v>
      </c>
      <c r="I58" s="2">
        <f t="shared" si="7"/>
        <v>0.36666666666666664</v>
      </c>
      <c r="J58" s="2">
        <f t="shared" si="6"/>
        <v>-0.33927638280750583</v>
      </c>
    </row>
    <row r="59" spans="1:10">
      <c r="A59" s="9">
        <v>4.3219361639726998E-2</v>
      </c>
      <c r="C59" s="3" t="s">
        <v>10</v>
      </c>
      <c r="D59" s="2">
        <f>C53+E56*SQRT(D53)/(SQRT(15))</f>
        <v>4.4986454694622861E-2</v>
      </c>
      <c r="H59" s="9">
        <v>4.4288897423404999E-2</v>
      </c>
      <c r="I59" s="2">
        <f t="shared" si="7"/>
        <v>0.43333333333333329</v>
      </c>
      <c r="J59" s="2">
        <f t="shared" si="6"/>
        <v>-0.16715058832373922</v>
      </c>
    </row>
    <row r="60" spans="1:10">
      <c r="A60" s="9">
        <v>4.4004845510254E-2</v>
      </c>
      <c r="C60" s="3" t="s">
        <v>11</v>
      </c>
      <c r="D60" s="2">
        <f>C53-E56*SQRT(D53)/(SQRT(15))</f>
        <v>4.3763617993620212E-2</v>
      </c>
      <c r="H60" s="9">
        <v>4.4623778503071997E-2</v>
      </c>
      <c r="I60" s="2">
        <f t="shared" si="7"/>
        <v>0.49999999999999994</v>
      </c>
      <c r="J60" s="2">
        <f t="shared" si="6"/>
        <v>0</v>
      </c>
    </row>
    <row r="61" spans="1:10">
      <c r="A61" s="9">
        <v>4.3171747038808002E-2</v>
      </c>
      <c r="H61" s="9">
        <v>4.4806309890636997E-2</v>
      </c>
      <c r="I61" s="2">
        <f t="shared" si="7"/>
        <v>0.56666666666666665</v>
      </c>
      <c r="J61" s="2">
        <f t="shared" si="6"/>
        <v>0.16715058832373922</v>
      </c>
    </row>
    <row r="62" spans="1:10">
      <c r="A62" s="9">
        <v>4.5390459767000998E-2</v>
      </c>
      <c r="H62" s="9">
        <v>4.4946647302027E-2</v>
      </c>
      <c r="I62" s="2">
        <f t="shared" si="7"/>
        <v>0.6333333333333333</v>
      </c>
      <c r="J62" s="2">
        <f t="shared" si="6"/>
        <v>0.33927638280750583</v>
      </c>
    </row>
    <row r="63" spans="1:10">
      <c r="A63" s="9">
        <v>4.6203517608636002E-2</v>
      </c>
      <c r="H63" s="9">
        <v>4.5013972039176002E-2</v>
      </c>
      <c r="I63" s="2">
        <f t="shared" si="7"/>
        <v>0.7</v>
      </c>
      <c r="J63" s="2">
        <f t="shared" si="6"/>
        <v>0.52246305252576009</v>
      </c>
    </row>
    <row r="64" spans="1:10">
      <c r="A64" s="9">
        <v>4.4218830248813998E-2</v>
      </c>
      <c r="H64" s="9">
        <v>4.5309621748615997E-2</v>
      </c>
      <c r="I64" s="2">
        <f t="shared" si="7"/>
        <v>0.76666666666666661</v>
      </c>
      <c r="J64" s="2">
        <f t="shared" si="6"/>
        <v>0.72575040815577163</v>
      </c>
    </row>
    <row r="65" spans="1:10">
      <c r="A65" s="9">
        <v>4.4288897423404999E-2</v>
      </c>
      <c r="H65" s="9">
        <v>4.5370536942896E-2</v>
      </c>
      <c r="I65" s="2">
        <f t="shared" si="7"/>
        <v>0.83333333333333326</v>
      </c>
      <c r="J65" s="2">
        <f t="shared" si="6"/>
        <v>0.96558119772402329</v>
      </c>
    </row>
    <row r="66" spans="1:10">
      <c r="A66" s="9">
        <v>4.5309621748615997E-2</v>
      </c>
      <c r="H66" s="9">
        <v>4.5390459767000998E-2</v>
      </c>
      <c r="I66" s="2">
        <f t="shared" si="7"/>
        <v>0.89999999999999991</v>
      </c>
      <c r="J66" s="2">
        <f t="shared" si="6"/>
        <v>1.2811261510381207</v>
      </c>
    </row>
    <row r="67" spans="1:10">
      <c r="A67" s="9">
        <v>4.4946647302027E-2</v>
      </c>
      <c r="H67" s="9">
        <v>4.6203517608636002E-2</v>
      </c>
      <c r="I67" s="2">
        <f t="shared" si="7"/>
        <v>0.96666666666666656</v>
      </c>
      <c r="J67" s="2">
        <f t="shared" si="6"/>
        <v>1.8368588976886859</v>
      </c>
    </row>
    <row r="68" spans="1:10" s="6" customFormat="1" ht="4.5" customHeight="1">
      <c r="C68" s="7"/>
    </row>
    <row r="69" spans="1:10">
      <c r="A69" s="1" t="s">
        <v>56</v>
      </c>
      <c r="C69" s="3" t="s">
        <v>1</v>
      </c>
      <c r="D69" s="1" t="s">
        <v>2</v>
      </c>
      <c r="E69" s="1" t="s">
        <v>3</v>
      </c>
      <c r="F69" s="1"/>
      <c r="H69" s="1" t="s">
        <v>4</v>
      </c>
      <c r="I69" s="1" t="s">
        <v>5</v>
      </c>
      <c r="J69" s="1" t="s">
        <v>6</v>
      </c>
    </row>
    <row r="70" spans="1:10">
      <c r="A70" s="4">
        <v>1.013633782794E-2</v>
      </c>
      <c r="C70" s="5">
        <f>AVERAGE(A70:A84)</f>
        <v>1.0134223256711334E-2</v>
      </c>
      <c r="D70" s="2">
        <f>_xlfn.VAR.S(A70:A84)</f>
        <v>2.5948245373431541E-9</v>
      </c>
      <c r="E70" s="2">
        <f>SQRT(D70)/C70</f>
        <v>5.0264750419109676E-3</v>
      </c>
      <c r="H70" s="4">
        <v>1.0036550900473E-2</v>
      </c>
      <c r="I70" s="2">
        <f>1/15 - 0.5/15</f>
        <v>3.3333333333333333E-2</v>
      </c>
      <c r="J70" s="2">
        <f t="shared" ref="J70:J84" si="8">4.91*(I70^0.14-(1-I70)^0.14)</f>
        <v>-1.836858897688687</v>
      </c>
    </row>
    <row r="71" spans="1:10">
      <c r="A71" s="4">
        <v>1.0097037113450001E-2</v>
      </c>
      <c r="H71" s="4">
        <v>1.0041910425666E-2</v>
      </c>
      <c r="I71" s="2">
        <f t="shared" ref="I71:I84" si="9">I70+1/15</f>
        <v>0.1</v>
      </c>
      <c r="J71" s="2">
        <f t="shared" si="8"/>
        <v>-1.2811261510381207</v>
      </c>
    </row>
    <row r="72" spans="1:10">
      <c r="A72" s="4">
        <v>1.02062826567E-2</v>
      </c>
      <c r="C72" s="3" t="s">
        <v>7</v>
      </c>
      <c r="E72" s="1" t="s">
        <v>8</v>
      </c>
      <c r="H72" s="4">
        <v>1.0097037113450001E-2</v>
      </c>
      <c r="I72" s="2">
        <f t="shared" si="9"/>
        <v>0.16666666666666669</v>
      </c>
      <c r="J72" s="2">
        <f t="shared" si="8"/>
        <v>-0.96558119772402384</v>
      </c>
    </row>
    <row r="73" spans="1:10">
      <c r="A73" s="4">
        <v>1.0115903048036E-2</v>
      </c>
      <c r="C73" s="5">
        <f>MEDIAN(A70:A84)</f>
        <v>1.013633782794E-2</v>
      </c>
      <c r="E73" s="2">
        <v>2.145</v>
      </c>
      <c r="H73" s="4">
        <v>1.0108249275733E-2</v>
      </c>
      <c r="I73" s="2">
        <f t="shared" si="9"/>
        <v>0.23333333333333334</v>
      </c>
      <c r="J73" s="2">
        <f t="shared" si="8"/>
        <v>-0.72575040815577163</v>
      </c>
    </row>
    <row r="74" spans="1:10">
      <c r="A74" s="4">
        <v>1.0112642980112E-2</v>
      </c>
      <c r="H74" s="4">
        <v>1.0112642980112E-2</v>
      </c>
      <c r="I74" s="2">
        <f t="shared" si="9"/>
        <v>0.3</v>
      </c>
      <c r="J74" s="2">
        <f t="shared" si="8"/>
        <v>-0.52246305252576009</v>
      </c>
    </row>
    <row r="75" spans="1:10">
      <c r="A75" s="4">
        <v>1.0108249275733E-2</v>
      </c>
      <c r="C75" s="3"/>
      <c r="D75" s="1" t="s">
        <v>9</v>
      </c>
      <c r="H75" s="4">
        <v>1.0115903048036E-2</v>
      </c>
      <c r="I75" s="2">
        <f t="shared" si="9"/>
        <v>0.36666666666666664</v>
      </c>
      <c r="J75" s="2">
        <f t="shared" si="8"/>
        <v>-0.33927638280750583</v>
      </c>
    </row>
    <row r="76" spans="1:10">
      <c r="A76" s="4">
        <v>1.0160896004115001E-2</v>
      </c>
      <c r="C76" s="3" t="s">
        <v>10</v>
      </c>
      <c r="D76" s="2">
        <f>C70+E73*SQRT(D70)/(SQRT(15))</f>
        <v>1.0162435372981865E-2</v>
      </c>
      <c r="H76" s="4">
        <v>1.0129146580659E-2</v>
      </c>
      <c r="I76" s="2">
        <f t="shared" si="9"/>
        <v>0.43333333333333329</v>
      </c>
      <c r="J76" s="2">
        <f t="shared" si="8"/>
        <v>-0.16715058832373922</v>
      </c>
    </row>
    <row r="77" spans="1:10">
      <c r="A77" s="4">
        <v>1.0175975315818001E-2</v>
      </c>
      <c r="C77" s="3" t="s">
        <v>11</v>
      </c>
      <c r="D77" s="2">
        <f>C70-E73*SQRT(D70)/(SQRT(15))</f>
        <v>1.0106011140440803E-2</v>
      </c>
      <c r="H77" s="4">
        <v>1.013633782794E-2</v>
      </c>
      <c r="I77" s="2">
        <f t="shared" si="9"/>
        <v>0.49999999999999994</v>
      </c>
      <c r="J77" s="2">
        <f t="shared" si="8"/>
        <v>0</v>
      </c>
    </row>
    <row r="78" spans="1:10">
      <c r="A78" s="4">
        <v>1.0152575398119999E-2</v>
      </c>
      <c r="H78" s="4">
        <v>1.0152575398119999E-2</v>
      </c>
      <c r="I78" s="2">
        <f t="shared" si="9"/>
        <v>0.56666666666666665</v>
      </c>
      <c r="J78" s="2">
        <f t="shared" si="8"/>
        <v>0.16715058832373922</v>
      </c>
    </row>
    <row r="79" spans="1:10">
      <c r="A79" s="4">
        <v>1.0041910425666E-2</v>
      </c>
      <c r="H79" s="4">
        <v>1.0154189642828E-2</v>
      </c>
      <c r="I79" s="2">
        <f t="shared" si="9"/>
        <v>0.6333333333333333</v>
      </c>
      <c r="J79" s="2">
        <f t="shared" si="8"/>
        <v>0.33927638280750583</v>
      </c>
    </row>
    <row r="80" spans="1:10">
      <c r="A80" s="4">
        <v>1.0129146580659E-2</v>
      </c>
      <c r="H80" s="4">
        <v>1.0160896004115001E-2</v>
      </c>
      <c r="I80" s="2">
        <f t="shared" si="9"/>
        <v>0.7</v>
      </c>
      <c r="J80" s="2">
        <f t="shared" si="8"/>
        <v>0.52246305252576009</v>
      </c>
    </row>
    <row r="81" spans="1:10">
      <c r="A81" s="4">
        <v>1.0154189642828E-2</v>
      </c>
      <c r="H81" s="4">
        <v>1.0175975315818001E-2</v>
      </c>
      <c r="I81" s="2">
        <f t="shared" si="9"/>
        <v>0.76666666666666661</v>
      </c>
      <c r="J81" s="2">
        <f t="shared" si="8"/>
        <v>0.72575040815577163</v>
      </c>
    </row>
    <row r="82" spans="1:10">
      <c r="A82" s="4">
        <v>1.0184896595424001E-2</v>
      </c>
      <c r="H82" s="4">
        <v>1.0184896595424001E-2</v>
      </c>
      <c r="I82" s="2">
        <f t="shared" si="9"/>
        <v>0.83333333333333326</v>
      </c>
      <c r="J82" s="2">
        <f t="shared" si="8"/>
        <v>0.96558119772402329</v>
      </c>
    </row>
    <row r="83" spans="1:10">
      <c r="A83" s="4">
        <v>1.0036550900473E-2</v>
      </c>
      <c r="H83" s="4">
        <v>1.0200755085596E-2</v>
      </c>
      <c r="I83" s="2">
        <f t="shared" si="9"/>
        <v>0.89999999999999991</v>
      </c>
      <c r="J83" s="2">
        <f t="shared" si="8"/>
        <v>1.2811261510381207</v>
      </c>
    </row>
    <row r="84" spans="1:10">
      <c r="A84" s="4">
        <v>1.0200755085596E-2</v>
      </c>
      <c r="H84" s="4">
        <v>1.02062826567E-2</v>
      </c>
      <c r="I84" s="2">
        <f t="shared" si="9"/>
        <v>0.96666666666666656</v>
      </c>
      <c r="J84" s="2">
        <f t="shared" si="8"/>
        <v>1.8368588976886859</v>
      </c>
    </row>
    <row r="85" spans="1:10" s="6" customFormat="1" ht="4.5" customHeight="1">
      <c r="C85" s="7"/>
    </row>
    <row r="86" spans="1:10">
      <c r="A86" s="1" t="s">
        <v>57</v>
      </c>
      <c r="C86" s="3" t="s">
        <v>1</v>
      </c>
      <c r="D86" s="1" t="s">
        <v>2</v>
      </c>
      <c r="E86" s="1" t="s">
        <v>3</v>
      </c>
      <c r="F86" s="1"/>
      <c r="H86" s="1" t="s">
        <v>4</v>
      </c>
      <c r="I86" s="1" t="s">
        <v>5</v>
      </c>
      <c r="J86" s="1" t="s">
        <v>6</v>
      </c>
    </row>
    <row r="87" spans="1:10">
      <c r="A87" s="9">
        <v>1.3028843318058999E-2</v>
      </c>
      <c r="C87" s="5">
        <f>AVERAGE(A87:A101)</f>
        <v>1.2944619970148797E-2</v>
      </c>
      <c r="D87" s="2">
        <f>_xlfn.VAR.S(A87:A101)</f>
        <v>6.698851739982928E-9</v>
      </c>
      <c r="E87" s="2">
        <f>SQRT(D87)/C87</f>
        <v>6.3228208701766484E-3</v>
      </c>
      <c r="H87" s="9">
        <v>1.2798716660784E-2</v>
      </c>
      <c r="I87" s="2">
        <f>1/15 - 0.5/15</f>
        <v>3.3333333333333333E-2</v>
      </c>
      <c r="J87" s="2">
        <f t="shared" ref="J87:J101" si="10">4.91*(I87^0.14-(1-I87)^0.14)</f>
        <v>-1.836858897688687</v>
      </c>
    </row>
    <row r="88" spans="1:10">
      <c r="A88" s="9">
        <v>1.2993974025361E-2</v>
      </c>
      <c r="H88" s="9">
        <v>1.2809723056701999E-2</v>
      </c>
      <c r="I88" s="2">
        <f t="shared" ref="I88:I101" si="11">I87+1/15</f>
        <v>0.1</v>
      </c>
      <c r="J88" s="2">
        <f t="shared" si="10"/>
        <v>-1.2811261510381207</v>
      </c>
    </row>
    <row r="89" spans="1:10">
      <c r="A89" s="9">
        <v>1.2798716660784E-2</v>
      </c>
      <c r="C89" s="3" t="s">
        <v>7</v>
      </c>
      <c r="E89" s="1" t="s">
        <v>8</v>
      </c>
      <c r="H89" s="9">
        <v>1.2856890859258001E-2</v>
      </c>
      <c r="I89" s="2">
        <f t="shared" si="11"/>
        <v>0.16666666666666669</v>
      </c>
      <c r="J89" s="2">
        <f t="shared" si="10"/>
        <v>-0.96558119772402384</v>
      </c>
    </row>
    <row r="90" spans="1:10">
      <c r="A90" s="9">
        <v>1.2944766023364E-2</v>
      </c>
      <c r="C90" s="5">
        <f>MEDIAN(A87:A101)</f>
        <v>1.296657526105E-2</v>
      </c>
      <c r="E90" s="2">
        <v>2.145</v>
      </c>
      <c r="H90" s="9">
        <v>1.2872124686393999E-2</v>
      </c>
      <c r="I90" s="2">
        <f t="shared" si="11"/>
        <v>0.23333333333333334</v>
      </c>
      <c r="J90" s="2">
        <f t="shared" si="10"/>
        <v>-0.72575040815577163</v>
      </c>
    </row>
    <row r="91" spans="1:10">
      <c r="A91" s="9">
        <v>1.2875151568956E-2</v>
      </c>
      <c r="H91" s="9">
        <v>1.2875151568956E-2</v>
      </c>
      <c r="I91" s="2">
        <f t="shared" si="11"/>
        <v>0.3</v>
      </c>
      <c r="J91" s="2">
        <f t="shared" si="10"/>
        <v>-0.52246305252576009</v>
      </c>
    </row>
    <row r="92" spans="1:10">
      <c r="A92" s="9">
        <v>1.2953908850284E-2</v>
      </c>
      <c r="C92" s="3"/>
      <c r="D92" s="1" t="s">
        <v>9</v>
      </c>
      <c r="H92" s="9">
        <v>1.2944766023364E-2</v>
      </c>
      <c r="I92" s="2">
        <f t="shared" si="11"/>
        <v>0.36666666666666664</v>
      </c>
      <c r="J92" s="2">
        <f t="shared" si="10"/>
        <v>-0.33927638280750583</v>
      </c>
    </row>
    <row r="93" spans="1:10">
      <c r="A93" s="9">
        <v>1.2809723056701999E-2</v>
      </c>
      <c r="C93" s="3" t="s">
        <v>10</v>
      </c>
      <c r="D93" s="2">
        <f>C87+E90*SQRT(D87)/(SQRT(15))</f>
        <v>1.2989949566313596E-2</v>
      </c>
      <c r="H93" s="9">
        <v>1.2953908850284E-2</v>
      </c>
      <c r="I93" s="2">
        <f t="shared" si="11"/>
        <v>0.43333333333333329</v>
      </c>
      <c r="J93" s="2">
        <f t="shared" si="10"/>
        <v>-0.16715058832373922</v>
      </c>
    </row>
    <row r="94" spans="1:10">
      <c r="A94" s="9">
        <v>1.2856890859258001E-2</v>
      </c>
      <c r="C94" s="3" t="s">
        <v>11</v>
      </c>
      <c r="D94" s="2">
        <f>C87-E90*SQRT(D87)/(SQRT(15))</f>
        <v>1.2899290373983999E-2</v>
      </c>
      <c r="H94" s="9">
        <v>1.296657526105E-2</v>
      </c>
      <c r="I94" s="2">
        <f t="shared" si="11"/>
        <v>0.49999999999999994</v>
      </c>
      <c r="J94" s="2">
        <f t="shared" si="10"/>
        <v>0</v>
      </c>
    </row>
    <row r="95" spans="1:10">
      <c r="A95" s="9">
        <v>1.30345438923E-2</v>
      </c>
      <c r="H95" s="9">
        <v>1.2974907361592999E-2</v>
      </c>
      <c r="I95" s="2">
        <f t="shared" si="11"/>
        <v>0.56666666666666665</v>
      </c>
      <c r="J95" s="2">
        <f t="shared" si="10"/>
        <v>0.16715058832373922</v>
      </c>
    </row>
    <row r="96" spans="1:10">
      <c r="A96" s="9">
        <v>1.296657526105E-2</v>
      </c>
      <c r="H96" s="9">
        <v>1.2993974025361E-2</v>
      </c>
      <c r="I96" s="2">
        <f t="shared" si="11"/>
        <v>0.6333333333333333</v>
      </c>
      <c r="J96" s="2">
        <f t="shared" si="10"/>
        <v>0.33927638280750583</v>
      </c>
    </row>
    <row r="97" spans="1:10">
      <c r="A97" s="9">
        <v>1.2872124686393999E-2</v>
      </c>
      <c r="H97" s="9">
        <v>1.3006066782692E-2</v>
      </c>
      <c r="I97" s="2">
        <f t="shared" si="11"/>
        <v>0.7</v>
      </c>
      <c r="J97" s="2">
        <f t="shared" si="10"/>
        <v>0.52246305252576009</v>
      </c>
    </row>
    <row r="98" spans="1:10">
      <c r="A98" s="9">
        <v>1.3016117460049E-2</v>
      </c>
      <c r="H98" s="9">
        <v>1.3016117460049E-2</v>
      </c>
      <c r="I98" s="2">
        <f t="shared" si="11"/>
        <v>0.76666666666666661</v>
      </c>
      <c r="J98" s="2">
        <f t="shared" si="10"/>
        <v>0.72575040815577163</v>
      </c>
    </row>
    <row r="99" spans="1:10">
      <c r="A99" s="9">
        <v>1.3006066782692E-2</v>
      </c>
      <c r="H99" s="9">
        <v>1.3028843318058999E-2</v>
      </c>
      <c r="I99" s="2">
        <f t="shared" si="11"/>
        <v>0.83333333333333326</v>
      </c>
      <c r="J99" s="2">
        <f t="shared" si="10"/>
        <v>0.96558119772402329</v>
      </c>
    </row>
    <row r="100" spans="1:10">
      <c r="A100" s="9">
        <v>1.2974907361592999E-2</v>
      </c>
      <c r="H100" s="9">
        <v>1.30345438923E-2</v>
      </c>
      <c r="I100" s="2">
        <f t="shared" si="11"/>
        <v>0.89999999999999991</v>
      </c>
      <c r="J100" s="2">
        <f t="shared" si="10"/>
        <v>1.2811261510381207</v>
      </c>
    </row>
    <row r="101" spans="1:10">
      <c r="A101" s="9">
        <v>1.3036989745386E-2</v>
      </c>
      <c r="H101" s="9">
        <v>1.3036989745386E-2</v>
      </c>
      <c r="I101" s="2">
        <f t="shared" si="11"/>
        <v>0.96666666666666656</v>
      </c>
      <c r="J101" s="2">
        <f t="shared" si="10"/>
        <v>1.8368588976886859</v>
      </c>
    </row>
    <row r="102" spans="1:10" s="6" customFormat="1" ht="4.5" customHeight="1">
      <c r="C102" s="7"/>
    </row>
    <row r="103" spans="1:10">
      <c r="A103" s="1" t="s">
        <v>58</v>
      </c>
      <c r="C103" s="3" t="s">
        <v>1</v>
      </c>
      <c r="D103" s="1" t="s">
        <v>2</v>
      </c>
      <c r="E103" s="1" t="s">
        <v>3</v>
      </c>
      <c r="F103" s="1"/>
      <c r="H103" s="1" t="s">
        <v>4</v>
      </c>
      <c r="I103" s="1" t="s">
        <v>5</v>
      </c>
      <c r="J103" s="1" t="s">
        <v>6</v>
      </c>
    </row>
    <row r="104" spans="1:10">
      <c r="A104" s="4">
        <v>2.3095286210126E-2</v>
      </c>
      <c r="C104" s="5">
        <f>AVERAGE(A104:A118)</f>
        <v>2.2985916909995928E-2</v>
      </c>
      <c r="D104" s="2">
        <f>_xlfn.VAR.S(A104:A118)</f>
        <v>4.7534687164602303E-8</v>
      </c>
      <c r="E104" s="2">
        <f>SQRT(D104)/C104</f>
        <v>9.485134368196927E-3</v>
      </c>
      <c r="H104" s="4">
        <v>2.2455399387598E-2</v>
      </c>
      <c r="I104" s="2">
        <f>1/15 - 0.5/15</f>
        <v>3.3333333333333333E-2</v>
      </c>
      <c r="J104" s="2">
        <f t="shared" ref="J104:J118" si="12">4.91*(I104^0.14-(1-I104)^0.14)</f>
        <v>-1.836858897688687</v>
      </c>
    </row>
    <row r="105" spans="1:10">
      <c r="A105" s="4">
        <v>2.2994989297445999E-2</v>
      </c>
      <c r="H105" s="4">
        <v>2.2743827132258001E-2</v>
      </c>
      <c r="I105" s="2">
        <f t="shared" ref="I105:I118" si="13">I104+1/15</f>
        <v>0.1</v>
      </c>
      <c r="J105" s="2">
        <f t="shared" si="12"/>
        <v>-1.2811261510381207</v>
      </c>
    </row>
    <row r="106" spans="1:10">
      <c r="A106" s="4">
        <v>2.3153681593866E-2</v>
      </c>
      <c r="C106" s="3" t="s">
        <v>7</v>
      </c>
      <c r="E106" s="1" t="s">
        <v>8</v>
      </c>
      <c r="H106" s="4">
        <v>2.2786284375437001E-2</v>
      </c>
      <c r="I106" s="2">
        <f t="shared" si="13"/>
        <v>0.16666666666666669</v>
      </c>
      <c r="J106" s="2">
        <f t="shared" si="12"/>
        <v>-0.96558119772402384</v>
      </c>
    </row>
    <row r="107" spans="1:10">
      <c r="A107" s="4">
        <v>2.2786284375437001E-2</v>
      </c>
      <c r="C107" s="5">
        <f>MEDIAN(A104:A118)</f>
        <v>2.3064298324148001E-2</v>
      </c>
      <c r="E107" s="2">
        <v>2.145</v>
      </c>
      <c r="H107" s="4">
        <v>2.2837993445198001E-2</v>
      </c>
      <c r="I107" s="2">
        <f t="shared" si="13"/>
        <v>0.23333333333333334</v>
      </c>
      <c r="J107" s="2">
        <f t="shared" si="12"/>
        <v>-0.72575040815577163</v>
      </c>
    </row>
    <row r="108" spans="1:10">
      <c r="A108" s="4">
        <v>2.3184207899172998E-2</v>
      </c>
      <c r="H108" s="4">
        <v>2.2896309815653E-2</v>
      </c>
      <c r="I108" s="2">
        <f t="shared" si="13"/>
        <v>0.3</v>
      </c>
      <c r="J108" s="2">
        <f t="shared" si="12"/>
        <v>-0.52246305252576009</v>
      </c>
    </row>
    <row r="109" spans="1:10">
      <c r="A109" s="4">
        <v>2.2455399387598E-2</v>
      </c>
      <c r="C109" s="3"/>
      <c r="D109" s="1" t="s">
        <v>9</v>
      </c>
      <c r="H109" s="4">
        <v>2.291448986528E-2</v>
      </c>
      <c r="I109" s="2">
        <f t="shared" si="13"/>
        <v>0.36666666666666664</v>
      </c>
      <c r="J109" s="2">
        <f t="shared" si="12"/>
        <v>-0.33927638280750583</v>
      </c>
    </row>
    <row r="110" spans="1:10">
      <c r="A110" s="4">
        <v>2.3064298324148001E-2</v>
      </c>
      <c r="C110" s="3" t="s">
        <v>10</v>
      </c>
      <c r="D110" s="2">
        <f>C104+E107*SQRT(D104)/(SQRT(15))</f>
        <v>2.310666686762505E-2</v>
      </c>
      <c r="H110" s="4">
        <v>2.2994989297445999E-2</v>
      </c>
      <c r="I110" s="2">
        <f t="shared" si="13"/>
        <v>0.43333333333333329</v>
      </c>
      <c r="J110" s="2">
        <f t="shared" si="12"/>
        <v>-0.16715058832373922</v>
      </c>
    </row>
    <row r="111" spans="1:10">
      <c r="A111" s="4">
        <v>2.2743827132258001E-2</v>
      </c>
      <c r="C111" s="3" t="s">
        <v>11</v>
      </c>
      <c r="D111" s="2">
        <f>C104-E107*SQRT(D104)/(SQRT(15))</f>
        <v>2.2865166952366806E-2</v>
      </c>
      <c r="H111" s="4">
        <v>2.3064298324148001E-2</v>
      </c>
      <c r="I111" s="2">
        <f t="shared" si="13"/>
        <v>0.49999999999999994</v>
      </c>
      <c r="J111" s="2">
        <f t="shared" si="12"/>
        <v>0</v>
      </c>
    </row>
    <row r="112" spans="1:10">
      <c r="A112" s="4">
        <v>2.3182652889157999E-2</v>
      </c>
      <c r="H112" s="4">
        <v>2.3069844106619001E-2</v>
      </c>
      <c r="I112" s="2">
        <f t="shared" si="13"/>
        <v>0.56666666666666665</v>
      </c>
      <c r="J112" s="2">
        <f t="shared" si="12"/>
        <v>0.16715058832373922</v>
      </c>
    </row>
    <row r="113" spans="1:10">
      <c r="A113" s="4">
        <v>2.3312891954736001E-2</v>
      </c>
      <c r="H113" s="4">
        <v>2.3095286210126E-2</v>
      </c>
      <c r="I113" s="2">
        <f t="shared" si="13"/>
        <v>0.6333333333333333</v>
      </c>
      <c r="J113" s="2">
        <f t="shared" si="12"/>
        <v>0.33927638280750583</v>
      </c>
    </row>
    <row r="114" spans="1:10">
      <c r="A114" s="4">
        <v>2.3069844106619001E-2</v>
      </c>
      <c r="H114" s="4">
        <v>2.3096597353243001E-2</v>
      </c>
      <c r="I114" s="2">
        <f t="shared" si="13"/>
        <v>0.7</v>
      </c>
      <c r="J114" s="2">
        <f t="shared" si="12"/>
        <v>0.52246305252576009</v>
      </c>
    </row>
    <row r="115" spans="1:10">
      <c r="A115" s="4">
        <v>2.3096597353243001E-2</v>
      </c>
      <c r="H115" s="4">
        <v>2.3153681593866E-2</v>
      </c>
      <c r="I115" s="2">
        <f t="shared" si="13"/>
        <v>0.76666666666666661</v>
      </c>
      <c r="J115" s="2">
        <f t="shared" si="12"/>
        <v>0.72575040815577163</v>
      </c>
    </row>
    <row r="116" spans="1:10">
      <c r="A116" s="4">
        <v>2.291448986528E-2</v>
      </c>
      <c r="H116" s="4">
        <v>2.3182652889157999E-2</v>
      </c>
      <c r="I116" s="2">
        <f t="shared" si="13"/>
        <v>0.83333333333333326</v>
      </c>
      <c r="J116" s="2">
        <f t="shared" si="12"/>
        <v>0.96558119772402329</v>
      </c>
    </row>
    <row r="117" spans="1:10">
      <c r="A117" s="4">
        <v>2.2896309815653E-2</v>
      </c>
      <c r="H117" s="4">
        <v>2.3184207899172998E-2</v>
      </c>
      <c r="I117" s="2">
        <f t="shared" si="13"/>
        <v>0.89999999999999991</v>
      </c>
      <c r="J117" s="2">
        <f t="shared" si="12"/>
        <v>1.2811261510381207</v>
      </c>
    </row>
    <row r="118" spans="1:10">
      <c r="A118" s="4">
        <v>2.2837993445198001E-2</v>
      </c>
      <c r="H118" s="4">
        <v>2.3312891954736001E-2</v>
      </c>
      <c r="I118" s="2">
        <f t="shared" si="13"/>
        <v>0.96666666666666656</v>
      </c>
      <c r="J118" s="2">
        <f t="shared" si="12"/>
        <v>1.8368588976886859</v>
      </c>
    </row>
    <row r="119" spans="1:10" s="6" customFormat="1" ht="3.75" customHeight="1">
      <c r="C119" s="7"/>
    </row>
    <row r="120" spans="1:10">
      <c r="A120" s="1" t="s">
        <v>59</v>
      </c>
      <c r="C120" s="3" t="s">
        <v>1</v>
      </c>
      <c r="D120" s="1" t="s">
        <v>2</v>
      </c>
      <c r="E120" s="1" t="s">
        <v>3</v>
      </c>
      <c r="F120" s="1"/>
      <c r="H120" s="1" t="s">
        <v>4</v>
      </c>
      <c r="I120" s="1" t="s">
        <v>5</v>
      </c>
      <c r="J120" s="1" t="s">
        <v>6</v>
      </c>
    </row>
    <row r="121" spans="1:10">
      <c r="A121" s="12">
        <v>3.2178270467082E-2</v>
      </c>
      <c r="C121" s="5">
        <f>AVERAGE(A121:A135)</f>
        <v>3.3116487871588933E-2</v>
      </c>
      <c r="D121" s="2">
        <f>_xlfn.VAR.S(A121:A135)</f>
        <v>2.3360431763479899E-7</v>
      </c>
      <c r="E121" s="2">
        <f>SQRT(D121)/C121</f>
        <v>1.4594733216343766E-2</v>
      </c>
      <c r="H121" s="12">
        <v>3.2178270467082E-2</v>
      </c>
      <c r="I121" s="2">
        <f>1/15 - 0.5/15</f>
        <v>3.3333333333333333E-2</v>
      </c>
      <c r="J121" s="2">
        <f t="shared" ref="J121:J135" si="14">4.91*(I121^0.14-(1-I121)^0.14)</f>
        <v>-1.836858897688687</v>
      </c>
    </row>
    <row r="122" spans="1:10">
      <c r="A122" s="12">
        <v>3.2927681533466001E-2</v>
      </c>
      <c r="H122" s="12">
        <v>3.2193589333254002E-2</v>
      </c>
      <c r="I122" s="2">
        <f t="shared" ref="I122:I135" si="15">I121+1/15</f>
        <v>0.1</v>
      </c>
      <c r="J122" s="2">
        <f t="shared" si="14"/>
        <v>-1.2811261510381207</v>
      </c>
    </row>
    <row r="123" spans="1:10">
      <c r="A123" s="12">
        <v>3.2562031044053003E-2</v>
      </c>
      <c r="C123" s="3" t="s">
        <v>7</v>
      </c>
      <c r="E123" s="1" t="s">
        <v>8</v>
      </c>
      <c r="H123" s="12">
        <v>3.2562031044053003E-2</v>
      </c>
      <c r="I123" s="2">
        <f t="shared" si="15"/>
        <v>0.16666666666666669</v>
      </c>
      <c r="J123" s="2">
        <f t="shared" si="14"/>
        <v>-0.96558119772402384</v>
      </c>
    </row>
    <row r="124" spans="1:10">
      <c r="A124" s="12">
        <v>3.2193589333254002E-2</v>
      </c>
      <c r="C124" s="5">
        <f>MEDIAN(A121:A135)</f>
        <v>3.3268501697702998E-2</v>
      </c>
      <c r="E124" s="2">
        <v>2.145</v>
      </c>
      <c r="H124" s="12">
        <v>3.2927681533466001E-2</v>
      </c>
      <c r="I124" s="2">
        <f t="shared" si="15"/>
        <v>0.23333333333333334</v>
      </c>
      <c r="J124" s="2">
        <f t="shared" si="14"/>
        <v>-0.72575040815577163</v>
      </c>
    </row>
    <row r="125" spans="1:10">
      <c r="A125" s="12">
        <v>3.3151903172626E-2</v>
      </c>
      <c r="H125" s="12">
        <v>3.3005080616099997E-2</v>
      </c>
      <c r="I125" s="2">
        <f t="shared" si="15"/>
        <v>0.3</v>
      </c>
      <c r="J125" s="2">
        <f t="shared" si="14"/>
        <v>-0.52246305252576009</v>
      </c>
    </row>
    <row r="126" spans="1:10">
      <c r="A126" s="12">
        <v>3.3424527898470002E-2</v>
      </c>
      <c r="C126" s="3"/>
      <c r="D126" s="1" t="s">
        <v>9</v>
      </c>
      <c r="H126" s="12">
        <v>3.3023755411469999E-2</v>
      </c>
      <c r="I126" s="2">
        <f t="shared" si="15"/>
        <v>0.36666666666666664</v>
      </c>
      <c r="J126" s="2">
        <f t="shared" si="14"/>
        <v>-0.33927638280750583</v>
      </c>
    </row>
    <row r="127" spans="1:10">
      <c r="A127" s="12">
        <v>3.3310977964591003E-2</v>
      </c>
      <c r="C127" s="3" t="s">
        <v>10</v>
      </c>
      <c r="D127" s="2">
        <f>C121+E124*SQRT(D121)/(SQRT(15))</f>
        <v>3.3384171678289505E-2</v>
      </c>
      <c r="H127" s="12">
        <v>3.3151903172626E-2</v>
      </c>
      <c r="I127" s="2">
        <f t="shared" si="15"/>
        <v>0.43333333333333329</v>
      </c>
      <c r="J127" s="2">
        <f t="shared" si="14"/>
        <v>-0.16715058832373922</v>
      </c>
    </row>
    <row r="128" spans="1:10">
      <c r="A128" s="12">
        <v>3.3550405839570002E-2</v>
      </c>
      <c r="C128" s="3" t="s">
        <v>11</v>
      </c>
      <c r="D128" s="2">
        <f>C121-E124*SQRT(D121)/(SQRT(15))</f>
        <v>3.2848804064888361E-2</v>
      </c>
      <c r="H128" s="12">
        <v>3.3268501697702998E-2</v>
      </c>
      <c r="I128" s="2">
        <f t="shared" si="15"/>
        <v>0.49999999999999994</v>
      </c>
      <c r="J128" s="2">
        <f t="shared" si="14"/>
        <v>0</v>
      </c>
    </row>
    <row r="129" spans="1:10">
      <c r="A129" s="12">
        <v>3.354299425934E-2</v>
      </c>
      <c r="H129" s="12">
        <v>3.3283161304441998E-2</v>
      </c>
      <c r="I129" s="2">
        <f t="shared" si="15"/>
        <v>0.56666666666666665</v>
      </c>
      <c r="J129" s="2">
        <f t="shared" si="14"/>
        <v>0.16715058832373922</v>
      </c>
    </row>
    <row r="130" spans="1:10">
      <c r="A130" s="12">
        <v>3.3553381065733003E-2</v>
      </c>
      <c r="H130" s="12">
        <v>3.3310977964591003E-2</v>
      </c>
      <c r="I130" s="2">
        <f t="shared" si="15"/>
        <v>0.6333333333333333</v>
      </c>
      <c r="J130" s="2">
        <f t="shared" si="14"/>
        <v>0.33927638280750583</v>
      </c>
    </row>
    <row r="131" spans="1:10">
      <c r="A131" s="12">
        <v>3.3005080616099997E-2</v>
      </c>
      <c r="H131" s="12">
        <v>3.3424527898470002E-2</v>
      </c>
      <c r="I131" s="2">
        <f t="shared" si="15"/>
        <v>0.7</v>
      </c>
      <c r="J131" s="2">
        <f t="shared" si="14"/>
        <v>0.52246305252576009</v>
      </c>
    </row>
    <row r="132" spans="1:10">
      <c r="A132" s="12">
        <v>3.3268501697702998E-2</v>
      </c>
      <c r="H132" s="12">
        <v>3.354299425934E-2</v>
      </c>
      <c r="I132" s="2">
        <f t="shared" si="15"/>
        <v>0.76666666666666661</v>
      </c>
      <c r="J132" s="2">
        <f t="shared" si="14"/>
        <v>0.72575040815577163</v>
      </c>
    </row>
    <row r="133" spans="1:10">
      <c r="A133" s="12">
        <v>3.3283161304441998E-2</v>
      </c>
      <c r="H133" s="12">
        <v>3.3550405839570002E-2</v>
      </c>
      <c r="I133" s="2">
        <f t="shared" si="15"/>
        <v>0.83333333333333326</v>
      </c>
      <c r="J133" s="2">
        <f t="shared" si="14"/>
        <v>0.96558119772402329</v>
      </c>
    </row>
    <row r="134" spans="1:10">
      <c r="A134" s="12">
        <v>3.3771056465934E-2</v>
      </c>
      <c r="H134" s="12">
        <v>3.3553381065733003E-2</v>
      </c>
      <c r="I134" s="2">
        <f t="shared" si="15"/>
        <v>0.89999999999999991</v>
      </c>
      <c r="J134" s="2">
        <f t="shared" si="14"/>
        <v>1.2811261510381207</v>
      </c>
    </row>
    <row r="135" spans="1:10">
      <c r="A135" s="12">
        <v>3.3023755411469999E-2</v>
      </c>
      <c r="H135" s="12">
        <v>3.3771056465934E-2</v>
      </c>
      <c r="I135" s="2">
        <f t="shared" si="15"/>
        <v>0.96666666666666656</v>
      </c>
      <c r="J135" s="2">
        <f t="shared" si="14"/>
        <v>1.8368588976886859</v>
      </c>
    </row>
    <row r="136" spans="1:10" s="6" customFormat="1" ht="4.5" customHeight="1">
      <c r="C136" s="7"/>
    </row>
    <row r="137" spans="1:10">
      <c r="A137" s="1" t="s">
        <v>60</v>
      </c>
      <c r="C137" s="3" t="s">
        <v>1</v>
      </c>
      <c r="D137" s="1" t="s">
        <v>2</v>
      </c>
      <c r="E137" s="1" t="s">
        <v>3</v>
      </c>
      <c r="F137" s="1"/>
      <c r="H137" s="1" t="s">
        <v>4</v>
      </c>
      <c r="I137" s="1" t="s">
        <v>5</v>
      </c>
      <c r="J137" s="1" t="s">
        <v>6</v>
      </c>
    </row>
    <row r="138" spans="1:10">
      <c r="A138" s="12">
        <v>9.6099163070151004E-3</v>
      </c>
      <c r="C138" s="5">
        <f>AVERAGE(A138:A152)</f>
        <v>9.6201849178920787E-3</v>
      </c>
      <c r="D138" s="2">
        <f>_xlfn.VAR.S(A138:A152)</f>
        <v>1.3479049077167388E-9</v>
      </c>
      <c r="E138" s="2">
        <f>SQRT(D138)/C138</f>
        <v>3.8163325123371583E-3</v>
      </c>
      <c r="H138" s="12">
        <v>9.5741960380291008E-3</v>
      </c>
      <c r="I138" s="2">
        <f>1/15 - 0.5/15</f>
        <v>3.3333333333333333E-2</v>
      </c>
      <c r="J138" s="2">
        <f t="shared" ref="J138:J152" si="16">4.91*(I138^0.14-(1-I138)^0.14)</f>
        <v>-1.836858897688687</v>
      </c>
    </row>
    <row r="139" spans="1:10">
      <c r="A139" s="12">
        <v>9.5741960380291008E-3</v>
      </c>
      <c r="H139" s="12">
        <v>9.5742258357248006E-3</v>
      </c>
      <c r="I139" s="2">
        <f t="shared" ref="I139:I152" si="17">I138+1/15</f>
        <v>0.1</v>
      </c>
      <c r="J139" s="2">
        <f t="shared" si="16"/>
        <v>-1.2811261510381207</v>
      </c>
    </row>
    <row r="140" spans="1:10">
      <c r="A140" s="12">
        <v>9.6280823418527992E-3</v>
      </c>
      <c r="C140" s="3" t="s">
        <v>7</v>
      </c>
      <c r="E140" s="1" t="s">
        <v>8</v>
      </c>
      <c r="H140" s="12">
        <v>9.5764117903311997E-3</v>
      </c>
      <c r="I140" s="2">
        <f t="shared" si="17"/>
        <v>0.16666666666666669</v>
      </c>
      <c r="J140" s="2">
        <f t="shared" si="16"/>
        <v>-0.96558119772402384</v>
      </c>
    </row>
    <row r="141" spans="1:10">
      <c r="A141" s="12">
        <v>9.5764117903311997E-3</v>
      </c>
      <c r="C141" s="5">
        <f>MEDIAN(A138:A152)</f>
        <v>9.6277139070723005E-3</v>
      </c>
      <c r="E141" s="2">
        <v>2.145</v>
      </c>
      <c r="H141" s="12">
        <v>9.5780248151308006E-3</v>
      </c>
      <c r="I141" s="2">
        <f t="shared" si="17"/>
        <v>0.23333333333333334</v>
      </c>
      <c r="J141" s="2">
        <f t="shared" si="16"/>
        <v>-0.72575040815577163</v>
      </c>
    </row>
    <row r="142" spans="1:10">
      <c r="A142" s="12">
        <v>9.5742258357248006E-3</v>
      </c>
      <c r="H142" s="12">
        <v>9.5870109492111992E-3</v>
      </c>
      <c r="I142" s="2">
        <f t="shared" si="17"/>
        <v>0.3</v>
      </c>
      <c r="J142" s="2">
        <f t="shared" si="16"/>
        <v>-0.52246305252576009</v>
      </c>
    </row>
    <row r="143" spans="1:10">
      <c r="A143" s="12">
        <v>9.5870109492111992E-3</v>
      </c>
      <c r="C143" s="3"/>
      <c r="D143" s="1" t="s">
        <v>9</v>
      </c>
      <c r="H143" s="12">
        <v>9.6010304548448996E-3</v>
      </c>
      <c r="I143" s="2">
        <f t="shared" si="17"/>
        <v>0.36666666666666664</v>
      </c>
      <c r="J143" s="2">
        <f t="shared" si="16"/>
        <v>-0.33927638280750583</v>
      </c>
    </row>
    <row r="144" spans="1:10">
      <c r="A144" s="12">
        <v>9.6485665457891005E-3</v>
      </c>
      <c r="C144" s="3" t="s">
        <v>10</v>
      </c>
      <c r="D144" s="2">
        <f>C138+E141*SQRT(D138)/(SQRT(15))</f>
        <v>9.6405183782928196E-3</v>
      </c>
      <c r="H144" s="12">
        <v>9.6099163070151004E-3</v>
      </c>
      <c r="I144" s="2">
        <f t="shared" si="17"/>
        <v>0.43333333333333329</v>
      </c>
      <c r="J144" s="2">
        <f t="shared" si="16"/>
        <v>-0.16715058832373922</v>
      </c>
    </row>
    <row r="145" spans="1:10">
      <c r="A145" s="12">
        <v>9.6806675514740006E-3</v>
      </c>
      <c r="C145" s="3" t="s">
        <v>11</v>
      </c>
      <c r="D145" s="2">
        <f>C138-E141*SQRT(D138)/(SQRT(15))</f>
        <v>9.5998514574913377E-3</v>
      </c>
      <c r="H145" s="12">
        <v>9.6277139070723005E-3</v>
      </c>
      <c r="I145" s="2">
        <f t="shared" si="17"/>
        <v>0.49999999999999994</v>
      </c>
      <c r="J145" s="2">
        <f t="shared" si="16"/>
        <v>0</v>
      </c>
    </row>
    <row r="146" spans="1:10">
      <c r="A146" s="12">
        <v>9.6532286939487993E-3</v>
      </c>
      <c r="H146" s="12">
        <v>9.6280823418527992E-3</v>
      </c>
      <c r="I146" s="2">
        <f t="shared" si="17"/>
        <v>0.56666666666666665</v>
      </c>
      <c r="J146" s="2">
        <f t="shared" si="16"/>
        <v>0.16715058832373922</v>
      </c>
    </row>
    <row r="147" spans="1:10">
      <c r="A147" s="12">
        <v>9.6277139070723005E-3</v>
      </c>
      <c r="H147" s="12">
        <v>9.6449404974516002E-3</v>
      </c>
      <c r="I147" s="2">
        <f t="shared" si="17"/>
        <v>0.6333333333333333</v>
      </c>
      <c r="J147" s="2">
        <f t="shared" si="16"/>
        <v>0.33927638280750583</v>
      </c>
    </row>
    <row r="148" spans="1:10">
      <c r="A148" s="12">
        <v>9.5780248151308006E-3</v>
      </c>
      <c r="H148" s="12">
        <v>9.6485665457891005E-3</v>
      </c>
      <c r="I148" s="2">
        <f t="shared" si="17"/>
        <v>0.7</v>
      </c>
      <c r="J148" s="2">
        <f t="shared" si="16"/>
        <v>0.52246305252576009</v>
      </c>
    </row>
    <row r="149" spans="1:10">
      <c r="A149" s="12">
        <v>9.6564432499534995E-3</v>
      </c>
      <c r="H149" s="12">
        <v>9.6532286939487993E-3</v>
      </c>
      <c r="I149" s="2">
        <f t="shared" si="17"/>
        <v>0.76666666666666661</v>
      </c>
      <c r="J149" s="2">
        <f t="shared" si="16"/>
        <v>0.72575040815577163</v>
      </c>
    </row>
    <row r="150" spans="1:10">
      <c r="A150" s="12">
        <v>9.6010304548448996E-3</v>
      </c>
      <c r="H150" s="12">
        <v>9.6564432499534995E-3</v>
      </c>
      <c r="I150" s="2">
        <f t="shared" si="17"/>
        <v>0.83333333333333326</v>
      </c>
      <c r="J150" s="2">
        <f t="shared" si="16"/>
        <v>0.96558119772402329</v>
      </c>
    </row>
    <row r="151" spans="1:10">
      <c r="A151" s="12">
        <v>9.6449404974516002E-3</v>
      </c>
      <c r="H151" s="12">
        <v>9.6623147905520006E-3</v>
      </c>
      <c r="I151" s="2">
        <f t="shared" si="17"/>
        <v>0.89999999999999991</v>
      </c>
      <c r="J151" s="2">
        <f t="shared" si="16"/>
        <v>1.2811261510381207</v>
      </c>
    </row>
    <row r="152" spans="1:10">
      <c r="A152" s="12">
        <v>9.6623147905520006E-3</v>
      </c>
      <c r="H152" s="12">
        <v>9.6806675514740006E-3</v>
      </c>
      <c r="I152" s="2">
        <f t="shared" si="17"/>
        <v>0.96666666666666656</v>
      </c>
      <c r="J152" s="2">
        <f t="shared" si="16"/>
        <v>1.8368588976886859</v>
      </c>
    </row>
    <row r="153" spans="1:10" s="6" customFormat="1" ht="5.45" customHeight="1">
      <c r="C153" s="7"/>
    </row>
    <row r="154" spans="1:10" ht="13.9" customHeight="1">
      <c r="A154" s="1" t="s">
        <v>61</v>
      </c>
      <c r="C154" s="3" t="s">
        <v>1</v>
      </c>
      <c r="D154" s="1" t="s">
        <v>2</v>
      </c>
      <c r="E154" s="1" t="s">
        <v>3</v>
      </c>
      <c r="F154" s="1"/>
      <c r="H154" s="1" t="s">
        <v>4</v>
      </c>
      <c r="I154" s="1" t="s">
        <v>5</v>
      </c>
      <c r="J154" s="1" t="s">
        <v>6</v>
      </c>
    </row>
    <row r="155" spans="1:10" ht="15.6" customHeight="1">
      <c r="A155" s="4">
        <v>1.1895921276689999E-2</v>
      </c>
      <c r="C155" s="5">
        <f>AVERAGE(A155:A169)</f>
        <v>1.1880433298308667E-2</v>
      </c>
      <c r="D155" s="2">
        <f>_xlfn.VAR.S(A155:A169)</f>
        <v>5.3957573790066164E-9</v>
      </c>
      <c r="E155" s="2">
        <f>SQRT(D155)/C155</f>
        <v>6.1829242576700583E-3</v>
      </c>
      <c r="H155" s="4">
        <v>1.1703367151213E-2</v>
      </c>
      <c r="I155" s="2">
        <f>1/15 - 0.5/15</f>
        <v>3.3333333333333333E-2</v>
      </c>
      <c r="J155" s="2">
        <f t="shared" ref="J155:J169" si="18">4.91*(I155^0.14-(1-I155)^0.14)</f>
        <v>-1.836858897688687</v>
      </c>
    </row>
    <row r="156" spans="1:10" ht="16.899999999999999" customHeight="1">
      <c r="A156" s="4">
        <v>1.1971861822060999E-2</v>
      </c>
      <c r="H156" s="4">
        <v>1.1823681496378999E-2</v>
      </c>
      <c r="I156" s="2">
        <f t="shared" ref="I156:I169" si="19">I155+1/15</f>
        <v>0.1</v>
      </c>
      <c r="J156" s="2">
        <f t="shared" si="18"/>
        <v>-1.2811261510381207</v>
      </c>
    </row>
    <row r="157" spans="1:10" ht="15.6" customHeight="1">
      <c r="A157" s="4">
        <v>1.1883830310361001E-2</v>
      </c>
      <c r="C157" s="3" t="s">
        <v>7</v>
      </c>
      <c r="E157" s="1" t="s">
        <v>8</v>
      </c>
      <c r="H157" s="4">
        <v>1.18311570529E-2</v>
      </c>
      <c r="I157" s="2">
        <f t="shared" si="19"/>
        <v>0.16666666666666669</v>
      </c>
      <c r="J157" s="2">
        <f t="shared" si="18"/>
        <v>-0.96558119772402384</v>
      </c>
    </row>
    <row r="158" spans="1:10" ht="15" customHeight="1">
      <c r="A158" s="4">
        <v>1.1981158496944999E-2</v>
      </c>
      <c r="C158" s="5">
        <f>MEDIAN(A155:A169)</f>
        <v>1.1883830310361001E-2</v>
      </c>
      <c r="E158" s="2">
        <v>2.145</v>
      </c>
      <c r="H158" s="4">
        <v>1.1837188491759E-2</v>
      </c>
      <c r="I158" s="2">
        <f t="shared" si="19"/>
        <v>0.23333333333333334</v>
      </c>
      <c r="J158" s="2">
        <f t="shared" si="18"/>
        <v>-0.72575040815577163</v>
      </c>
    </row>
    <row r="159" spans="1:10" ht="15" customHeight="1">
      <c r="A159" s="4">
        <v>1.1703367151213E-2</v>
      </c>
      <c r="H159" s="4">
        <v>1.1838057137189001E-2</v>
      </c>
      <c r="I159" s="2">
        <f t="shared" si="19"/>
        <v>0.3</v>
      </c>
      <c r="J159" s="2">
        <f t="shared" si="18"/>
        <v>-0.52246305252576009</v>
      </c>
    </row>
    <row r="160" spans="1:10" ht="15.6" customHeight="1">
      <c r="A160" s="4">
        <v>1.1870037994233E-2</v>
      </c>
      <c r="C160" s="3"/>
      <c r="D160" s="1" t="s">
        <v>9</v>
      </c>
      <c r="H160" s="4">
        <v>1.1857338998161999E-2</v>
      </c>
      <c r="I160" s="2">
        <f t="shared" si="19"/>
        <v>0.36666666666666664</v>
      </c>
      <c r="J160" s="2">
        <f t="shared" si="18"/>
        <v>-0.33927638280750583</v>
      </c>
    </row>
    <row r="161" spans="1:10" ht="16.899999999999999" customHeight="1">
      <c r="A161" s="4">
        <v>1.1823681496378999E-2</v>
      </c>
      <c r="C161" s="3" t="s">
        <v>10</v>
      </c>
      <c r="D161" s="2">
        <f>C155+E158*SQRT(D155)/(SQRT(15))</f>
        <v>1.1921115820841686E-2</v>
      </c>
      <c r="H161" s="4">
        <v>1.1870037994233E-2</v>
      </c>
      <c r="I161" s="2">
        <f t="shared" si="19"/>
        <v>0.43333333333333329</v>
      </c>
      <c r="J161" s="2">
        <f t="shared" si="18"/>
        <v>-0.16715058832373922</v>
      </c>
    </row>
    <row r="162" spans="1:10" ht="16.149999999999999" customHeight="1">
      <c r="A162" s="4">
        <v>1.1913700459655001E-2</v>
      </c>
      <c r="C162" s="3" t="s">
        <v>11</v>
      </c>
      <c r="D162" s="2">
        <f>C155-E158*SQRT(D155)/(SQRT(15))</f>
        <v>1.1839750775775648E-2</v>
      </c>
      <c r="H162" s="4">
        <v>1.1883830310361001E-2</v>
      </c>
      <c r="I162" s="2">
        <f t="shared" si="19"/>
        <v>0.49999999999999994</v>
      </c>
      <c r="J162" s="2">
        <f t="shared" si="18"/>
        <v>0</v>
      </c>
    </row>
    <row r="163" spans="1:10" ht="14.25" customHeight="1">
      <c r="A163" s="4">
        <v>1.1838057137189001E-2</v>
      </c>
      <c r="H163" s="4">
        <v>1.1885065234434E-2</v>
      </c>
      <c r="I163" s="2">
        <f t="shared" si="19"/>
        <v>0.56666666666666665</v>
      </c>
      <c r="J163" s="2">
        <f t="shared" si="18"/>
        <v>0.16715058832373922</v>
      </c>
    </row>
    <row r="164" spans="1:10" ht="16.5" customHeight="1">
      <c r="A164" s="4">
        <v>1.18311570529E-2</v>
      </c>
      <c r="H164" s="4">
        <v>1.1895921276689999E-2</v>
      </c>
      <c r="I164" s="2">
        <f t="shared" si="19"/>
        <v>0.6333333333333333</v>
      </c>
      <c r="J164" s="2">
        <f t="shared" si="18"/>
        <v>0.33927638280750583</v>
      </c>
    </row>
    <row r="165" spans="1:10" ht="12.6" customHeight="1">
      <c r="A165" s="4">
        <v>1.1885065234434E-2</v>
      </c>
      <c r="H165" s="4">
        <v>1.1913700459655001E-2</v>
      </c>
      <c r="I165" s="2">
        <f t="shared" si="19"/>
        <v>0.7</v>
      </c>
      <c r="J165" s="2">
        <f t="shared" si="18"/>
        <v>0.52246305252576009</v>
      </c>
    </row>
    <row r="166" spans="1:10" ht="13.9" customHeight="1">
      <c r="A166" s="4">
        <v>1.1837188491759E-2</v>
      </c>
      <c r="H166" s="4">
        <v>1.1920995253060999E-2</v>
      </c>
      <c r="I166" s="2">
        <f t="shared" si="19"/>
        <v>0.76666666666666661</v>
      </c>
      <c r="J166" s="2">
        <f t="shared" si="18"/>
        <v>0.72575040815577163</v>
      </c>
    </row>
    <row r="167" spans="1:10" ht="18" customHeight="1">
      <c r="A167" s="4">
        <v>1.1857338998161999E-2</v>
      </c>
      <c r="H167" s="4">
        <v>1.1971861822060999E-2</v>
      </c>
      <c r="I167" s="2">
        <f t="shared" si="19"/>
        <v>0.83333333333333326</v>
      </c>
      <c r="J167" s="2">
        <f t="shared" si="18"/>
        <v>0.96558119772402329</v>
      </c>
    </row>
    <row r="168" spans="1:10" ht="17.45" customHeight="1">
      <c r="A168" s="4">
        <v>1.1993138299588001E-2</v>
      </c>
      <c r="H168" s="4">
        <v>1.1981158496944999E-2</v>
      </c>
      <c r="I168" s="2">
        <f t="shared" si="19"/>
        <v>0.89999999999999991</v>
      </c>
      <c r="J168" s="2">
        <f t="shared" si="18"/>
        <v>1.2811261510381207</v>
      </c>
    </row>
    <row r="169" spans="1:10" ht="15.6" customHeight="1">
      <c r="A169" s="4">
        <v>1.1920995253060999E-2</v>
      </c>
      <c r="H169" s="4">
        <v>1.1993138299588001E-2</v>
      </c>
      <c r="I169" s="2">
        <f t="shared" si="19"/>
        <v>0.96666666666666656</v>
      </c>
      <c r="J169" s="2">
        <f t="shared" si="18"/>
        <v>1.8368588976886859</v>
      </c>
    </row>
    <row r="170" spans="1:10" s="6" customFormat="1" ht="3.6" customHeight="1">
      <c r="C170" s="7"/>
    </row>
    <row r="171" spans="1:10" ht="15.6" customHeight="1">
      <c r="A171" s="1" t="s">
        <v>62</v>
      </c>
      <c r="C171" s="3" t="s">
        <v>1</v>
      </c>
      <c r="D171" s="1" t="s">
        <v>2</v>
      </c>
      <c r="E171" s="1" t="s">
        <v>3</v>
      </c>
      <c r="F171" s="1"/>
      <c r="H171" s="1" t="s">
        <v>4</v>
      </c>
      <c r="I171" s="1" t="s">
        <v>5</v>
      </c>
      <c r="J171" s="1" t="s">
        <v>6</v>
      </c>
    </row>
    <row r="172" spans="1:10" ht="15.6" customHeight="1">
      <c r="A172" s="4">
        <v>1.8689771248448998E-2</v>
      </c>
      <c r="C172" s="5">
        <f>AVERAGE(A172:A186)</f>
        <v>1.8759460581442334E-2</v>
      </c>
      <c r="D172" s="2">
        <f>_xlfn.VAR.S(A172:A186)</f>
        <v>2.0815710427788977E-8</v>
      </c>
      <c r="E172" s="2">
        <f>SQRT(D172)/C172</f>
        <v>7.6908664948014942E-3</v>
      </c>
      <c r="H172" s="4">
        <v>1.8429488494284999E-2</v>
      </c>
      <c r="I172" s="2">
        <f>1/15 - 0.5/15</f>
        <v>3.3333333333333333E-2</v>
      </c>
      <c r="J172" s="2">
        <f t="shared" ref="J172:J186" si="20">4.91*(I172^0.14-(1-I172)^0.14)</f>
        <v>-1.836858897688687</v>
      </c>
    </row>
    <row r="173" spans="1:10" ht="15.6" customHeight="1">
      <c r="A173" s="4">
        <v>1.8836023775832E-2</v>
      </c>
      <c r="H173" s="4">
        <v>1.8596409892490999E-2</v>
      </c>
      <c r="I173" s="2">
        <f t="shared" ref="I173:I186" si="21">I172+1/15</f>
        <v>0.1</v>
      </c>
      <c r="J173" s="2">
        <f t="shared" si="20"/>
        <v>-1.2811261510381207</v>
      </c>
    </row>
    <row r="174" spans="1:10" ht="15.6" customHeight="1">
      <c r="A174" s="4">
        <v>1.8785634959146001E-2</v>
      </c>
      <c r="C174" s="3" t="s">
        <v>7</v>
      </c>
      <c r="E174" s="1" t="s">
        <v>8</v>
      </c>
      <c r="H174" s="4">
        <v>1.8611540031079999E-2</v>
      </c>
      <c r="I174" s="2">
        <f t="shared" si="21"/>
        <v>0.16666666666666669</v>
      </c>
      <c r="J174" s="2">
        <f t="shared" si="20"/>
        <v>-0.96558119772402384</v>
      </c>
    </row>
    <row r="175" spans="1:10" ht="15.6" customHeight="1">
      <c r="A175" s="4">
        <v>1.8805577115112999E-2</v>
      </c>
      <c r="C175" s="5">
        <f>MEDIAN(A172:A186)</f>
        <v>1.8785634959146001E-2</v>
      </c>
      <c r="E175" s="2">
        <v>2.145</v>
      </c>
      <c r="H175" s="4">
        <v>1.8671649489110001E-2</v>
      </c>
      <c r="I175" s="2">
        <f t="shared" si="21"/>
        <v>0.23333333333333334</v>
      </c>
      <c r="J175" s="2">
        <f t="shared" si="20"/>
        <v>-0.72575040815577163</v>
      </c>
    </row>
    <row r="176" spans="1:10" ht="15.6" customHeight="1">
      <c r="A176" s="4">
        <v>1.8596409892490999E-2</v>
      </c>
      <c r="H176" s="4">
        <v>1.8689771248448998E-2</v>
      </c>
      <c r="I176" s="2">
        <f t="shared" si="21"/>
        <v>0.3</v>
      </c>
      <c r="J176" s="2">
        <f t="shared" si="20"/>
        <v>-0.52246305252576009</v>
      </c>
    </row>
    <row r="177" spans="1:10" ht="15.6" customHeight="1">
      <c r="A177" s="4">
        <v>1.8611540031079999E-2</v>
      </c>
      <c r="C177" s="3"/>
      <c r="D177" s="1" t="s">
        <v>9</v>
      </c>
      <c r="H177" s="4">
        <v>1.8726620473220001E-2</v>
      </c>
      <c r="I177" s="2">
        <f t="shared" si="21"/>
        <v>0.36666666666666664</v>
      </c>
      <c r="J177" s="2">
        <f t="shared" si="20"/>
        <v>-0.33927638280750583</v>
      </c>
    </row>
    <row r="178" spans="1:10" ht="15.6" customHeight="1">
      <c r="A178" s="4">
        <v>1.8918715334756999E-2</v>
      </c>
      <c r="C178" s="3" t="s">
        <v>10</v>
      </c>
      <c r="D178" s="2">
        <f>C172+E175*SQRT(D172)/(SQRT(15))</f>
        <v>1.883936619412422E-2</v>
      </c>
      <c r="H178" s="4">
        <v>1.8756170369408999E-2</v>
      </c>
      <c r="I178" s="2">
        <f t="shared" si="21"/>
        <v>0.43333333333333329</v>
      </c>
      <c r="J178" s="2">
        <f t="shared" si="20"/>
        <v>-0.16715058832373922</v>
      </c>
    </row>
    <row r="179" spans="1:10" ht="15.6" customHeight="1">
      <c r="A179" s="4">
        <v>1.8893455099572E-2</v>
      </c>
      <c r="C179" s="3" t="s">
        <v>11</v>
      </c>
      <c r="D179" s="2">
        <f>C172-E175*SQRT(D172)/(SQRT(15))</f>
        <v>1.8679554968760448E-2</v>
      </c>
      <c r="H179" s="4">
        <v>1.8785634959146001E-2</v>
      </c>
      <c r="I179" s="2">
        <f t="shared" si="21"/>
        <v>0.49999999999999994</v>
      </c>
      <c r="J179" s="2">
        <f t="shared" si="20"/>
        <v>0</v>
      </c>
    </row>
    <row r="180" spans="1:10" ht="15.6" customHeight="1">
      <c r="A180" s="4">
        <v>1.8756170369408999E-2</v>
      </c>
      <c r="H180" s="4">
        <v>1.8805577115112999E-2</v>
      </c>
      <c r="I180" s="2">
        <f t="shared" si="21"/>
        <v>0.56666666666666665</v>
      </c>
      <c r="J180" s="2">
        <f t="shared" si="20"/>
        <v>0.16715058832373922</v>
      </c>
    </row>
    <row r="181" spans="1:10" ht="15.6" customHeight="1">
      <c r="A181" s="4">
        <v>1.8671649489110001E-2</v>
      </c>
      <c r="H181" s="4">
        <v>1.8819333839400001E-2</v>
      </c>
      <c r="I181" s="2">
        <f t="shared" si="21"/>
        <v>0.6333333333333333</v>
      </c>
      <c r="J181" s="2">
        <f t="shared" si="20"/>
        <v>0.33927638280750583</v>
      </c>
    </row>
    <row r="182" spans="1:10" ht="15.6" customHeight="1">
      <c r="A182" s="4">
        <v>1.8994788151436001E-2</v>
      </c>
      <c r="H182" s="4">
        <v>1.8836023775832E-2</v>
      </c>
      <c r="I182" s="2">
        <f t="shared" si="21"/>
        <v>0.7</v>
      </c>
      <c r="J182" s="2">
        <f t="shared" si="20"/>
        <v>0.52246305252576009</v>
      </c>
    </row>
    <row r="183" spans="1:10" ht="15.6" customHeight="1">
      <c r="A183" s="4">
        <v>1.8726620473220001E-2</v>
      </c>
      <c r="H183" s="4">
        <v>1.8856730448335E-2</v>
      </c>
      <c r="I183" s="2">
        <f t="shared" si="21"/>
        <v>0.76666666666666661</v>
      </c>
      <c r="J183" s="2">
        <f t="shared" si="20"/>
        <v>0.72575040815577163</v>
      </c>
    </row>
    <row r="184" spans="1:10" ht="15.6" customHeight="1">
      <c r="A184" s="4">
        <v>1.8856730448335E-2</v>
      </c>
      <c r="H184" s="4">
        <v>1.8893455099572E-2</v>
      </c>
      <c r="I184" s="2">
        <f t="shared" si="21"/>
        <v>0.83333333333333326</v>
      </c>
      <c r="J184" s="2">
        <f t="shared" si="20"/>
        <v>0.96558119772402329</v>
      </c>
    </row>
    <row r="185" spans="1:10" ht="15.6" customHeight="1">
      <c r="A185" s="4">
        <v>1.8429488494284999E-2</v>
      </c>
      <c r="H185" s="4">
        <v>1.8918715334756999E-2</v>
      </c>
      <c r="I185" s="2">
        <f t="shared" si="21"/>
        <v>0.89999999999999991</v>
      </c>
      <c r="J185" s="2">
        <f t="shared" si="20"/>
        <v>1.2811261510381207</v>
      </c>
    </row>
    <row r="186" spans="1:10" ht="15.6" customHeight="1">
      <c r="A186" s="4">
        <v>1.8819333839400001E-2</v>
      </c>
      <c r="H186" s="4">
        <v>1.8994788151436001E-2</v>
      </c>
      <c r="I186" s="2">
        <f t="shared" si="21"/>
        <v>0.96666666666666656</v>
      </c>
      <c r="J186" s="2">
        <f t="shared" si="20"/>
        <v>1.8368588976886859</v>
      </c>
    </row>
    <row r="187" spans="1:10" s="6" customFormat="1" ht="4.1500000000000004" customHeight="1">
      <c r="C187" s="7"/>
    </row>
    <row r="188" spans="1:10" ht="16.5" customHeight="1">
      <c r="A188" s="1" t="s">
        <v>63</v>
      </c>
      <c r="C188" s="3" t="s">
        <v>1</v>
      </c>
      <c r="D188" s="1" t="s">
        <v>2</v>
      </c>
      <c r="E188" s="1" t="s">
        <v>3</v>
      </c>
      <c r="F188" s="1"/>
      <c r="H188" s="1" t="s">
        <v>4</v>
      </c>
      <c r="I188" s="1" t="s">
        <v>5</v>
      </c>
      <c r="J188" s="1" t="s">
        <v>6</v>
      </c>
    </row>
    <row r="189" spans="1:10" ht="11.45" customHeight="1">
      <c r="A189" s="4">
        <v>2.4550023929438999E-2</v>
      </c>
      <c r="C189" s="5">
        <f>AVERAGE(A189:A203)</f>
        <v>2.4370919700123134E-2</v>
      </c>
      <c r="D189" s="2">
        <f>_xlfn.VAR.S(A189:A203)</f>
        <v>4.4730307023044788E-8</v>
      </c>
      <c r="E189" s="2">
        <f>SQRT(D189)/C189</f>
        <v>8.6781873325411062E-3</v>
      </c>
      <c r="H189" s="4">
        <v>2.3812293933102999E-2</v>
      </c>
      <c r="I189" s="2">
        <f>1/15 - 0.5/15</f>
        <v>3.3333333333333333E-2</v>
      </c>
      <c r="J189" s="2">
        <f t="shared" ref="J189:J203" si="22">4.91*(I189^0.14-(1-I189)^0.14)</f>
        <v>-1.836858897688687</v>
      </c>
    </row>
    <row r="190" spans="1:10" ht="11.45" customHeight="1">
      <c r="A190" s="4">
        <v>2.433684079818E-2</v>
      </c>
      <c r="H190" s="4">
        <v>2.4154198467263001E-2</v>
      </c>
      <c r="I190" s="2">
        <f t="shared" ref="I190:I203" si="23">I189+1/15</f>
        <v>0.1</v>
      </c>
      <c r="J190" s="2">
        <f t="shared" si="22"/>
        <v>-1.2811261510381207</v>
      </c>
    </row>
    <row r="191" spans="1:10" ht="11.45" customHeight="1">
      <c r="A191" s="4">
        <v>2.4154198467263001E-2</v>
      </c>
      <c r="C191" s="3" t="s">
        <v>7</v>
      </c>
      <c r="E191" s="1" t="s">
        <v>8</v>
      </c>
      <c r="H191" s="4">
        <v>2.4181956070078999E-2</v>
      </c>
      <c r="I191" s="2">
        <f t="shared" si="23"/>
        <v>0.16666666666666669</v>
      </c>
      <c r="J191" s="2">
        <f t="shared" si="22"/>
        <v>-0.96558119772402384</v>
      </c>
    </row>
    <row r="192" spans="1:10" ht="11.45" customHeight="1">
      <c r="A192" s="4">
        <v>2.4548977636244002E-2</v>
      </c>
      <c r="C192" s="5">
        <f>MEDIAN(A189:A203)</f>
        <v>2.4388138375573E-2</v>
      </c>
      <c r="E192" s="2">
        <v>2.145</v>
      </c>
      <c r="H192" s="4">
        <v>2.4262628625395001E-2</v>
      </c>
      <c r="I192" s="2">
        <f t="shared" si="23"/>
        <v>0.23333333333333334</v>
      </c>
      <c r="J192" s="2">
        <f t="shared" si="22"/>
        <v>-0.72575040815577163</v>
      </c>
    </row>
    <row r="193" spans="1:10" ht="11.45" customHeight="1">
      <c r="A193" s="4">
        <v>2.4489699734304E-2</v>
      </c>
      <c r="H193" s="4">
        <v>2.4303839690462001E-2</v>
      </c>
      <c r="I193" s="2">
        <f t="shared" si="23"/>
        <v>0.3</v>
      </c>
      <c r="J193" s="2">
        <f t="shared" si="22"/>
        <v>-0.52246305252576009</v>
      </c>
    </row>
    <row r="194" spans="1:10" ht="11.45" customHeight="1">
      <c r="A194" s="4">
        <v>2.4388138375573E-2</v>
      </c>
      <c r="C194" s="3"/>
      <c r="D194" s="1" t="s">
        <v>9</v>
      </c>
      <c r="H194" s="4">
        <v>2.433684079818E-2</v>
      </c>
      <c r="I194" s="2">
        <f t="shared" si="23"/>
        <v>0.36666666666666664</v>
      </c>
      <c r="J194" s="2">
        <f t="shared" si="22"/>
        <v>-0.33927638280750583</v>
      </c>
    </row>
    <row r="195" spans="1:10" ht="11.45" customHeight="1">
      <c r="A195" s="4">
        <v>2.4365814672435999E-2</v>
      </c>
      <c r="C195" s="3" t="s">
        <v>10</v>
      </c>
      <c r="D195" s="2">
        <f>C189+E192*SQRT(D189)/(SQRT(15))</f>
        <v>2.4488053600957665E-2</v>
      </c>
      <c r="H195" s="4">
        <v>2.4365814672435999E-2</v>
      </c>
      <c r="I195" s="2">
        <f t="shared" si="23"/>
        <v>0.43333333333333329</v>
      </c>
      <c r="J195" s="2">
        <f t="shared" si="22"/>
        <v>-0.16715058832373922</v>
      </c>
    </row>
    <row r="196" spans="1:10" ht="11.45" customHeight="1">
      <c r="A196" s="4">
        <v>2.4181956070078999E-2</v>
      </c>
      <c r="C196" s="3" t="s">
        <v>11</v>
      </c>
      <c r="D196" s="2">
        <f>C189-E192*SQRT(D189)/(SQRT(15))</f>
        <v>2.4253785799288604E-2</v>
      </c>
      <c r="H196" s="4">
        <v>2.4388138375573E-2</v>
      </c>
      <c r="I196" s="2">
        <f t="shared" si="23"/>
        <v>0.49999999999999994</v>
      </c>
      <c r="J196" s="2">
        <f t="shared" si="22"/>
        <v>0</v>
      </c>
    </row>
    <row r="197" spans="1:10" ht="11.45" customHeight="1">
      <c r="A197" s="4">
        <v>2.4448122855392999E-2</v>
      </c>
      <c r="H197" s="4">
        <v>2.4448122855392999E-2</v>
      </c>
      <c r="I197" s="2">
        <f t="shared" si="23"/>
        <v>0.56666666666666665</v>
      </c>
      <c r="J197" s="2">
        <f t="shared" si="22"/>
        <v>0.16715058832373922</v>
      </c>
    </row>
    <row r="198" spans="1:10" ht="11.45" customHeight="1">
      <c r="A198" s="4">
        <v>2.4568744184077E-2</v>
      </c>
      <c r="H198" s="4">
        <v>2.4489699734304E-2</v>
      </c>
      <c r="I198" s="2">
        <f t="shared" si="23"/>
        <v>0.6333333333333333</v>
      </c>
      <c r="J198" s="2">
        <f t="shared" si="22"/>
        <v>0.33927638280750583</v>
      </c>
    </row>
    <row r="199" spans="1:10" ht="11.45" customHeight="1">
      <c r="A199" s="4">
        <v>2.4262628625395001E-2</v>
      </c>
      <c r="H199" s="4">
        <v>2.4519419685882001E-2</v>
      </c>
      <c r="I199" s="2">
        <f t="shared" si="23"/>
        <v>0.7</v>
      </c>
      <c r="J199" s="2">
        <f t="shared" si="22"/>
        <v>0.52246305252576009</v>
      </c>
    </row>
    <row r="200" spans="1:10" ht="11.45" customHeight="1">
      <c r="A200" s="4">
        <v>2.4519419685882001E-2</v>
      </c>
      <c r="H200" s="4">
        <v>2.4548977636244002E-2</v>
      </c>
      <c r="I200" s="2">
        <f t="shared" si="23"/>
        <v>0.76666666666666661</v>
      </c>
      <c r="J200" s="2">
        <f t="shared" si="22"/>
        <v>0.72575040815577163</v>
      </c>
    </row>
    <row r="201" spans="1:10" ht="11.45" customHeight="1">
      <c r="A201" s="4">
        <v>2.3812293933102999E-2</v>
      </c>
      <c r="H201" s="4">
        <v>2.4550023929438999E-2</v>
      </c>
      <c r="I201" s="2">
        <f t="shared" si="23"/>
        <v>0.83333333333333326</v>
      </c>
      <c r="J201" s="2">
        <f t="shared" si="22"/>
        <v>0.96558119772402329</v>
      </c>
    </row>
    <row r="202" spans="1:10" ht="11.45" customHeight="1">
      <c r="A202" s="4">
        <v>2.4633096844016999E-2</v>
      </c>
      <c r="H202" s="4">
        <v>2.4568744184077E-2</v>
      </c>
      <c r="I202" s="2">
        <f t="shared" si="23"/>
        <v>0.89999999999999991</v>
      </c>
      <c r="J202" s="2">
        <f t="shared" si="22"/>
        <v>1.2811261510381207</v>
      </c>
    </row>
    <row r="203" spans="1:10" ht="11.45" customHeight="1">
      <c r="A203" s="4">
        <v>2.4303839690462001E-2</v>
      </c>
      <c r="H203" s="4">
        <v>2.4633096844016999E-2</v>
      </c>
      <c r="I203" s="2">
        <f t="shared" si="23"/>
        <v>0.96666666666666656</v>
      </c>
      <c r="J203" s="2">
        <f t="shared" si="22"/>
        <v>1.8368588976886859</v>
      </c>
    </row>
    <row r="204" spans="1:10" s="6" customFormat="1" ht="5.45" customHeight="1">
      <c r="C204" s="7"/>
    </row>
    <row r="205" spans="1:10" ht="11.45" customHeight="1">
      <c r="A205" s="1" t="s">
        <v>64</v>
      </c>
      <c r="C205" s="3" t="s">
        <v>1</v>
      </c>
      <c r="D205" s="1" t="s">
        <v>2</v>
      </c>
      <c r="E205" s="1" t="s">
        <v>3</v>
      </c>
      <c r="F205" s="1"/>
      <c r="H205" s="1" t="s">
        <v>4</v>
      </c>
      <c r="I205" s="1" t="s">
        <v>5</v>
      </c>
      <c r="J205" s="1" t="s">
        <v>6</v>
      </c>
    </row>
    <row r="206" spans="1:10">
      <c r="A206" s="4">
        <v>9.4695875850699992E-3</v>
      </c>
      <c r="C206" s="5">
        <f>AVERAGE(A206:A220)</f>
        <v>9.4396823246931938E-3</v>
      </c>
      <c r="D206" s="2">
        <f>_xlfn.VAR.S(A206:A220)</f>
        <v>9.7487167087264097E-10</v>
      </c>
      <c r="E206" s="2">
        <f>SQRT(D206)/C206</f>
        <v>3.3076256106702577E-3</v>
      </c>
      <c r="H206" s="4">
        <v>9.3747631078326E-3</v>
      </c>
      <c r="I206" s="2">
        <f>1/15 - 0.5/15</f>
        <v>3.3333333333333333E-2</v>
      </c>
      <c r="J206" s="2">
        <f t="shared" ref="J206:J220" si="24">4.91*(I206^0.14-(1-I206)^0.14)</f>
        <v>-1.836858897688687</v>
      </c>
    </row>
    <row r="207" spans="1:10">
      <c r="A207" s="4">
        <v>9.4763233923081999E-3</v>
      </c>
      <c r="H207" s="4">
        <v>9.4049020009935001E-3</v>
      </c>
      <c r="I207" s="2">
        <f t="shared" ref="I207:I220" si="25">I206+1/15</f>
        <v>0.1</v>
      </c>
      <c r="J207" s="2">
        <f t="shared" si="24"/>
        <v>-1.2811261510381207</v>
      </c>
    </row>
    <row r="208" spans="1:10" ht="11.45" customHeight="1">
      <c r="A208" s="4">
        <v>9.4275056054289996E-3</v>
      </c>
      <c r="C208" s="3" t="s">
        <v>7</v>
      </c>
      <c r="E208" s="1" t="s">
        <v>8</v>
      </c>
      <c r="H208" s="4">
        <v>9.4176745874657002E-3</v>
      </c>
      <c r="I208" s="2">
        <f t="shared" si="25"/>
        <v>0.16666666666666669</v>
      </c>
      <c r="J208" s="2">
        <f t="shared" si="24"/>
        <v>-0.96558119772402384</v>
      </c>
    </row>
    <row r="209" spans="1:10">
      <c r="A209" s="4">
        <v>9.4279609102967E-3</v>
      </c>
      <c r="C209" s="5">
        <f>MEDIAN(A206:A220)</f>
        <v>9.4350676372154003E-3</v>
      </c>
      <c r="E209" s="2">
        <v>2.145</v>
      </c>
      <c r="H209" s="4">
        <v>9.4207177828848007E-3</v>
      </c>
      <c r="I209" s="2">
        <f t="shared" si="25"/>
        <v>0.23333333333333334</v>
      </c>
      <c r="J209" s="2">
        <f t="shared" si="24"/>
        <v>-0.72575040815577163</v>
      </c>
    </row>
    <row r="210" spans="1:10">
      <c r="A210" s="4">
        <v>9.4176745874657002E-3</v>
      </c>
      <c r="H210" s="4">
        <v>9.4227445303871008E-3</v>
      </c>
      <c r="I210" s="2">
        <f t="shared" si="25"/>
        <v>0.3</v>
      </c>
      <c r="J210" s="2">
        <f t="shared" si="24"/>
        <v>-0.52246305252576009</v>
      </c>
    </row>
    <row r="211" spans="1:10" ht="11.45" customHeight="1">
      <c r="A211" s="4">
        <v>9.4449291520116996E-3</v>
      </c>
      <c r="C211" s="3"/>
      <c r="D211" s="1" t="s">
        <v>9</v>
      </c>
      <c r="H211" s="4">
        <v>9.4275056054289996E-3</v>
      </c>
      <c r="I211" s="2">
        <f t="shared" si="25"/>
        <v>0.36666666666666664</v>
      </c>
      <c r="J211" s="2">
        <f t="shared" si="24"/>
        <v>-0.33927638280750583</v>
      </c>
    </row>
    <row r="212" spans="1:10" ht="11.45" customHeight="1">
      <c r="A212" s="4">
        <v>9.4049020009935001E-3</v>
      </c>
      <c r="C212" s="3" t="s">
        <v>10</v>
      </c>
      <c r="D212" s="2">
        <f>C206+E209*SQRT(D206)/(SQRT(15))</f>
        <v>9.4569747294410908E-3</v>
      </c>
      <c r="H212" s="4">
        <v>9.4279609102967E-3</v>
      </c>
      <c r="I212" s="2">
        <f t="shared" si="25"/>
        <v>0.43333333333333329</v>
      </c>
      <c r="J212" s="2">
        <f t="shared" si="24"/>
        <v>-0.16715058832373922</v>
      </c>
    </row>
    <row r="213" spans="1:10" ht="11.45" customHeight="1">
      <c r="A213" s="4">
        <v>9.3747631078326E-3</v>
      </c>
      <c r="C213" s="3" t="s">
        <v>11</v>
      </c>
      <c r="D213" s="2">
        <f>C206-E209*SQRT(D206)/(SQRT(15))</f>
        <v>9.4223899199452968E-3</v>
      </c>
      <c r="H213" s="4">
        <v>9.4350676372154003E-3</v>
      </c>
      <c r="I213" s="2">
        <f t="shared" si="25"/>
        <v>0.49999999999999994</v>
      </c>
      <c r="J213" s="2">
        <f t="shared" si="24"/>
        <v>0</v>
      </c>
    </row>
    <row r="214" spans="1:10">
      <c r="A214" s="4">
        <v>9.4643827926781995E-3</v>
      </c>
      <c r="H214" s="4">
        <v>9.4449291520116996E-3</v>
      </c>
      <c r="I214" s="2">
        <f t="shared" si="25"/>
        <v>0.56666666666666665</v>
      </c>
      <c r="J214" s="2">
        <f t="shared" si="24"/>
        <v>0.16715058832373922</v>
      </c>
    </row>
    <row r="215" spans="1:10">
      <c r="A215" s="4">
        <v>9.4583419099974007E-3</v>
      </c>
      <c r="H215" s="4">
        <v>9.4523069868464003E-3</v>
      </c>
      <c r="I215" s="2">
        <f t="shared" si="25"/>
        <v>0.6333333333333333</v>
      </c>
      <c r="J215" s="2">
        <f t="shared" si="24"/>
        <v>0.33927638280750583</v>
      </c>
    </row>
    <row r="216" spans="1:10">
      <c r="A216" s="4">
        <v>9.4350676372154003E-3</v>
      </c>
      <c r="H216" s="4">
        <v>9.4583419099974007E-3</v>
      </c>
      <c r="I216" s="2">
        <f t="shared" si="25"/>
        <v>0.7</v>
      </c>
      <c r="J216" s="2">
        <f t="shared" si="24"/>
        <v>0.52246305252576009</v>
      </c>
    </row>
    <row r="217" spans="1:10">
      <c r="A217" s="4">
        <v>9.4980268889812008E-3</v>
      </c>
      <c r="H217" s="4">
        <v>9.4643827926781995E-3</v>
      </c>
      <c r="I217" s="2">
        <f t="shared" si="25"/>
        <v>0.76666666666666661</v>
      </c>
      <c r="J217" s="2">
        <f t="shared" si="24"/>
        <v>0.72575040815577163</v>
      </c>
    </row>
    <row r="218" spans="1:10">
      <c r="A218" s="4">
        <v>9.4207177828848007E-3</v>
      </c>
      <c r="H218" s="4">
        <v>9.4695875850699992E-3</v>
      </c>
      <c r="I218" s="2">
        <f t="shared" si="25"/>
        <v>0.83333333333333326</v>
      </c>
      <c r="J218" s="2">
        <f t="shared" si="24"/>
        <v>0.96558119772402329</v>
      </c>
    </row>
    <row r="219" spans="1:10">
      <c r="A219" s="4">
        <v>9.4523069868464003E-3</v>
      </c>
      <c r="H219" s="4">
        <v>9.4763233923081999E-3</v>
      </c>
      <c r="I219" s="2">
        <f t="shared" si="25"/>
        <v>0.89999999999999991</v>
      </c>
      <c r="J219" s="2">
        <f t="shared" si="24"/>
        <v>1.2811261510381207</v>
      </c>
    </row>
    <row r="220" spans="1:10">
      <c r="A220" s="4">
        <v>9.4227445303871008E-3</v>
      </c>
      <c r="H220" s="4">
        <v>9.4980268889812008E-3</v>
      </c>
      <c r="I220" s="2">
        <f t="shared" si="25"/>
        <v>0.96666666666666656</v>
      </c>
      <c r="J220" s="2">
        <f t="shared" si="24"/>
        <v>1.8368588976886859</v>
      </c>
    </row>
    <row r="221" spans="1:10" s="6" customFormat="1">
      <c r="C221" s="7"/>
    </row>
    <row r="222" spans="1:10">
      <c r="A222" s="1" t="s">
        <v>65</v>
      </c>
      <c r="C222" s="3" t="s">
        <v>1</v>
      </c>
      <c r="D222" s="1" t="s">
        <v>2</v>
      </c>
      <c r="E222" s="1" t="s">
        <v>3</v>
      </c>
      <c r="F222" s="1"/>
      <c r="H222" s="1" t="s">
        <v>4</v>
      </c>
      <c r="I222" s="1" t="s">
        <v>5</v>
      </c>
      <c r="J222" s="1" t="s">
        <v>6</v>
      </c>
    </row>
    <row r="223" spans="1:10">
      <c r="A223" s="4">
        <v>1.1602067323752E-2</v>
      </c>
      <c r="C223" s="5">
        <f>AVERAGE(A223:A237)</f>
        <v>1.1547376815054865E-2</v>
      </c>
      <c r="D223" s="2">
        <f>_xlfn.VAR.S(A223:A237)</f>
        <v>4.5511670937717725E-9</v>
      </c>
      <c r="E223" s="2">
        <f>SQRT(D223)/C223</f>
        <v>5.8422219536584663E-3</v>
      </c>
      <c r="H223" s="4">
        <v>1.1339141095093999E-2</v>
      </c>
      <c r="I223" s="2">
        <f>1/15 - 0.5/15</f>
        <v>3.3333333333333333E-2</v>
      </c>
      <c r="J223" s="2">
        <f t="shared" ref="J223:J237" si="26">4.91*(I223^0.14-(1-I223)^0.14)</f>
        <v>-1.836858897688687</v>
      </c>
    </row>
    <row r="224" spans="1:10">
      <c r="A224" s="4">
        <v>1.1339141095093999E-2</v>
      </c>
      <c r="H224" s="4">
        <v>1.1509137028782999E-2</v>
      </c>
      <c r="I224" s="2">
        <f t="shared" ref="I224:I237" si="27">I223+1/15</f>
        <v>0.1</v>
      </c>
      <c r="J224" s="2">
        <f t="shared" si="26"/>
        <v>-1.2811261510381207</v>
      </c>
    </row>
    <row r="225" spans="1:10">
      <c r="A225" s="4">
        <v>1.1532856172539E-2</v>
      </c>
      <c r="C225" s="3" t="s">
        <v>7</v>
      </c>
      <c r="E225" s="1" t="s">
        <v>8</v>
      </c>
      <c r="H225" s="4">
        <v>1.1510972879007E-2</v>
      </c>
      <c r="I225" s="2">
        <f t="shared" si="27"/>
        <v>0.16666666666666669</v>
      </c>
      <c r="J225" s="2">
        <f t="shared" si="26"/>
        <v>-0.96558119772402384</v>
      </c>
    </row>
    <row r="226" spans="1:10">
      <c r="A226" s="4">
        <v>1.1510972879007E-2</v>
      </c>
      <c r="C226" s="5">
        <f>MEDIAN(A223:A237)</f>
        <v>1.1562076793575E-2</v>
      </c>
      <c r="E226" s="2">
        <v>2.145</v>
      </c>
      <c r="H226" s="4">
        <v>1.1513638708645E-2</v>
      </c>
      <c r="I226" s="2">
        <f t="shared" si="27"/>
        <v>0.23333333333333334</v>
      </c>
      <c r="J226" s="2">
        <f t="shared" si="26"/>
        <v>-0.72575040815577163</v>
      </c>
    </row>
    <row r="227" spans="1:10">
      <c r="A227" s="4">
        <v>1.1513638708645E-2</v>
      </c>
      <c r="H227" s="4">
        <v>1.1532856172539E-2</v>
      </c>
      <c r="I227" s="2">
        <f t="shared" si="27"/>
        <v>0.3</v>
      </c>
      <c r="J227" s="2">
        <f t="shared" si="26"/>
        <v>-0.52246305252576009</v>
      </c>
    </row>
    <row r="228" spans="1:10">
      <c r="A228" s="4">
        <v>1.1556721204874E-2</v>
      </c>
      <c r="C228" s="3"/>
      <c r="D228" s="1" t="s">
        <v>9</v>
      </c>
      <c r="H228" s="4">
        <v>1.1546667974914E-2</v>
      </c>
      <c r="I228" s="2">
        <f t="shared" si="27"/>
        <v>0.36666666666666664</v>
      </c>
      <c r="J228" s="2">
        <f t="shared" si="26"/>
        <v>-0.33927638280750583</v>
      </c>
    </row>
    <row r="229" spans="1:10">
      <c r="A229" s="4">
        <v>1.1562076793575E-2</v>
      </c>
      <c r="C229" s="3" t="s">
        <v>10</v>
      </c>
      <c r="D229" s="2">
        <f>C223+E226*SQRT(D223)/(SQRT(15))</f>
        <v>1.1584739928395539E-2</v>
      </c>
      <c r="H229" s="4">
        <v>1.1556721204874E-2</v>
      </c>
      <c r="I229" s="2">
        <f t="shared" si="27"/>
        <v>0.43333333333333329</v>
      </c>
      <c r="J229" s="2">
        <f t="shared" si="26"/>
        <v>-0.16715058832373922</v>
      </c>
    </row>
    <row r="230" spans="1:10">
      <c r="A230" s="4">
        <v>1.1546667974914E-2</v>
      </c>
      <c r="C230" s="3" t="s">
        <v>11</v>
      </c>
      <c r="D230" s="2">
        <f>C223-E226*SQRT(D223)/(SQRT(15))</f>
        <v>1.1510013701714191E-2</v>
      </c>
      <c r="H230" s="4">
        <v>1.1562076793575E-2</v>
      </c>
      <c r="I230" s="2">
        <f t="shared" si="27"/>
        <v>0.49999999999999994</v>
      </c>
      <c r="J230" s="2">
        <f t="shared" si="26"/>
        <v>0</v>
      </c>
    </row>
    <row r="231" spans="1:10">
      <c r="A231" s="4">
        <v>1.1593082173090999E-2</v>
      </c>
      <c r="H231" s="4">
        <v>1.1572653259000001E-2</v>
      </c>
      <c r="I231" s="2">
        <f t="shared" si="27"/>
        <v>0.56666666666666665</v>
      </c>
      <c r="J231" s="2">
        <f t="shared" si="26"/>
        <v>0.16715058832373922</v>
      </c>
    </row>
    <row r="232" spans="1:10">
      <c r="A232" s="4">
        <v>1.1593268959106E-2</v>
      </c>
      <c r="H232" s="4">
        <v>1.1574447648914001E-2</v>
      </c>
      <c r="I232" s="2">
        <f t="shared" si="27"/>
        <v>0.6333333333333333</v>
      </c>
      <c r="J232" s="2">
        <f t="shared" si="26"/>
        <v>0.33927638280750583</v>
      </c>
    </row>
    <row r="233" spans="1:10">
      <c r="A233" s="4">
        <v>1.1509137028782999E-2</v>
      </c>
      <c r="H233" s="4">
        <v>1.1575530677816999E-2</v>
      </c>
      <c r="I233" s="2">
        <f t="shared" si="27"/>
        <v>0.7</v>
      </c>
      <c r="J233" s="2">
        <f t="shared" si="26"/>
        <v>0.52246305252576009</v>
      </c>
    </row>
    <row r="234" spans="1:10">
      <c r="A234" s="4">
        <v>1.1574447648914001E-2</v>
      </c>
      <c r="H234" s="4">
        <v>1.1593082173090999E-2</v>
      </c>
      <c r="I234" s="2">
        <f t="shared" si="27"/>
        <v>0.76666666666666661</v>
      </c>
      <c r="J234" s="2">
        <f t="shared" si="26"/>
        <v>0.72575040815577163</v>
      </c>
    </row>
    <row r="235" spans="1:10">
      <c r="A235" s="4">
        <v>1.1575530677816999E-2</v>
      </c>
      <c r="H235" s="4">
        <v>1.1593268959106E-2</v>
      </c>
      <c r="I235" s="2">
        <f t="shared" si="27"/>
        <v>0.83333333333333326</v>
      </c>
      <c r="J235" s="2">
        <f t="shared" si="26"/>
        <v>0.96558119772402329</v>
      </c>
    </row>
    <row r="236" spans="1:10">
      <c r="A236" s="4">
        <v>1.1628390326712E-2</v>
      </c>
      <c r="H236" s="4">
        <v>1.1602067323752E-2</v>
      </c>
      <c r="I236" s="2">
        <f t="shared" si="27"/>
        <v>0.89999999999999991</v>
      </c>
      <c r="J236" s="2">
        <f t="shared" si="26"/>
        <v>1.2811261510381207</v>
      </c>
    </row>
    <row r="237" spans="1:10">
      <c r="A237" s="4">
        <v>1.1572653259000001E-2</v>
      </c>
      <c r="H237" s="4">
        <v>1.1628390326712E-2</v>
      </c>
      <c r="I237" s="2">
        <f t="shared" si="27"/>
        <v>0.96666666666666656</v>
      </c>
      <c r="J237" s="2">
        <f t="shared" si="26"/>
        <v>1.8368588976886859</v>
      </c>
    </row>
    <row r="238" spans="1:10" s="6" customFormat="1">
      <c r="C238" s="7"/>
    </row>
    <row r="239" spans="1:10">
      <c r="A239" s="1" t="s">
        <v>66</v>
      </c>
      <c r="C239" s="3" t="s">
        <v>1</v>
      </c>
      <c r="D239" s="1" t="s">
        <v>2</v>
      </c>
      <c r="E239" s="1" t="s">
        <v>3</v>
      </c>
      <c r="F239" s="1"/>
      <c r="H239" s="1" t="s">
        <v>4</v>
      </c>
      <c r="I239" s="1" t="s">
        <v>5</v>
      </c>
      <c r="J239" s="1" t="s">
        <v>6</v>
      </c>
    </row>
    <row r="240" spans="1:10">
      <c r="A240" s="4">
        <v>1.7543682009595999E-2</v>
      </c>
      <c r="C240" s="5">
        <f>AVERAGE(A240:A254)</f>
        <v>1.7642505740943469E-2</v>
      </c>
      <c r="D240" s="2">
        <f>_xlfn.VAR.S(A240:A254)</f>
        <v>2.6445908636094626E-8</v>
      </c>
      <c r="E240" s="2">
        <f>SQRT(D240)/C240</f>
        <v>9.2176237989083001E-3</v>
      </c>
      <c r="H240" s="4">
        <v>1.7361066698481E-2</v>
      </c>
      <c r="I240" s="2">
        <f>1/15 - 0.5/15</f>
        <v>3.3333333333333333E-2</v>
      </c>
      <c r="J240" s="2">
        <f t="shared" ref="J240:J254" si="28">4.91*(I240^0.14-(1-I240)^0.14)</f>
        <v>-1.836858897688687</v>
      </c>
    </row>
    <row r="241" spans="1:10">
      <c r="A241" s="4">
        <v>1.7401067626388999E-2</v>
      </c>
      <c r="H241" s="4">
        <v>1.7401067626388999E-2</v>
      </c>
      <c r="I241" s="2">
        <f t="shared" ref="I241:I254" si="29">I240+1/15</f>
        <v>0.1</v>
      </c>
      <c r="J241" s="2">
        <f t="shared" si="28"/>
        <v>-1.2811261510381207</v>
      </c>
    </row>
    <row r="242" spans="1:10">
      <c r="A242" s="4">
        <v>1.7830712741056E-2</v>
      </c>
      <c r="C242" s="3" t="s">
        <v>7</v>
      </c>
      <c r="E242" s="1" t="s">
        <v>8</v>
      </c>
      <c r="H242" s="4">
        <v>1.7498173509911001E-2</v>
      </c>
      <c r="I242" s="2">
        <f t="shared" si="29"/>
        <v>0.16666666666666669</v>
      </c>
      <c r="J242" s="2">
        <f t="shared" si="28"/>
        <v>-0.96558119772402384</v>
      </c>
    </row>
    <row r="243" spans="1:10">
      <c r="A243" s="4">
        <v>1.7669840437241E-2</v>
      </c>
      <c r="C243" s="5">
        <f>MEDIAN(A240:A254)</f>
        <v>1.7669461773187001E-2</v>
      </c>
      <c r="E243" s="2">
        <v>2.145</v>
      </c>
      <c r="H243" s="4">
        <v>1.7543682009595999E-2</v>
      </c>
      <c r="I243" s="2">
        <f t="shared" si="29"/>
        <v>0.23333333333333334</v>
      </c>
      <c r="J243" s="2">
        <f t="shared" si="28"/>
        <v>-0.72575040815577163</v>
      </c>
    </row>
    <row r="244" spans="1:10">
      <c r="A244" s="4">
        <v>1.7902367880711999E-2</v>
      </c>
      <c r="H244" s="4">
        <v>1.7559163369595E-2</v>
      </c>
      <c r="I244" s="2">
        <f t="shared" si="29"/>
        <v>0.3</v>
      </c>
      <c r="J244" s="2">
        <f t="shared" si="28"/>
        <v>-0.52246305252576009</v>
      </c>
    </row>
    <row r="245" spans="1:10">
      <c r="A245" s="4">
        <v>1.7746621132771E-2</v>
      </c>
      <c r="C245" s="3"/>
      <c r="D245" s="1" t="s">
        <v>9</v>
      </c>
      <c r="H245" s="4">
        <v>1.7562266464992E-2</v>
      </c>
      <c r="I245" s="2">
        <f t="shared" si="29"/>
        <v>0.36666666666666664</v>
      </c>
      <c r="J245" s="2">
        <f t="shared" si="28"/>
        <v>-0.33927638280750583</v>
      </c>
    </row>
    <row r="246" spans="1:10">
      <c r="A246" s="4">
        <v>1.7866149773982001E-2</v>
      </c>
      <c r="C246" s="3" t="s">
        <v>10</v>
      </c>
      <c r="D246" s="2">
        <f>C240+E243*SQRT(D240)/(SQRT(15))</f>
        <v>1.7732571748879274E-2</v>
      </c>
      <c r="H246" s="4">
        <v>1.7571067664973999E-2</v>
      </c>
      <c r="I246" s="2">
        <f t="shared" si="29"/>
        <v>0.43333333333333329</v>
      </c>
      <c r="J246" s="2">
        <f t="shared" si="28"/>
        <v>-0.16715058832373922</v>
      </c>
    </row>
    <row r="247" spans="1:10">
      <c r="A247" s="4">
        <v>1.7571067664973999E-2</v>
      </c>
      <c r="C247" s="3" t="s">
        <v>11</v>
      </c>
      <c r="D247" s="2">
        <f>C240-E243*SQRT(D240)/(SQRT(15))</f>
        <v>1.7552439733007665E-2</v>
      </c>
      <c r="H247" s="4">
        <v>1.7669461773187001E-2</v>
      </c>
      <c r="I247" s="2">
        <f t="shared" si="29"/>
        <v>0.49999999999999994</v>
      </c>
      <c r="J247" s="2">
        <f t="shared" si="28"/>
        <v>0</v>
      </c>
    </row>
    <row r="248" spans="1:10">
      <c r="A248" s="4">
        <v>1.7684573310497002E-2</v>
      </c>
      <c r="H248" s="4">
        <v>1.7669840437241E-2</v>
      </c>
      <c r="I248" s="2">
        <f t="shared" si="29"/>
        <v>0.56666666666666665</v>
      </c>
      <c r="J248" s="2">
        <f t="shared" si="28"/>
        <v>0.16715058832373922</v>
      </c>
    </row>
    <row r="249" spans="1:10">
      <c r="A249" s="4">
        <v>1.7361066698481E-2</v>
      </c>
      <c r="H249" s="4">
        <v>1.7684573310497002E-2</v>
      </c>
      <c r="I249" s="2">
        <f t="shared" si="29"/>
        <v>0.6333333333333333</v>
      </c>
      <c r="J249" s="2">
        <f t="shared" si="28"/>
        <v>0.33927638280750583</v>
      </c>
    </row>
    <row r="250" spans="1:10">
      <c r="A250" s="4">
        <v>1.7498173509911001E-2</v>
      </c>
      <c r="H250" s="4">
        <v>1.7746621132771E-2</v>
      </c>
      <c r="I250" s="2">
        <f t="shared" si="29"/>
        <v>0.7</v>
      </c>
      <c r="J250" s="2">
        <f t="shared" si="28"/>
        <v>0.52246305252576009</v>
      </c>
    </row>
    <row r="251" spans="1:10">
      <c r="A251" s="4">
        <v>1.7562266464992E-2</v>
      </c>
      <c r="H251" s="4">
        <v>1.7771371720767998E-2</v>
      </c>
      <c r="I251" s="2">
        <f t="shared" si="29"/>
        <v>0.76666666666666661</v>
      </c>
      <c r="J251" s="2">
        <f t="shared" si="28"/>
        <v>0.72575040815577163</v>
      </c>
    </row>
    <row r="252" spans="1:10">
      <c r="A252" s="4">
        <v>1.7559163369595E-2</v>
      </c>
      <c r="H252" s="4">
        <v>1.7830712741056E-2</v>
      </c>
      <c r="I252" s="2">
        <f t="shared" si="29"/>
        <v>0.83333333333333326</v>
      </c>
      <c r="J252" s="2">
        <f t="shared" si="28"/>
        <v>0.96558119772402329</v>
      </c>
    </row>
    <row r="253" spans="1:10">
      <c r="A253" s="4">
        <v>1.7669461773187001E-2</v>
      </c>
      <c r="H253" s="4">
        <v>1.7866149773982001E-2</v>
      </c>
      <c r="I253" s="2">
        <f t="shared" si="29"/>
        <v>0.89999999999999991</v>
      </c>
      <c r="J253" s="2">
        <f t="shared" si="28"/>
        <v>1.2811261510381207</v>
      </c>
    </row>
    <row r="254" spans="1:10">
      <c r="A254" s="4">
        <v>1.7771371720767998E-2</v>
      </c>
      <c r="H254" s="4">
        <v>1.7902367880711999E-2</v>
      </c>
      <c r="I254" s="2">
        <f t="shared" si="29"/>
        <v>0.96666666666666656</v>
      </c>
      <c r="J254" s="2">
        <f t="shared" si="28"/>
        <v>1.8368588976886859</v>
      </c>
    </row>
    <row r="255" spans="1:10" s="6" customFormat="1" ht="4.1500000000000004" customHeight="1">
      <c r="C255" s="7"/>
    </row>
    <row r="256" spans="1:10">
      <c r="A256" s="1" t="s">
        <v>67</v>
      </c>
      <c r="C256" s="3" t="s">
        <v>1</v>
      </c>
      <c r="D256" s="1" t="s">
        <v>2</v>
      </c>
      <c r="E256" s="1" t="s">
        <v>3</v>
      </c>
      <c r="F256" s="1"/>
      <c r="H256" s="1" t="s">
        <v>4</v>
      </c>
      <c r="I256" s="1" t="s">
        <v>5</v>
      </c>
      <c r="J256" s="1" t="s">
        <v>6</v>
      </c>
    </row>
    <row r="257" spans="1:10">
      <c r="A257" s="4">
        <v>2.2156362956916E-2</v>
      </c>
      <c r="C257" s="5">
        <f>AVERAGE(A257:A271)</f>
        <v>2.2229736676116326E-2</v>
      </c>
      <c r="D257" s="2">
        <f>_xlfn.VAR.S(A257:A271)</f>
        <v>4.2338020209342093E-8</v>
      </c>
      <c r="E257" s="2">
        <f>SQRT(D257)/C257</f>
        <v>9.2561621642909125E-3</v>
      </c>
      <c r="H257" s="4">
        <v>2.1701886093170999E-2</v>
      </c>
      <c r="I257" s="2">
        <f>1/15 - 0.5/15</f>
        <v>3.3333333333333333E-2</v>
      </c>
      <c r="J257" s="2">
        <f t="shared" ref="J257:J271" si="30">4.91*(I257^0.14-(1-I257)^0.14)</f>
        <v>-1.836858897688687</v>
      </c>
    </row>
    <row r="258" spans="1:10">
      <c r="A258" s="4">
        <v>2.1975280141779002E-2</v>
      </c>
      <c r="H258" s="4">
        <v>2.1975280141779002E-2</v>
      </c>
      <c r="I258" s="2">
        <f t="shared" ref="I258:I271" si="31">I257+1/15</f>
        <v>0.1</v>
      </c>
      <c r="J258" s="2">
        <f t="shared" si="30"/>
        <v>-1.2811261510381207</v>
      </c>
    </row>
    <row r="259" spans="1:10">
      <c r="A259" s="4">
        <v>2.2309410282126001E-2</v>
      </c>
      <c r="C259" s="3" t="s">
        <v>7</v>
      </c>
      <c r="E259" s="1" t="s">
        <v>8</v>
      </c>
      <c r="H259" s="4">
        <v>2.2049007345847998E-2</v>
      </c>
      <c r="I259" s="2">
        <f t="shared" si="31"/>
        <v>0.16666666666666669</v>
      </c>
      <c r="J259" s="2">
        <f t="shared" si="30"/>
        <v>-0.96558119772402384</v>
      </c>
    </row>
    <row r="260" spans="1:10">
      <c r="A260" s="4">
        <v>2.2273618622620998E-2</v>
      </c>
      <c r="C260" s="5">
        <f>MEDIAN(A257:A271)</f>
        <v>2.2273618622620998E-2</v>
      </c>
      <c r="E260" s="2">
        <v>2.145</v>
      </c>
      <c r="H260" s="4">
        <v>2.2120374645342999E-2</v>
      </c>
      <c r="I260" s="2">
        <f t="shared" si="31"/>
        <v>0.23333333333333334</v>
      </c>
      <c r="J260" s="2">
        <f t="shared" si="30"/>
        <v>-0.72575040815577163</v>
      </c>
    </row>
    <row r="261" spans="1:10">
      <c r="A261" s="4">
        <v>2.2227209796819001E-2</v>
      </c>
      <c r="H261" s="4">
        <v>2.2156362956916E-2</v>
      </c>
      <c r="I261" s="2">
        <f t="shared" si="31"/>
        <v>0.3</v>
      </c>
      <c r="J261" s="2">
        <f t="shared" si="30"/>
        <v>-0.52246305252576009</v>
      </c>
    </row>
    <row r="262" spans="1:10">
      <c r="A262" s="4">
        <v>2.2305872794806999E-2</v>
      </c>
      <c r="C262" s="3"/>
      <c r="D262" s="1" t="s">
        <v>9</v>
      </c>
      <c r="H262" s="4">
        <v>2.2227209796819001E-2</v>
      </c>
      <c r="I262" s="2">
        <f t="shared" si="31"/>
        <v>0.36666666666666664</v>
      </c>
      <c r="J262" s="2">
        <f t="shared" si="30"/>
        <v>-0.33927638280750583</v>
      </c>
    </row>
    <row r="263" spans="1:10">
      <c r="A263" s="4">
        <v>2.2400169051247001E-2</v>
      </c>
      <c r="C263" s="3" t="s">
        <v>10</v>
      </c>
      <c r="D263" s="2">
        <f>C257+E260*SQRT(D257)/(SQRT(15))</f>
        <v>2.2343695232745094E-2</v>
      </c>
      <c r="H263" s="4">
        <v>2.2235356073477999E-2</v>
      </c>
      <c r="I263" s="2">
        <f t="shared" si="31"/>
        <v>0.43333333333333329</v>
      </c>
      <c r="J263" s="2">
        <f t="shared" si="30"/>
        <v>-0.16715058832373922</v>
      </c>
    </row>
    <row r="264" spans="1:10">
      <c r="A264" s="4">
        <v>2.2446052293887998E-2</v>
      </c>
      <c r="C264" s="3" t="s">
        <v>11</v>
      </c>
      <c r="D264" s="2">
        <f>C257-E260*SQRT(D257)/(SQRT(15))</f>
        <v>2.2115778119487558E-2</v>
      </c>
      <c r="H264" s="4">
        <v>2.2273618622620998E-2</v>
      </c>
      <c r="I264" s="2">
        <f t="shared" si="31"/>
        <v>0.49999999999999994</v>
      </c>
      <c r="J264" s="2">
        <f t="shared" si="30"/>
        <v>0</v>
      </c>
    </row>
    <row r="265" spans="1:10">
      <c r="A265" s="4">
        <v>2.2120374645342999E-2</v>
      </c>
      <c r="H265" s="4">
        <v>2.2305872794806999E-2</v>
      </c>
      <c r="I265" s="2">
        <f t="shared" si="31"/>
        <v>0.56666666666666665</v>
      </c>
      <c r="J265" s="2">
        <f t="shared" si="30"/>
        <v>0.16715058832373922</v>
      </c>
    </row>
    <row r="266" spans="1:10">
      <c r="A266" s="4">
        <v>2.2235356073477999E-2</v>
      </c>
      <c r="H266" s="4">
        <v>2.2309410282126001E-2</v>
      </c>
      <c r="I266" s="2">
        <f t="shared" si="31"/>
        <v>0.6333333333333333</v>
      </c>
      <c r="J266" s="2">
        <f t="shared" si="30"/>
        <v>0.33927638280750583</v>
      </c>
    </row>
    <row r="267" spans="1:10">
      <c r="A267" s="4">
        <v>2.2354182108834001E-2</v>
      </c>
      <c r="H267" s="4">
        <v>2.2354182108834001E-2</v>
      </c>
      <c r="I267" s="2">
        <f t="shared" si="31"/>
        <v>0.7</v>
      </c>
      <c r="J267" s="2">
        <f t="shared" si="30"/>
        <v>0.52246305252576009</v>
      </c>
    </row>
    <row r="268" spans="1:10">
      <c r="A268" s="4">
        <v>2.2464252538010002E-2</v>
      </c>
      <c r="H268" s="4">
        <v>2.2400169051247001E-2</v>
      </c>
      <c r="I268" s="2">
        <f t="shared" si="31"/>
        <v>0.76666666666666661</v>
      </c>
      <c r="J268" s="2">
        <f t="shared" si="30"/>
        <v>0.72575040815577163</v>
      </c>
    </row>
    <row r="269" spans="1:10">
      <c r="A269" s="4">
        <v>2.1701886093170999E-2</v>
      </c>
      <c r="H269" s="4">
        <v>2.2427015396857999E-2</v>
      </c>
      <c r="I269" s="2">
        <f t="shared" si="31"/>
        <v>0.83333333333333326</v>
      </c>
      <c r="J269" s="2">
        <f t="shared" si="30"/>
        <v>0.96558119772402329</v>
      </c>
    </row>
    <row r="270" spans="1:10">
      <c r="A270" s="4">
        <v>2.2049007345847998E-2</v>
      </c>
      <c r="H270" s="4">
        <v>2.2446052293887998E-2</v>
      </c>
      <c r="I270" s="2">
        <f t="shared" si="31"/>
        <v>0.89999999999999991</v>
      </c>
      <c r="J270" s="2">
        <f t="shared" si="30"/>
        <v>1.2811261510381207</v>
      </c>
    </row>
    <row r="271" spans="1:10">
      <c r="A271" s="4">
        <v>2.2427015396857999E-2</v>
      </c>
      <c r="H271" s="4">
        <v>2.2464252538010002E-2</v>
      </c>
      <c r="I271" s="2">
        <f t="shared" si="31"/>
        <v>0.96666666666666656</v>
      </c>
      <c r="J271" s="2">
        <f t="shared" si="30"/>
        <v>1.8368588976886859</v>
      </c>
    </row>
    <row r="272" spans="1:10" s="13" customFormat="1" ht="4.5" customHeight="1">
      <c r="C272" s="14"/>
    </row>
    <row r="273" spans="1:5">
      <c r="A273" s="1"/>
      <c r="C273" s="1"/>
      <c r="D273" s="1"/>
      <c r="E273" s="1"/>
    </row>
    <row r="274" spans="1:5">
      <c r="A274" s="16" t="s">
        <v>20</v>
      </c>
      <c r="B274" s="16"/>
      <c r="C274" s="16"/>
    </row>
    <row r="275" spans="1:5">
      <c r="A275" s="1" t="s">
        <v>21</v>
      </c>
      <c r="B275" s="1" t="s">
        <v>68</v>
      </c>
      <c r="C275" s="1" t="s">
        <v>23</v>
      </c>
    </row>
    <row r="276" spans="1:5">
      <c r="A276" s="1"/>
      <c r="C276" s="2"/>
    </row>
    <row r="277" spans="1:5">
      <c r="A277" s="1" t="s">
        <v>24</v>
      </c>
      <c r="B277" s="2">
        <f>0.001*(3/10)</f>
        <v>2.9999999999999997E-4</v>
      </c>
      <c r="C277" s="2">
        <f>C2</f>
        <v>1.0495500618207265E-2</v>
      </c>
    </row>
    <row r="278" spans="1:5">
      <c r="A278" s="1" t="s">
        <v>26</v>
      </c>
      <c r="B278" s="2">
        <f>0.001*(4/10)</f>
        <v>4.0000000000000002E-4</v>
      </c>
      <c r="C278" s="2">
        <f>C19</f>
        <v>1.3829698865016199E-2</v>
      </c>
    </row>
    <row r="279" spans="1:5">
      <c r="A279" s="1" t="s">
        <v>30</v>
      </c>
      <c r="B279" s="2">
        <f>0.001*(6/10)</f>
        <v>5.9999999999999995E-4</v>
      </c>
      <c r="C279" s="2">
        <f>C36</f>
        <v>2.7223681335640272E-2</v>
      </c>
    </row>
    <row r="280" spans="1:5">
      <c r="A280" s="1" t="s">
        <v>32</v>
      </c>
      <c r="B280" s="2">
        <f>0.001*(7/10)</f>
        <v>6.9999999999999999E-4</v>
      </c>
      <c r="C280" s="2">
        <f>C53</f>
        <v>4.4375036344121536E-2</v>
      </c>
    </row>
    <row r="281" spans="1:5">
      <c r="A281" s="1" t="s">
        <v>69</v>
      </c>
      <c r="B281" s="2">
        <f>0.001*(3/11)</f>
        <v>2.7272727272727274E-4</v>
      </c>
      <c r="C281" s="2">
        <f>C70</f>
        <v>1.0134223256711334E-2</v>
      </c>
    </row>
    <row r="282" spans="1:5">
      <c r="A282" s="1" t="s">
        <v>70</v>
      </c>
      <c r="B282" s="2">
        <f>0.001*(4/11)</f>
        <v>3.6363636363636367E-4</v>
      </c>
      <c r="C282" s="2">
        <f>C87</f>
        <v>1.2944619970148797E-2</v>
      </c>
    </row>
    <row r="283" spans="1:5">
      <c r="A283" s="1" t="s">
        <v>71</v>
      </c>
      <c r="B283" s="2">
        <f>0.001*(6/11)</f>
        <v>5.4545454545454548E-4</v>
      </c>
      <c r="C283" s="2">
        <f>C104</f>
        <v>2.2985916909995928E-2</v>
      </c>
    </row>
    <row r="284" spans="1:5">
      <c r="A284" s="1" t="s">
        <v>72</v>
      </c>
      <c r="B284" s="2">
        <f>0.001*(7/11)</f>
        <v>6.3636363636363641E-4</v>
      </c>
      <c r="C284" s="2">
        <f>C121</f>
        <v>3.3116487871588933E-2</v>
      </c>
    </row>
    <row r="285" spans="1:5">
      <c r="A285" s="1" t="s">
        <v>73</v>
      </c>
      <c r="B285" s="2">
        <f>0.001*(3/13)</f>
        <v>2.3076923076923079E-4</v>
      </c>
      <c r="C285" s="2">
        <f>C138</f>
        <v>9.6201849178920787E-3</v>
      </c>
    </row>
    <row r="286" spans="1:5">
      <c r="A286" s="1" t="s">
        <v>74</v>
      </c>
      <c r="B286" s="2">
        <f>0.001*(4/13)</f>
        <v>3.076923076923077E-4</v>
      </c>
      <c r="C286" s="2">
        <f>C155</f>
        <v>1.1880433298308667E-2</v>
      </c>
    </row>
    <row r="287" spans="1:5">
      <c r="A287" s="1" t="s">
        <v>75</v>
      </c>
      <c r="B287" s="2">
        <f>0.001*(6/13)</f>
        <v>4.6153846153846158E-4</v>
      </c>
      <c r="C287" s="2">
        <f>C172</f>
        <v>1.8759460581442334E-2</v>
      </c>
    </row>
    <row r="288" spans="1:5">
      <c r="A288" s="1" t="s">
        <v>76</v>
      </c>
      <c r="B288" s="2">
        <f>0.001*(7/13)</f>
        <v>5.3846153846153844E-4</v>
      </c>
      <c r="C288" s="2">
        <f>C189</f>
        <v>2.4370919700123134E-2</v>
      </c>
    </row>
    <row r="289" spans="1:7">
      <c r="A289" s="1" t="s">
        <v>77</v>
      </c>
      <c r="B289" s="2">
        <f>0.001*(3/14)</f>
        <v>2.1428571428571427E-4</v>
      </c>
      <c r="C289" s="2">
        <f>C206</f>
        <v>9.4396823246931938E-3</v>
      </c>
    </row>
    <row r="290" spans="1:7">
      <c r="A290" s="1" t="s">
        <v>78</v>
      </c>
      <c r="B290" s="2">
        <f>0.001*(4/14)</f>
        <v>2.8571428571428568E-4</v>
      </c>
      <c r="C290" s="2">
        <f>C223</f>
        <v>1.1547376815054865E-2</v>
      </c>
    </row>
    <row r="291" spans="1:7">
      <c r="A291" s="1" t="s">
        <v>79</v>
      </c>
      <c r="B291" s="2">
        <f>0.001*(6/14)</f>
        <v>4.2857142857142855E-4</v>
      </c>
      <c r="C291" s="2">
        <f>C240</f>
        <v>1.7642505740943469E-2</v>
      </c>
    </row>
    <row r="292" spans="1:7">
      <c r="A292" s="1" t="s">
        <v>80</v>
      </c>
      <c r="B292" s="2">
        <f>0.001*(7/14)</f>
        <v>5.0000000000000001E-4</v>
      </c>
      <c r="C292" s="2">
        <f>C257</f>
        <v>2.2229736676116326E-2</v>
      </c>
    </row>
    <row r="297" spans="1:7">
      <c r="A297" s="16" t="s">
        <v>33</v>
      </c>
      <c r="B297" s="16"/>
      <c r="C297" s="16"/>
      <c r="D297" s="16"/>
    </row>
    <row r="298" spans="1:7">
      <c r="A298" s="1" t="s">
        <v>21</v>
      </c>
      <c r="B298" s="1" t="s">
        <v>68</v>
      </c>
      <c r="C298" s="1" t="s">
        <v>34</v>
      </c>
      <c r="D298" s="1" t="s">
        <v>35</v>
      </c>
      <c r="F298" s="3"/>
      <c r="G298" s="3"/>
    </row>
    <row r="299" spans="1:7">
      <c r="A299" s="1"/>
      <c r="C299" s="2"/>
      <c r="F299" s="1"/>
      <c r="G299" s="1"/>
    </row>
    <row r="300" spans="1:7">
      <c r="A300" s="1" t="s">
        <v>24</v>
      </c>
      <c r="B300" s="2">
        <v>2.9999999999999997E-4</v>
      </c>
      <c r="C300" s="2">
        <f t="shared" ref="C300:C315" si="32">LN(C277)</f>
        <v>-4.5568086262080882</v>
      </c>
      <c r="D300" s="2">
        <f>C300-B300*$C$319-$D$319</f>
        <v>-7.903862620808777E-2</v>
      </c>
    </row>
    <row r="301" spans="1:7">
      <c r="A301" s="1" t="s">
        <v>26</v>
      </c>
      <c r="B301" s="2">
        <v>4.0000000000000002E-4</v>
      </c>
      <c r="C301" s="2">
        <f t="shared" si="32"/>
        <v>-4.2809369075832944</v>
      </c>
      <c r="D301" s="2">
        <f t="shared" ref="D301:D315" si="33">C301-B301*$C$319-$D$319</f>
        <v>-0.11717690758329447</v>
      </c>
    </row>
    <row r="302" spans="1:7">
      <c r="A302" s="1" t="s">
        <v>30</v>
      </c>
      <c r="B302" s="2">
        <v>5.9999999999999995E-4</v>
      </c>
      <c r="C302" s="2">
        <f t="shared" si="32"/>
        <v>-3.6036680471253182</v>
      </c>
      <c r="D302" s="2">
        <f t="shared" si="33"/>
        <v>-6.7928047125317192E-2</v>
      </c>
    </row>
    <row r="303" spans="1:7">
      <c r="A303" s="1" t="s">
        <v>32</v>
      </c>
      <c r="B303" s="2">
        <v>6.9999999999999999E-4</v>
      </c>
      <c r="C303" s="2">
        <f t="shared" si="32"/>
        <v>-3.1150782121644354</v>
      </c>
      <c r="D303" s="2">
        <f t="shared" si="33"/>
        <v>0.10665178783556506</v>
      </c>
    </row>
    <row r="304" spans="1:7">
      <c r="A304" s="1" t="s">
        <v>69</v>
      </c>
      <c r="B304" s="2">
        <v>2.7272727272727274E-4</v>
      </c>
      <c r="C304" s="2">
        <f t="shared" si="32"/>
        <v>-4.5918371417081563</v>
      </c>
      <c r="D304" s="2">
        <f t="shared" si="33"/>
        <v>-2.8428050799065296E-2</v>
      </c>
    </row>
    <row r="305" spans="1:4">
      <c r="A305" s="1" t="s">
        <v>70</v>
      </c>
      <c r="B305" s="2">
        <v>3.6363636363636367E-4</v>
      </c>
      <c r="C305" s="2">
        <f t="shared" si="32"/>
        <v>-4.3470750234788778</v>
      </c>
      <c r="D305" s="2">
        <f t="shared" si="33"/>
        <v>-6.9129568933423258E-2</v>
      </c>
    </row>
    <row r="306" spans="1:4">
      <c r="A306" s="1" t="s">
        <v>71</v>
      </c>
      <c r="B306" s="2">
        <v>5.4545454545454548E-4</v>
      </c>
      <c r="C306" s="2">
        <f t="shared" si="32"/>
        <v>-3.7728735588512947</v>
      </c>
      <c r="D306" s="2">
        <f t="shared" si="33"/>
        <v>-6.5855377033112283E-2</v>
      </c>
    </row>
    <row r="307" spans="1:4">
      <c r="A307" s="1" t="s">
        <v>72</v>
      </c>
      <c r="B307" s="2">
        <v>6.3636363636363641E-4</v>
      </c>
      <c r="C307" s="2">
        <f t="shared" si="32"/>
        <v>-3.4077239976124729</v>
      </c>
      <c r="D307" s="2">
        <f t="shared" si="33"/>
        <v>1.3830547842072605E-2</v>
      </c>
    </row>
    <row r="308" spans="1:4">
      <c r="A308" s="1" t="s">
        <v>73</v>
      </c>
      <c r="B308" s="2">
        <v>2.3076923076923079E-4</v>
      </c>
      <c r="C308" s="2">
        <f t="shared" si="32"/>
        <v>-4.6438917922551628</v>
      </c>
      <c r="D308" s="2">
        <f t="shared" si="33"/>
        <v>5.1269746206376254E-2</v>
      </c>
    </row>
    <row r="309" spans="1:4">
      <c r="A309" s="1" t="s">
        <v>74</v>
      </c>
      <c r="B309" s="2">
        <v>3.076923076923077E-4</v>
      </c>
      <c r="C309" s="2">
        <f t="shared" si="32"/>
        <v>-4.4328624927911537</v>
      </c>
      <c r="D309" s="2">
        <f t="shared" si="33"/>
        <v>2.0752891824231234E-2</v>
      </c>
    </row>
    <row r="310" spans="1:4">
      <c r="A310" s="1" t="s">
        <v>75</v>
      </c>
      <c r="B310" s="2">
        <v>4.6153846153846158E-4</v>
      </c>
      <c r="C310" s="2">
        <f t="shared" si="32"/>
        <v>-3.9760570894719125</v>
      </c>
      <c r="D310" s="2">
        <f t="shared" si="33"/>
        <v>-5.5340125488356762E-3</v>
      </c>
    </row>
    <row r="311" spans="1:4">
      <c r="A311" s="1" t="s">
        <v>76</v>
      </c>
      <c r="B311" s="2">
        <v>5.3846153846153844E-4</v>
      </c>
      <c r="C311" s="2">
        <f t="shared" si="32"/>
        <v>-3.7143646730286792</v>
      </c>
      <c r="D311" s="2">
        <f t="shared" si="33"/>
        <v>1.4612250048244846E-2</v>
      </c>
    </row>
    <row r="312" spans="1:4">
      <c r="A312" s="1" t="s">
        <v>77</v>
      </c>
      <c r="B312" s="2">
        <v>2.1428571428571427E-4</v>
      </c>
      <c r="C312" s="2">
        <f t="shared" si="32"/>
        <v>-4.662832951436183</v>
      </c>
      <c r="D312" s="2">
        <f t="shared" si="33"/>
        <v>8.4088477135246364E-2</v>
      </c>
    </row>
    <row r="313" spans="1:4">
      <c r="A313" s="1" t="s">
        <v>78</v>
      </c>
      <c r="B313" s="2">
        <v>2.8571428571428568E-4</v>
      </c>
      <c r="C313" s="2">
        <f t="shared" si="32"/>
        <v>-4.4612969833886487</v>
      </c>
      <c r="D313" s="2">
        <f t="shared" si="33"/>
        <v>6.1331588039923446E-2</v>
      </c>
    </row>
    <row r="314" spans="1:4">
      <c r="A314" s="1" t="s">
        <v>79</v>
      </c>
      <c r="B314" s="2">
        <v>4.2857142857142855E-4</v>
      </c>
      <c r="C314" s="2">
        <f t="shared" si="32"/>
        <v>-4.0374441896851492</v>
      </c>
      <c r="D314" s="2">
        <f t="shared" si="33"/>
        <v>3.6598667457708345E-2</v>
      </c>
    </row>
    <row r="315" spans="1:4">
      <c r="A315" s="1" t="s">
        <v>80</v>
      </c>
      <c r="B315" s="2">
        <v>5.0000000000000001E-4</v>
      </c>
      <c r="C315" s="2">
        <f t="shared" si="32"/>
        <v>-3.8063243965050546</v>
      </c>
      <c r="D315" s="2">
        <f t="shared" si="33"/>
        <v>4.3425603494945619E-2</v>
      </c>
    </row>
    <row r="316" spans="1:4">
      <c r="A316" s="1"/>
      <c r="C316" s="2"/>
    </row>
    <row r="317" spans="1:4">
      <c r="A317" s="1"/>
      <c r="C317" s="16" t="s">
        <v>36</v>
      </c>
      <c r="D317" s="16"/>
    </row>
    <row r="318" spans="1:4">
      <c r="A318" s="1"/>
      <c r="C318" s="1" t="s">
        <v>37</v>
      </c>
      <c r="D318" s="1" t="s">
        <v>38</v>
      </c>
    </row>
    <row r="319" spans="1:4">
      <c r="A319" s="1"/>
      <c r="C319" s="2">
        <v>3140.1</v>
      </c>
      <c r="D319" s="2">
        <v>-5.4198000000000004</v>
      </c>
    </row>
    <row r="320" spans="1:4">
      <c r="A320" s="1"/>
      <c r="C320" s="2"/>
    </row>
    <row r="321" spans="1:3">
      <c r="A321" s="16" t="s">
        <v>39</v>
      </c>
      <c r="B321" s="16"/>
      <c r="C321" s="16"/>
    </row>
    <row r="322" spans="1:3">
      <c r="A322" s="1" t="s">
        <v>35</v>
      </c>
      <c r="B322" s="1" t="s">
        <v>5</v>
      </c>
      <c r="C322" s="1" t="s">
        <v>40</v>
      </c>
    </row>
    <row r="323" spans="1:3">
      <c r="A323" s="2">
        <v>-0.11717690758329447</v>
      </c>
      <c r="B323" s="2">
        <f>1/16-0.5/16</f>
        <v>3.125E-2</v>
      </c>
      <c r="C323" s="2">
        <f t="shared" ref="C323:C338" si="34">4.91*(B323^0.14-(1-B323)^0.14)</f>
        <v>-1.8657648402099227</v>
      </c>
    </row>
    <row r="324" spans="1:3">
      <c r="A324" s="2">
        <v>-7.903862620808777E-2</v>
      </c>
      <c r="B324" s="2">
        <f>B323+1/16</f>
        <v>9.375E-2</v>
      </c>
      <c r="C324" s="2">
        <f t="shared" si="34"/>
        <v>-1.3178098407415364</v>
      </c>
    </row>
    <row r="325" spans="1:3">
      <c r="A325" s="2">
        <v>-6.9129568933423258E-2</v>
      </c>
      <c r="B325" s="2">
        <f t="shared" ref="B325:B338" si="35">B324+1/16</f>
        <v>0.15625</v>
      </c>
      <c r="C325" s="2">
        <f t="shared" si="34"/>
        <v>-1.0082783038771823</v>
      </c>
    </row>
    <row r="326" spans="1:3">
      <c r="A326" s="2">
        <v>-6.7928047125317192E-2</v>
      </c>
      <c r="B326" s="2">
        <f t="shared" si="35"/>
        <v>0.21875</v>
      </c>
      <c r="C326" s="2">
        <f t="shared" si="34"/>
        <v>-0.77427005635431245</v>
      </c>
    </row>
    <row r="327" spans="1:3">
      <c r="A327" s="2">
        <v>-6.5855377033112283E-2</v>
      </c>
      <c r="B327" s="2">
        <f t="shared" si="35"/>
        <v>0.28125</v>
      </c>
      <c r="C327" s="2">
        <f t="shared" si="34"/>
        <v>-0.57709366971925891</v>
      </c>
    </row>
    <row r="328" spans="1:3">
      <c r="A328" s="2">
        <v>-2.8428050799065296E-2</v>
      </c>
      <c r="B328" s="2">
        <f t="shared" si="35"/>
        <v>0.34375</v>
      </c>
      <c r="C328" s="2">
        <f t="shared" si="34"/>
        <v>-0.4006301257381869</v>
      </c>
    </row>
    <row r="329" spans="1:3">
      <c r="A329" s="2">
        <v>-5.5340125488356762E-3</v>
      </c>
      <c r="B329" s="2">
        <f t="shared" si="35"/>
        <v>0.40625</v>
      </c>
      <c r="C329" s="2">
        <f t="shared" si="34"/>
        <v>-0.23617194000999964</v>
      </c>
    </row>
    <row r="330" spans="1:3">
      <c r="A330" s="2">
        <v>1.3830547842072605E-2</v>
      </c>
      <c r="B330" s="2">
        <f t="shared" si="35"/>
        <v>0.46875</v>
      </c>
      <c r="C330" s="2">
        <f t="shared" si="34"/>
        <v>-7.8059966366998385E-2</v>
      </c>
    </row>
    <row r="331" spans="1:3">
      <c r="A331" s="2">
        <v>1.4612250048244846E-2</v>
      </c>
      <c r="B331" s="2">
        <f t="shared" si="35"/>
        <v>0.53125</v>
      </c>
      <c r="C331" s="2">
        <f t="shared" si="34"/>
        <v>7.8059966366998385E-2</v>
      </c>
    </row>
    <row r="332" spans="1:3">
      <c r="A332" s="2">
        <v>2.0752891824231234E-2</v>
      </c>
      <c r="B332" s="2">
        <f t="shared" si="35"/>
        <v>0.59375</v>
      </c>
      <c r="C332" s="2">
        <f t="shared" si="34"/>
        <v>0.23617194000999964</v>
      </c>
    </row>
    <row r="333" spans="1:3">
      <c r="A333" s="2">
        <v>3.6598667457708345E-2</v>
      </c>
      <c r="B333" s="2">
        <f t="shared" si="35"/>
        <v>0.65625</v>
      </c>
      <c r="C333" s="2">
        <f t="shared" si="34"/>
        <v>0.4006301257381869</v>
      </c>
    </row>
    <row r="334" spans="1:3">
      <c r="A334" s="2">
        <v>4.3425603494945619E-2</v>
      </c>
      <c r="B334" s="2">
        <f t="shared" si="35"/>
        <v>0.71875</v>
      </c>
      <c r="C334" s="2">
        <f t="shared" si="34"/>
        <v>0.57709366971925891</v>
      </c>
    </row>
    <row r="335" spans="1:3">
      <c r="A335" s="2">
        <v>5.1269746206376254E-2</v>
      </c>
      <c r="B335" s="2">
        <f t="shared" si="35"/>
        <v>0.78125</v>
      </c>
      <c r="C335" s="2">
        <f t="shared" si="34"/>
        <v>0.77427005635431245</v>
      </c>
    </row>
    <row r="336" spans="1:3">
      <c r="A336" s="2">
        <v>6.1331588039923446E-2</v>
      </c>
      <c r="B336" s="2">
        <f t="shared" si="35"/>
        <v>0.84375</v>
      </c>
      <c r="C336" s="2">
        <f t="shared" si="34"/>
        <v>1.0082783038771823</v>
      </c>
    </row>
    <row r="337" spans="1:3">
      <c r="A337" s="2">
        <v>8.4088477135246364E-2</v>
      </c>
      <c r="B337" s="2">
        <f t="shared" si="35"/>
        <v>0.90625</v>
      </c>
      <c r="C337" s="2">
        <f t="shared" si="34"/>
        <v>1.3178098407415364</v>
      </c>
    </row>
    <row r="338" spans="1:3">
      <c r="A338" s="2">
        <v>0.10665178783556506</v>
      </c>
      <c r="B338" s="2">
        <f t="shared" si="35"/>
        <v>0.96875</v>
      </c>
      <c r="C338" s="2">
        <f t="shared" si="34"/>
        <v>1.8657648402099227</v>
      </c>
    </row>
    <row r="340" spans="1:3">
      <c r="A340" s="16" t="s">
        <v>41</v>
      </c>
      <c r="B340" s="16"/>
    </row>
    <row r="341" spans="1:3">
      <c r="A341" s="1" t="s">
        <v>35</v>
      </c>
      <c r="B341" s="1" t="s">
        <v>42</v>
      </c>
    </row>
    <row r="342" spans="1:3">
      <c r="A342" s="2">
        <v>-7.903862620808777E-2</v>
      </c>
      <c r="B342" s="2">
        <f t="shared" ref="B342:B357" si="36">B299*$C$319+$D$319</f>
        <v>-5.4198000000000004</v>
      </c>
    </row>
    <row r="343" spans="1:3">
      <c r="A343" s="2">
        <v>-0.11717690758329447</v>
      </c>
      <c r="B343" s="2">
        <f t="shared" si="36"/>
        <v>-4.4777700000000005</v>
      </c>
    </row>
    <row r="344" spans="1:3">
      <c r="A344" s="2">
        <v>-6.7928047125317192E-2</v>
      </c>
      <c r="B344" s="2">
        <f t="shared" si="36"/>
        <v>-4.1637599999999999</v>
      </c>
    </row>
    <row r="345" spans="1:3">
      <c r="A345" s="2">
        <v>0.10665178783556506</v>
      </c>
      <c r="B345" s="2">
        <f t="shared" si="36"/>
        <v>-3.5357400000000005</v>
      </c>
    </row>
    <row r="346" spans="1:3">
      <c r="A346" s="2">
        <v>-2.8428050799065296E-2</v>
      </c>
      <c r="B346" s="2">
        <f t="shared" si="36"/>
        <v>-3.2217300000000004</v>
      </c>
    </row>
    <row r="347" spans="1:3">
      <c r="A347" s="2">
        <v>-6.9129568933423258E-2</v>
      </c>
      <c r="B347" s="2">
        <f t="shared" si="36"/>
        <v>-4.563409090909091</v>
      </c>
    </row>
    <row r="348" spans="1:3">
      <c r="A348" s="2">
        <v>-6.5855377033112283E-2</v>
      </c>
      <c r="B348" s="2">
        <f t="shared" si="36"/>
        <v>-4.2779454545454545</v>
      </c>
    </row>
    <row r="349" spans="1:3">
      <c r="A349" s="2">
        <v>1.3830547842072605E-2</v>
      </c>
      <c r="B349" s="2">
        <f t="shared" si="36"/>
        <v>-3.7070181818181824</v>
      </c>
    </row>
    <row r="350" spans="1:3">
      <c r="A350" s="2">
        <v>5.1269746206376254E-2</v>
      </c>
      <c r="B350" s="2">
        <f t="shared" si="36"/>
        <v>-3.421554545454546</v>
      </c>
    </row>
    <row r="351" spans="1:3">
      <c r="A351" s="2">
        <v>2.0752891824231234E-2</v>
      </c>
      <c r="B351" s="2">
        <f t="shared" si="36"/>
        <v>-4.6951615384615391</v>
      </c>
    </row>
    <row r="352" spans="1:3">
      <c r="A352" s="2">
        <v>-5.5340125488356762E-3</v>
      </c>
      <c r="B352" s="2">
        <f t="shared" si="36"/>
        <v>-4.453615384615385</v>
      </c>
    </row>
    <row r="353" spans="1:2">
      <c r="A353" s="2">
        <v>1.4612250048244846E-2</v>
      </c>
      <c r="B353" s="2">
        <f t="shared" si="36"/>
        <v>-3.9705230769230773</v>
      </c>
    </row>
    <row r="354" spans="1:2">
      <c r="A354" s="2">
        <v>8.4088477135246364E-2</v>
      </c>
      <c r="B354" s="2">
        <f t="shared" si="36"/>
        <v>-3.7289769230769236</v>
      </c>
    </row>
    <row r="355" spans="1:2">
      <c r="A355" s="2">
        <v>6.1331588039923446E-2</v>
      </c>
      <c r="B355" s="2">
        <f t="shared" si="36"/>
        <v>-4.7469214285714294</v>
      </c>
    </row>
    <row r="356" spans="1:2">
      <c r="A356" s="2">
        <v>3.6598667457708345E-2</v>
      </c>
      <c r="B356" s="2">
        <f t="shared" si="36"/>
        <v>-4.5226285714285721</v>
      </c>
    </row>
    <row r="357" spans="1:2">
      <c r="A357" s="2">
        <v>4.3425603494945619E-2</v>
      </c>
      <c r="B357" s="2">
        <f t="shared" si="36"/>
        <v>-4.0740428571428575</v>
      </c>
    </row>
    <row r="359" spans="1:2">
      <c r="A359" s="16" t="s">
        <v>43</v>
      </c>
      <c r="B359" s="16"/>
    </row>
    <row r="360" spans="1:2">
      <c r="A360" s="1" t="s">
        <v>35</v>
      </c>
      <c r="B360" s="1" t="s">
        <v>44</v>
      </c>
    </row>
    <row r="361" spans="1:2">
      <c r="A361" s="2">
        <v>-7.903862620808777E-2</v>
      </c>
      <c r="B361" s="2">
        <v>1</v>
      </c>
    </row>
    <row r="362" spans="1:2">
      <c r="A362" s="2">
        <v>-0.11717690758329447</v>
      </c>
      <c r="B362" s="2">
        <v>2</v>
      </c>
    </row>
    <row r="363" spans="1:2">
      <c r="A363" s="2">
        <v>-6.7928047125317192E-2</v>
      </c>
      <c r="B363" s="2">
        <v>3</v>
      </c>
    </row>
    <row r="364" spans="1:2">
      <c r="A364" s="2">
        <v>0.10665178783556506</v>
      </c>
      <c r="B364" s="2">
        <v>4</v>
      </c>
    </row>
    <row r="365" spans="1:2">
      <c r="A365" s="2">
        <v>-2.8428050799065296E-2</v>
      </c>
      <c r="B365" s="2">
        <v>5</v>
      </c>
    </row>
    <row r="366" spans="1:2">
      <c r="A366" s="2">
        <v>-6.9129568933423258E-2</v>
      </c>
      <c r="B366" s="2">
        <v>6</v>
      </c>
    </row>
    <row r="367" spans="1:2">
      <c r="A367" s="2">
        <v>-6.5855377033112283E-2</v>
      </c>
      <c r="B367" s="2">
        <v>7</v>
      </c>
    </row>
    <row r="368" spans="1:2">
      <c r="A368" s="2">
        <v>1.3830547842072605E-2</v>
      </c>
      <c r="B368" s="2">
        <v>8</v>
      </c>
    </row>
    <row r="369" spans="1:12">
      <c r="A369" s="2">
        <v>5.1269746206376254E-2</v>
      </c>
      <c r="B369" s="2">
        <v>9</v>
      </c>
    </row>
    <row r="370" spans="1:12">
      <c r="A370" s="2">
        <v>2.0752891824231234E-2</v>
      </c>
      <c r="B370" s="2">
        <v>10</v>
      </c>
    </row>
    <row r="371" spans="1:12">
      <c r="A371" s="2">
        <v>-5.5340125488356762E-3</v>
      </c>
      <c r="B371" s="2">
        <v>11</v>
      </c>
    </row>
    <row r="372" spans="1:12">
      <c r="A372" s="2">
        <v>1.4612250048244846E-2</v>
      </c>
      <c r="B372" s="2">
        <v>12</v>
      </c>
    </row>
    <row r="373" spans="1:12">
      <c r="A373" s="2">
        <v>8.4088477135246364E-2</v>
      </c>
      <c r="B373" s="2">
        <v>13</v>
      </c>
    </row>
    <row r="374" spans="1:12">
      <c r="A374" s="2">
        <v>6.1331588039923446E-2</v>
      </c>
      <c r="B374" s="2">
        <v>14</v>
      </c>
    </row>
    <row r="375" spans="1:12">
      <c r="A375" s="2">
        <v>3.6598667457708345E-2</v>
      </c>
      <c r="B375" s="2">
        <v>15</v>
      </c>
    </row>
    <row r="376" spans="1:12">
      <c r="A376" s="2">
        <v>4.3425603494945619E-2</v>
      </c>
      <c r="B376" s="2">
        <v>16</v>
      </c>
    </row>
    <row r="380" spans="1:12">
      <c r="A380" s="16" t="s">
        <v>45</v>
      </c>
      <c r="B380" s="16"/>
      <c r="C380" s="16"/>
      <c r="E380" s="1" t="s">
        <v>46</v>
      </c>
      <c r="F380" s="1" t="s">
        <v>47</v>
      </c>
      <c r="G380" s="1" t="s">
        <v>48</v>
      </c>
      <c r="H380" s="1" t="s">
        <v>49</v>
      </c>
      <c r="L380" s="1" t="s">
        <v>50</v>
      </c>
    </row>
    <row r="381" spans="1:12">
      <c r="A381" s="1"/>
      <c r="B381" s="1" t="s">
        <v>37</v>
      </c>
      <c r="C381" s="1" t="s">
        <v>38</v>
      </c>
      <c r="E381" s="2">
        <v>2.145</v>
      </c>
      <c r="F381" s="2">
        <f>SUM(D300*D300, D301*D301,D302*D302,D303*D303,D304*D304,D305*D305,D306*D306,D307*D307,D308*D308,D309*D309,D310*D310,D311*D311,D312*D312,D313*D313,D314*D314,D315*D315)</f>
        <v>6.3442715367869287E-2</v>
      </c>
      <c r="G381" s="2">
        <f>SUM(C300:C315)/16</f>
        <v>-4.0881922552058665</v>
      </c>
      <c r="H381" s="2">
        <f>SUM(C300*C300,C301*C301,C302*C302,C303*C303,C304*C304,C305*C305,C306*C306,C307*C307,C308*C308,C309*C309,C310*C310,C311*C311,C312*C312,C313*C313,C314*C314,C315*C315)-16*G381*G381</f>
        <v>3.4529726710671866</v>
      </c>
      <c r="L381" s="2">
        <f t="shared" ref="L381:L396" si="37">(C300-$G$381)^2</f>
        <v>0.21960130317129195</v>
      </c>
    </row>
    <row r="382" spans="1:12">
      <c r="A382" s="1" t="s">
        <v>51</v>
      </c>
      <c r="B382" s="2">
        <f>$C$319+$E$381*SQRT(($F$381/14)*(1/$H$381))</f>
        <v>3140.1777065431634</v>
      </c>
      <c r="C382" s="2">
        <f>$D$319+$E$381*SQRT(($F$381/(16*14))*(($G$381^2)/$H$381))</f>
        <v>-5.3403801780151552</v>
      </c>
      <c r="L382" s="2">
        <f t="shared" si="37"/>
        <v>3.7150501020095518E-2</v>
      </c>
    </row>
    <row r="383" spans="1:12">
      <c r="A383" s="1" t="s">
        <v>52</v>
      </c>
      <c r="B383" s="2">
        <f>$C$319-$E$381*SQRT(($F$381/14)*(1/$H$381))</f>
        <v>3140.0222934568365</v>
      </c>
      <c r="C383" s="2">
        <f>$D$319-$E$381*SQRT(($F$381/(16*4))*(($G$381^2)/$H$381))</f>
        <v>-5.5683808817929341</v>
      </c>
      <c r="E383" s="1" t="s">
        <v>53</v>
      </c>
      <c r="F383" s="1" t="s">
        <v>54</v>
      </c>
      <c r="L383" s="2">
        <f>(C302-$G$381)^2</f>
        <v>0.23476370821608247</v>
      </c>
    </row>
    <row r="384" spans="1:12">
      <c r="E384" s="2">
        <f>SUM(L381:L396)</f>
        <v>3.4529726710670574</v>
      </c>
      <c r="F384" s="2">
        <f>($E$384 - $F$381)/$E$384</f>
        <v>0.98162663843259912</v>
      </c>
      <c r="L384" s="2">
        <f t="shared" si="37"/>
        <v>0.94695094076444031</v>
      </c>
    </row>
    <row r="385" spans="1:12">
      <c r="A385" s="16" t="s">
        <v>55</v>
      </c>
      <c r="B385" s="16"/>
      <c r="C385" s="16"/>
      <c r="L385" s="2">
        <f t="shared" si="37"/>
        <v>0.25365817169990434</v>
      </c>
    </row>
    <row r="386" spans="1:12">
      <c r="A386" s="1" t="s">
        <v>42</v>
      </c>
      <c r="B386" s="1" t="s">
        <v>11</v>
      </c>
      <c r="C386" s="1" t="s">
        <v>10</v>
      </c>
      <c r="L386" s="2">
        <f t="shared" si="37"/>
        <v>6.7020287708697654E-2</v>
      </c>
    </row>
    <row r="387" spans="1:12">
      <c r="A387" s="2">
        <f>B300*$C$319+$D$319</f>
        <v>-4.4777700000000005</v>
      </c>
      <c r="B387" s="2">
        <f>$A387-$E$381*SQRT(($F$381/14)*(1 + 1/16+((B299-$G$381)^2)/$H$381))</f>
        <v>-4.8285881442043816</v>
      </c>
      <c r="C387" s="2">
        <f>$A387+$E$381*SQRT(($F$381/14)*(1 + 1/16+((C299-$G$381)^2)/$H$381))</f>
        <v>-4.1269518557956193</v>
      </c>
      <c r="L387" s="2">
        <f t="shared" si="37"/>
        <v>9.9425880270746628E-2</v>
      </c>
    </row>
    <row r="388" spans="1:12">
      <c r="A388" s="2">
        <f t="shared" ref="A388:A402" si="38">B301*$C$319+$D$319</f>
        <v>-4.1637599999999999</v>
      </c>
      <c r="B388" s="2">
        <f t="shared" ref="B388:B402" si="39">$A388-$E$381*SQRT(($F$381/14)*(1 + 1/16+((B300-$G$381)^2)/$H$381))</f>
        <v>-4.5145992542205526</v>
      </c>
      <c r="C388" s="2">
        <f t="shared" ref="C388:C402" si="40">$A388+$E$381*SQRT(($F$381/14)*(1 + 1/16+((C300-$G$381)^2)/$H$381))</f>
        <v>-4.0105305629762018</v>
      </c>
      <c r="L388" s="2">
        <f t="shared" si="37"/>
        <v>0.46303704959218905</v>
      </c>
    </row>
    <row r="389" spans="1:12">
      <c r="A389" s="2">
        <f t="shared" si="38"/>
        <v>-3.5357400000000005</v>
      </c>
      <c r="B389" s="2">
        <f t="shared" si="39"/>
        <v>-3.8865862909545652</v>
      </c>
      <c r="C389" s="2">
        <f t="shared" si="40"/>
        <v>-3.3861486685595095</v>
      </c>
      <c r="L389" s="2">
        <f t="shared" si="37"/>
        <v>0.30880197547680222</v>
      </c>
    </row>
    <row r="390" spans="1:12">
      <c r="A390" s="2">
        <f t="shared" si="38"/>
        <v>-3.2217300000000004</v>
      </c>
      <c r="B390" s="2">
        <f t="shared" si="39"/>
        <v>-3.5725903645155106</v>
      </c>
      <c r="C390" s="2">
        <f t="shared" si="40"/>
        <v>-3.0682021014770262</v>
      </c>
      <c r="L390" s="2">
        <f t="shared" si="37"/>
        <v>0.11879757267709837</v>
      </c>
    </row>
    <row r="391" spans="1:12">
      <c r="A391" s="2">
        <f t="shared" si="38"/>
        <v>-4.563409090909091</v>
      </c>
      <c r="B391" s="2">
        <f t="shared" si="39"/>
        <v>-4.9142764922515303</v>
      </c>
      <c r="C391" s="2">
        <f t="shared" si="40"/>
        <v>-4.3964623309227191</v>
      </c>
      <c r="L391" s="2">
        <f t="shared" si="37"/>
        <v>1.2574295394181329E-2</v>
      </c>
    </row>
    <row r="392" spans="1:12">
      <c r="A392" s="2">
        <f t="shared" si="38"/>
        <v>-4.2779454545454545</v>
      </c>
      <c r="B392" s="2">
        <f t="shared" si="39"/>
        <v>-4.6287827896621074</v>
      </c>
      <c r="C392" s="2">
        <f t="shared" si="40"/>
        <v>-4.1240464415753593</v>
      </c>
      <c r="L392" s="2">
        <f t="shared" si="37"/>
        <v>0.1397470611964417</v>
      </c>
    </row>
    <row r="393" spans="1:12">
      <c r="A393" s="2">
        <f t="shared" si="38"/>
        <v>-3.7070181818181824</v>
      </c>
      <c r="B393" s="2">
        <f t="shared" si="39"/>
        <v>-4.0578619139567955</v>
      </c>
      <c r="C393" s="2">
        <f t="shared" si="40"/>
        <v>-3.5568252080154084</v>
      </c>
      <c r="L393" s="2">
        <f t="shared" si="37"/>
        <v>0.33021192976406294</v>
      </c>
    </row>
    <row r="394" spans="1:12">
      <c r="A394" s="2">
        <f t="shared" si="38"/>
        <v>-3.421554545454546</v>
      </c>
      <c r="B394" s="2">
        <f t="shared" si="39"/>
        <v>-3.7724110717138752</v>
      </c>
      <c r="C394" s="2">
        <f t="shared" si="40"/>
        <v>-3.2707115665285134</v>
      </c>
      <c r="L394" s="2">
        <f t="shared" si="37"/>
        <v>0.13920713819234778</v>
      </c>
    </row>
    <row r="395" spans="1:12">
      <c r="A395" s="2">
        <f t="shared" si="38"/>
        <v>-4.6951615384615391</v>
      </c>
      <c r="B395" s="2">
        <f t="shared" si="39"/>
        <v>-5.0460244618196217</v>
      </c>
      <c r="C395" s="2">
        <f t="shared" si="40"/>
        <v>-4.5372083805131256</v>
      </c>
      <c r="L395" s="2">
        <f t="shared" si="37"/>
        <v>2.5753661540950171E-3</v>
      </c>
    </row>
    <row r="396" spans="1:12">
      <c r="A396" s="2">
        <f t="shared" si="38"/>
        <v>-4.453615384615385</v>
      </c>
      <c r="B396" s="2">
        <f t="shared" si="39"/>
        <v>-4.8044497672689976</v>
      </c>
      <c r="C396" s="2">
        <f t="shared" si="40"/>
        <v>-4.2986383495383356</v>
      </c>
      <c r="L396" s="2">
        <f t="shared" si="37"/>
        <v>7.944948976858085E-2</v>
      </c>
    </row>
    <row r="397" spans="1:12">
      <c r="A397" s="2">
        <f t="shared" si="38"/>
        <v>-3.9705230769230773</v>
      </c>
      <c r="B397" s="2">
        <f t="shared" si="39"/>
        <v>-4.3213628724297619</v>
      </c>
      <c r="C397" s="2">
        <f t="shared" si="40"/>
        <v>-3.8192928666004016</v>
      </c>
    </row>
    <row r="398" spans="1:12">
      <c r="A398" s="2">
        <f t="shared" si="38"/>
        <v>-3.7289769230769236</v>
      </c>
      <c r="B398" s="2">
        <f t="shared" si="39"/>
        <v>-4.079827544344738</v>
      </c>
      <c r="C398" s="2">
        <f t="shared" si="40"/>
        <v>-3.5798824303169594</v>
      </c>
    </row>
    <row r="399" spans="1:12">
      <c r="A399" s="2">
        <f t="shared" si="38"/>
        <v>-4.7469214285714294</v>
      </c>
      <c r="B399" s="2">
        <f t="shared" si="39"/>
        <v>-5.0977774627472998</v>
      </c>
      <c r="C399" s="2">
        <f t="shared" si="40"/>
        <v>-4.5952735602900736</v>
      </c>
    </row>
    <row r="400" spans="1:12">
      <c r="A400" s="2">
        <f t="shared" si="38"/>
        <v>-4.5226285714285721</v>
      </c>
      <c r="B400" s="2">
        <f t="shared" si="39"/>
        <v>-4.8734617941874827</v>
      </c>
      <c r="C400" s="2">
        <f t="shared" si="40"/>
        <v>-4.3672350024660425</v>
      </c>
    </row>
    <row r="401" spans="1:3">
      <c r="A401" s="2">
        <f t="shared" si="38"/>
        <v>-4.0740428571428575</v>
      </c>
      <c r="B401" s="2">
        <f t="shared" si="39"/>
        <v>-4.4248811061182227</v>
      </c>
      <c r="C401" s="2">
        <f t="shared" si="40"/>
        <v>-3.9224057385554048</v>
      </c>
    </row>
    <row r="402" spans="1:3">
      <c r="A402" s="2">
        <f t="shared" si="38"/>
        <v>-3.8497500000000002</v>
      </c>
      <c r="B402" s="2">
        <f t="shared" si="39"/>
        <v>-4.2005983014556865</v>
      </c>
      <c r="C402" s="2">
        <f t="shared" si="40"/>
        <v>-3.7008581225572601</v>
      </c>
    </row>
  </sheetData>
  <sortState xmlns:xlrd2="http://schemas.microsoft.com/office/spreadsheetml/2017/richdata2" ref="A323:A338">
    <sortCondition ref="A323:A338"/>
  </sortState>
  <mergeCells count="8">
    <mergeCell ref="A380:C380"/>
    <mergeCell ref="A385:C385"/>
    <mergeCell ref="A274:C274"/>
    <mergeCell ref="A297:D297"/>
    <mergeCell ref="C317:D317"/>
    <mergeCell ref="A321:C321"/>
    <mergeCell ref="A340:B340"/>
    <mergeCell ref="A359:B3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A74-0D5B-44FB-A06F-984516E64987}">
  <dimension ref="A1:L402"/>
  <sheetViews>
    <sheetView topLeftCell="A303" workbookViewId="0">
      <selection activeCell="D264" sqref="D264"/>
    </sheetView>
  </sheetViews>
  <sheetFormatPr defaultColWidth="9.140625" defaultRowHeight="14.45"/>
  <cols>
    <col min="1" max="1" width="29.140625" style="2" customWidth="1"/>
    <col min="2" max="2" width="17.28515625" style="2" customWidth="1"/>
    <col min="3" max="3" width="17" style="5" customWidth="1"/>
    <col min="4" max="4" width="28" style="2" customWidth="1"/>
    <col min="5" max="5" width="16.85546875" style="2" customWidth="1"/>
    <col min="6" max="6" width="25.140625" style="2" customWidth="1"/>
    <col min="7" max="7" width="9.140625" style="2"/>
    <col min="8" max="8" width="21" style="2" customWidth="1"/>
    <col min="9" max="9" width="15.7109375" style="2" customWidth="1"/>
    <col min="10" max="10" width="15.85546875" style="2" customWidth="1"/>
    <col min="11" max="11" width="14.5703125" style="2" customWidth="1"/>
    <col min="12" max="12" width="14.140625" style="2" customWidth="1"/>
    <col min="13" max="16384" width="9.140625" style="2"/>
  </cols>
  <sheetData>
    <row r="1" spans="1:11">
      <c r="A1" s="1" t="s">
        <v>0</v>
      </c>
      <c r="C1" s="3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K1" s="1"/>
    </row>
    <row r="2" spans="1:11">
      <c r="A2" s="11">
        <v>1.0564526875348E-2</v>
      </c>
      <c r="C2" s="5">
        <f>AVERAGE(A2:A16)</f>
        <v>1.0495500618207265E-2</v>
      </c>
      <c r="D2" s="2">
        <f>_xlfn.VAR.S(A2:A16)</f>
        <v>3.6934731558504494E-9</v>
      </c>
      <c r="E2" s="2">
        <f>SQRT(D2)/C2</f>
        <v>5.7904766532320545E-3</v>
      </c>
      <c r="H2" s="11">
        <v>1.0410201864741E-2</v>
      </c>
      <c r="I2" s="2">
        <f>1/15 - 0.5/15</f>
        <v>3.3333333333333333E-2</v>
      </c>
      <c r="J2" s="2">
        <f t="shared" ref="J2:J16" si="0">4.91*(I2^0.14-(1-I2)^0.14)</f>
        <v>-1.836858897688687</v>
      </c>
    </row>
    <row r="3" spans="1:11">
      <c r="A3" s="11">
        <v>1.0411292892817E-2</v>
      </c>
      <c r="H3" s="11">
        <v>1.0411292892817E-2</v>
      </c>
      <c r="I3" s="2">
        <f>I2+1/15</f>
        <v>0.1</v>
      </c>
      <c r="J3" s="2">
        <f t="shared" si="0"/>
        <v>-1.2811261510381207</v>
      </c>
    </row>
    <row r="4" spans="1:11">
      <c r="A4" s="11">
        <v>1.0471679092465E-2</v>
      </c>
      <c r="C4" s="3" t="s">
        <v>7</v>
      </c>
      <c r="E4" s="1" t="s">
        <v>8</v>
      </c>
      <c r="H4" s="11">
        <v>1.0442104773880001E-2</v>
      </c>
      <c r="I4" s="2">
        <f t="shared" ref="I4:I16" si="1">I3+1/15</f>
        <v>0.16666666666666669</v>
      </c>
      <c r="J4" s="2">
        <f t="shared" si="0"/>
        <v>-0.96558119772402384</v>
      </c>
    </row>
    <row r="5" spans="1:11">
      <c r="A5" s="11">
        <v>1.0481529046626E-2</v>
      </c>
      <c r="C5" s="5">
        <f>MEDIAN(A2:A16)</f>
        <v>1.0481529046626E-2</v>
      </c>
      <c r="E5" s="2">
        <v>2.145</v>
      </c>
      <c r="H5" s="11">
        <v>1.0463883418809E-2</v>
      </c>
      <c r="I5" s="2">
        <f t="shared" si="1"/>
        <v>0.23333333333333334</v>
      </c>
      <c r="J5" s="2">
        <f t="shared" si="0"/>
        <v>-0.72575040815577163</v>
      </c>
    </row>
    <row r="6" spans="1:11">
      <c r="A6" s="11">
        <v>1.0506490348009E-2</v>
      </c>
      <c r="H6" s="11">
        <v>1.0465223784001E-2</v>
      </c>
      <c r="I6" s="2">
        <f t="shared" si="1"/>
        <v>0.3</v>
      </c>
      <c r="J6" s="2">
        <f t="shared" si="0"/>
        <v>-0.52246305252576009</v>
      </c>
    </row>
    <row r="7" spans="1:11">
      <c r="A7" s="11">
        <v>1.0442104773880001E-2</v>
      </c>
      <c r="C7" s="3"/>
      <c r="D7" s="1" t="s">
        <v>9</v>
      </c>
      <c r="H7" s="11">
        <v>1.0469793518288001E-2</v>
      </c>
      <c r="I7" s="2">
        <f t="shared" si="1"/>
        <v>0.36666666666666664</v>
      </c>
      <c r="J7" s="2">
        <f t="shared" si="0"/>
        <v>-0.33927638280750583</v>
      </c>
    </row>
    <row r="8" spans="1:11">
      <c r="A8" s="11">
        <v>1.0465223784001E-2</v>
      </c>
      <c r="C8" s="3" t="s">
        <v>10</v>
      </c>
      <c r="D8" s="2">
        <f>C2+E5*SQRT(D2)/(SQRT(15))</f>
        <v>1.0529159457885124E-2</v>
      </c>
      <c r="H8" s="11">
        <v>1.0471679092465E-2</v>
      </c>
      <c r="I8" s="2">
        <f t="shared" si="1"/>
        <v>0.43333333333333329</v>
      </c>
      <c r="J8" s="2">
        <f t="shared" si="0"/>
        <v>-0.16715058832373922</v>
      </c>
    </row>
    <row r="9" spans="1:11">
      <c r="A9" s="11">
        <v>1.0410201864741E-2</v>
      </c>
      <c r="C9" s="3" t="s">
        <v>11</v>
      </c>
      <c r="D9" s="2">
        <f>C2-E5*SQRT(D2)/(SQRT(15))</f>
        <v>1.0461841778529405E-2</v>
      </c>
      <c r="H9" s="11">
        <v>1.0481529046626E-2</v>
      </c>
      <c r="I9" s="2">
        <f t="shared" si="1"/>
        <v>0.49999999999999994</v>
      </c>
      <c r="J9" s="2">
        <f t="shared" si="0"/>
        <v>0</v>
      </c>
    </row>
    <row r="10" spans="1:11">
      <c r="A10" s="11">
        <v>1.049598355445E-2</v>
      </c>
      <c r="H10" s="11">
        <v>1.0488187977066001E-2</v>
      </c>
      <c r="I10" s="2">
        <f t="shared" si="1"/>
        <v>0.56666666666666665</v>
      </c>
      <c r="J10" s="2">
        <f t="shared" si="0"/>
        <v>0.16715058832373922</v>
      </c>
    </row>
    <row r="11" spans="1:11">
      <c r="A11" s="11">
        <v>1.0488187977066001E-2</v>
      </c>
      <c r="H11" s="11">
        <v>1.049598355445E-2</v>
      </c>
      <c r="I11" s="2">
        <f t="shared" si="1"/>
        <v>0.6333333333333333</v>
      </c>
      <c r="J11" s="2">
        <f t="shared" si="0"/>
        <v>0.33927638280750583</v>
      </c>
    </row>
    <row r="12" spans="1:11">
      <c r="A12" s="11">
        <v>1.0562917002525001E-2</v>
      </c>
      <c r="H12" s="11">
        <v>1.0506490348009E-2</v>
      </c>
      <c r="I12" s="2">
        <f t="shared" si="1"/>
        <v>0.7</v>
      </c>
      <c r="J12" s="2">
        <f t="shared" si="0"/>
        <v>0.52246305252576009</v>
      </c>
    </row>
    <row r="13" spans="1:11">
      <c r="A13" s="11">
        <v>1.0469793518288001E-2</v>
      </c>
      <c r="H13" s="11">
        <v>1.0562917002525001E-2</v>
      </c>
      <c r="I13" s="2">
        <f t="shared" si="1"/>
        <v>0.76666666666666661</v>
      </c>
      <c r="J13" s="2">
        <f t="shared" si="0"/>
        <v>0.72575040815577163</v>
      </c>
    </row>
    <row r="14" spans="1:11">
      <c r="A14" s="11">
        <v>1.0606361124314E-2</v>
      </c>
      <c r="H14" s="11">
        <v>1.0564526875348E-2</v>
      </c>
      <c r="I14" s="2">
        <f t="shared" si="1"/>
        <v>0.83333333333333326</v>
      </c>
      <c r="J14" s="2">
        <f t="shared" si="0"/>
        <v>0.96558119772402329</v>
      </c>
    </row>
    <row r="15" spans="1:11">
      <c r="A15" s="11">
        <v>1.0463883418809E-2</v>
      </c>
      <c r="H15" s="11">
        <v>1.059233399977E-2</v>
      </c>
      <c r="I15" s="2">
        <f t="shared" si="1"/>
        <v>0.89999999999999991</v>
      </c>
      <c r="J15" s="2">
        <f t="shared" si="0"/>
        <v>1.2811261510381207</v>
      </c>
    </row>
    <row r="16" spans="1:11">
      <c r="A16" s="11">
        <v>1.059233399977E-2</v>
      </c>
      <c r="H16" s="11">
        <v>1.0606361124314E-2</v>
      </c>
      <c r="I16" s="2">
        <f t="shared" si="1"/>
        <v>0.96666666666666656</v>
      </c>
      <c r="J16" s="2">
        <f t="shared" si="0"/>
        <v>1.8368588976886859</v>
      </c>
    </row>
    <row r="17" spans="1:10" s="6" customFormat="1" ht="3.75" customHeight="1">
      <c r="C17" s="7"/>
    </row>
    <row r="18" spans="1:10">
      <c r="A18" s="1" t="s">
        <v>13</v>
      </c>
      <c r="C18" s="3" t="s">
        <v>1</v>
      </c>
      <c r="D18" s="1" t="s">
        <v>2</v>
      </c>
      <c r="E18" s="1" t="s">
        <v>3</v>
      </c>
      <c r="F18" s="1"/>
      <c r="G18" s="1"/>
      <c r="H18" s="1" t="s">
        <v>4</v>
      </c>
      <c r="I18" s="1" t="s">
        <v>5</v>
      </c>
      <c r="J18" s="1" t="s">
        <v>6</v>
      </c>
    </row>
    <row r="19" spans="1:10">
      <c r="A19" s="8">
        <v>1.3907503340134001E-2</v>
      </c>
      <c r="C19" s="5">
        <f>AVERAGE(A19:A33)</f>
        <v>1.3829698865016199E-2</v>
      </c>
      <c r="D19" s="2">
        <f>_xlfn.VAR.S(A19:A33)</f>
        <v>1.1470801911212157E-8</v>
      </c>
      <c r="E19" s="2">
        <f>SQRT(D19)/C19</f>
        <v>7.7443356273033887E-3</v>
      </c>
      <c r="H19" s="8">
        <v>1.3596245151938999E-2</v>
      </c>
      <c r="I19" s="2">
        <f>1/15 - 0.5/15</f>
        <v>3.3333333333333333E-2</v>
      </c>
      <c r="J19" s="2">
        <f t="shared" ref="J19:J33" si="2">4.91*(I19^0.14-(1-I19)^0.14)</f>
        <v>-1.836858897688687</v>
      </c>
    </row>
    <row r="20" spans="1:10">
      <c r="A20" s="8">
        <v>1.3944907908945E-2</v>
      </c>
      <c r="H20" s="8">
        <v>1.3702591398253999E-2</v>
      </c>
      <c r="I20" s="2">
        <f>I19+1/15</f>
        <v>0.1</v>
      </c>
      <c r="J20" s="2">
        <f t="shared" si="2"/>
        <v>-1.2811261510381207</v>
      </c>
    </row>
    <row r="21" spans="1:10">
      <c r="A21" s="8">
        <v>1.3723753386758001E-2</v>
      </c>
      <c r="C21" s="3" t="s">
        <v>7</v>
      </c>
      <c r="E21" s="1" t="s">
        <v>8</v>
      </c>
      <c r="H21" s="8">
        <v>1.3723753386758001E-2</v>
      </c>
      <c r="I21" s="2">
        <f t="shared" ref="I21:I33" si="3">I20+1/15</f>
        <v>0.16666666666666669</v>
      </c>
      <c r="J21" s="2">
        <f t="shared" si="2"/>
        <v>-0.96558119772402384</v>
      </c>
    </row>
    <row r="22" spans="1:10">
      <c r="A22" s="8">
        <v>1.3596245151938999E-2</v>
      </c>
      <c r="C22" s="5">
        <f>MEDIAN(A19:A33)</f>
        <v>1.3891109740642E-2</v>
      </c>
      <c r="E22" s="2">
        <v>2.145</v>
      </c>
      <c r="H22" s="8">
        <v>1.3743209193934999E-2</v>
      </c>
      <c r="I22" s="2">
        <f t="shared" si="3"/>
        <v>0.23333333333333334</v>
      </c>
      <c r="J22" s="2">
        <f t="shared" si="2"/>
        <v>-0.72575040815577163</v>
      </c>
    </row>
    <row r="23" spans="1:10" ht="14.25" customHeight="1">
      <c r="A23" s="8">
        <v>1.3767111054314E-2</v>
      </c>
      <c r="H23" s="8">
        <v>1.3767111054314E-2</v>
      </c>
      <c r="I23" s="2">
        <f t="shared" si="3"/>
        <v>0.3</v>
      </c>
      <c r="J23" s="2">
        <f t="shared" si="2"/>
        <v>-0.52246305252576009</v>
      </c>
    </row>
    <row r="24" spans="1:10">
      <c r="A24" s="8">
        <v>1.392508461212E-2</v>
      </c>
      <c r="C24" s="3"/>
      <c r="D24" s="1" t="s">
        <v>9</v>
      </c>
      <c r="H24" s="8">
        <v>1.3782863681224999E-2</v>
      </c>
      <c r="I24" s="2">
        <f t="shared" si="3"/>
        <v>0.36666666666666664</v>
      </c>
      <c r="J24" s="2">
        <f t="shared" si="2"/>
        <v>-0.33927638280750583</v>
      </c>
    </row>
    <row r="25" spans="1:10">
      <c r="A25" s="8">
        <v>1.3903180639964E-2</v>
      </c>
      <c r="C25" s="3" t="s">
        <v>10</v>
      </c>
      <c r="D25" s="2">
        <f>C19+E22*SQRT(D19)/(SQRT(15))</f>
        <v>1.3889015780177354E-2</v>
      </c>
      <c r="H25" s="8">
        <v>1.3791034332399E-2</v>
      </c>
      <c r="I25" s="2">
        <f t="shared" si="3"/>
        <v>0.43333333333333329</v>
      </c>
      <c r="J25" s="2">
        <f t="shared" si="2"/>
        <v>-0.16715058832373922</v>
      </c>
    </row>
    <row r="26" spans="1:10">
      <c r="A26" s="8">
        <v>1.3912016989949001E-2</v>
      </c>
      <c r="C26" s="3" t="s">
        <v>11</v>
      </c>
      <c r="D26" s="2">
        <f>C19-E22*SQRT(D19)/(SQRT(15))</f>
        <v>1.3770381949855044E-2</v>
      </c>
      <c r="H26" s="8">
        <v>1.3891109740642E-2</v>
      </c>
      <c r="I26" s="2">
        <f t="shared" si="3"/>
        <v>0.49999999999999994</v>
      </c>
      <c r="J26" s="2">
        <f t="shared" si="2"/>
        <v>0</v>
      </c>
    </row>
    <row r="27" spans="1:10">
      <c r="A27" s="8">
        <v>1.3918879699360001E-2</v>
      </c>
      <c r="H27" s="8">
        <v>1.3903180639964E-2</v>
      </c>
      <c r="I27" s="2">
        <f t="shared" si="3"/>
        <v>0.56666666666666665</v>
      </c>
      <c r="J27" s="2">
        <f t="shared" si="2"/>
        <v>0.16715058832373922</v>
      </c>
    </row>
    <row r="28" spans="1:10" ht="16.5" customHeight="1">
      <c r="A28" s="8">
        <v>1.3935991845305E-2</v>
      </c>
      <c r="H28" s="8">
        <v>1.3907503340134001E-2</v>
      </c>
      <c r="I28" s="2">
        <f t="shared" si="3"/>
        <v>0.6333333333333333</v>
      </c>
      <c r="J28" s="2">
        <f t="shared" si="2"/>
        <v>0.33927638280750583</v>
      </c>
    </row>
    <row r="29" spans="1:10" ht="16.5" customHeight="1">
      <c r="A29" s="8">
        <v>1.3891109740642E-2</v>
      </c>
      <c r="H29" s="8">
        <v>1.3912016989949001E-2</v>
      </c>
      <c r="I29" s="2">
        <f t="shared" si="3"/>
        <v>0.7</v>
      </c>
      <c r="J29" s="2">
        <f t="shared" si="2"/>
        <v>0.52246305252576009</v>
      </c>
    </row>
    <row r="30" spans="1:10" ht="16.5" customHeight="1">
      <c r="A30" s="8">
        <v>1.3791034332399E-2</v>
      </c>
      <c r="H30" s="8">
        <v>1.3918879699360001E-2</v>
      </c>
      <c r="I30" s="2">
        <f t="shared" si="3"/>
        <v>0.76666666666666661</v>
      </c>
      <c r="J30" s="2">
        <f t="shared" si="2"/>
        <v>0.72575040815577163</v>
      </c>
    </row>
    <row r="31" spans="1:10" ht="16.5" customHeight="1">
      <c r="A31" s="8">
        <v>1.3743209193934999E-2</v>
      </c>
      <c r="H31" s="8">
        <v>1.392508461212E-2</v>
      </c>
      <c r="I31" s="2">
        <f t="shared" si="3"/>
        <v>0.83333333333333326</v>
      </c>
      <c r="J31" s="2">
        <f t="shared" si="2"/>
        <v>0.96558119772402329</v>
      </c>
    </row>
    <row r="32" spans="1:10" ht="16.5" customHeight="1">
      <c r="A32" s="8">
        <v>1.3782863681224999E-2</v>
      </c>
      <c r="H32" s="8">
        <v>1.3935991845305E-2</v>
      </c>
      <c r="I32" s="2">
        <f t="shared" si="3"/>
        <v>0.89999999999999991</v>
      </c>
      <c r="J32" s="2">
        <f t="shared" si="2"/>
        <v>1.2811261510381207</v>
      </c>
    </row>
    <row r="33" spans="1:10" ht="16.5" customHeight="1">
      <c r="A33" s="8">
        <v>1.3702591398253999E-2</v>
      </c>
      <c r="H33" s="8">
        <v>1.3944907908945E-2</v>
      </c>
      <c r="I33" s="2">
        <f t="shared" si="3"/>
        <v>0.96666666666666656</v>
      </c>
      <c r="J33" s="2">
        <f t="shared" si="2"/>
        <v>1.8368588976886859</v>
      </c>
    </row>
    <row r="34" spans="1:10" s="6" customFormat="1" ht="3.75" customHeight="1">
      <c r="C34" s="7"/>
    </row>
    <row r="35" spans="1:10">
      <c r="A35" s="1" t="s">
        <v>17</v>
      </c>
      <c r="C35" s="3" t="s">
        <v>1</v>
      </c>
      <c r="D35" s="1" t="s">
        <v>2</v>
      </c>
      <c r="E35" s="1" t="s">
        <v>3</v>
      </c>
      <c r="F35" s="1"/>
      <c r="H35" s="1" t="s">
        <v>4</v>
      </c>
      <c r="I35" s="1" t="s">
        <v>5</v>
      </c>
      <c r="J35" s="1" t="s">
        <v>6</v>
      </c>
    </row>
    <row r="36" spans="1:10">
      <c r="A36" s="9">
        <v>2.7420582619959999E-2</v>
      </c>
      <c r="C36" s="5">
        <f>AVERAGE(A36:A50)</f>
        <v>2.7223681335640272E-2</v>
      </c>
      <c r="D36" s="2">
        <f>_xlfn.VAR.S(A36:A50)</f>
        <v>1.6454255753761727E-7</v>
      </c>
      <c r="E36" s="2">
        <f>SQRT(D36)/C36</f>
        <v>1.4900205878799018E-2</v>
      </c>
      <c r="H36" s="9">
        <v>2.6511283437939001E-2</v>
      </c>
      <c r="I36" s="2">
        <f>1/15 - 0.5/15</f>
        <v>3.3333333333333333E-2</v>
      </c>
      <c r="J36" s="2">
        <f t="shared" ref="J36:J50" si="4">4.91*(I36^0.14-(1-I36)^0.14)</f>
        <v>-1.836858897688687</v>
      </c>
    </row>
    <row r="37" spans="1:10">
      <c r="A37" s="9">
        <v>2.6926961688386999E-2</v>
      </c>
      <c r="H37" s="9">
        <v>2.6617144423057001E-2</v>
      </c>
      <c r="I37" s="2">
        <f>I36+1/15</f>
        <v>0.1</v>
      </c>
      <c r="J37" s="2">
        <f t="shared" si="4"/>
        <v>-1.2811261510381207</v>
      </c>
    </row>
    <row r="38" spans="1:10">
      <c r="A38" s="9">
        <v>2.7721689813447001E-2</v>
      </c>
      <c r="C38" s="3" t="s">
        <v>7</v>
      </c>
      <c r="E38" s="1" t="s">
        <v>8</v>
      </c>
      <c r="H38" s="9">
        <v>2.6846662407237001E-2</v>
      </c>
      <c r="I38" s="2">
        <f t="shared" ref="I38:I50" si="5">I37+1/15</f>
        <v>0.16666666666666669</v>
      </c>
      <c r="J38" s="2">
        <f t="shared" si="4"/>
        <v>-0.96558119772402384</v>
      </c>
    </row>
    <row r="39" spans="1:10">
      <c r="A39" s="9">
        <v>2.7174174802022E-2</v>
      </c>
      <c r="C39" s="5">
        <f>MEDIAN(A36:A50)</f>
        <v>2.7174174802022E-2</v>
      </c>
      <c r="E39" s="2">
        <v>2.145</v>
      </c>
      <c r="H39" s="9">
        <v>2.6896695021315E-2</v>
      </c>
      <c r="I39" s="2">
        <f t="shared" si="5"/>
        <v>0.23333333333333334</v>
      </c>
      <c r="J39" s="2">
        <f t="shared" si="4"/>
        <v>-0.72575040815577163</v>
      </c>
    </row>
    <row r="40" spans="1:10">
      <c r="A40" s="9">
        <v>2.7632589609979E-2</v>
      </c>
      <c r="H40" s="9">
        <v>2.6926961688386999E-2</v>
      </c>
      <c r="I40" s="2">
        <f t="shared" si="5"/>
        <v>0.3</v>
      </c>
      <c r="J40" s="2">
        <f t="shared" si="4"/>
        <v>-0.52246305252576009</v>
      </c>
    </row>
    <row r="41" spans="1:10">
      <c r="A41" s="9">
        <v>2.7435830534357001E-2</v>
      </c>
      <c r="C41" s="3"/>
      <c r="D41" s="1" t="s">
        <v>9</v>
      </c>
      <c r="H41" s="9">
        <v>2.7118188589047E-2</v>
      </c>
      <c r="I41" s="2">
        <f t="shared" si="5"/>
        <v>0.36666666666666664</v>
      </c>
      <c r="J41" s="2">
        <f t="shared" si="4"/>
        <v>-0.33927638280750583</v>
      </c>
    </row>
    <row r="42" spans="1:10">
      <c r="A42" s="9">
        <v>2.7789156319666001E-2</v>
      </c>
      <c r="C42" s="3" t="s">
        <v>10</v>
      </c>
      <c r="D42" s="2">
        <f>C36+E39*SQRT(D36)/(SQRT(15))</f>
        <v>2.7448338766824509E-2</v>
      </c>
      <c r="H42" s="9">
        <v>2.7118443128808001E-2</v>
      </c>
      <c r="I42" s="2">
        <f t="shared" si="5"/>
        <v>0.43333333333333329</v>
      </c>
      <c r="J42" s="2">
        <f t="shared" si="4"/>
        <v>-0.16715058832373922</v>
      </c>
    </row>
    <row r="43" spans="1:10">
      <c r="A43" s="9">
        <v>2.6846662407237001E-2</v>
      </c>
      <c r="C43" s="3" t="s">
        <v>11</v>
      </c>
      <c r="D43" s="2">
        <f>C36-E39*SQRT(D36)/(SQRT(15))</f>
        <v>2.6999023904456035E-2</v>
      </c>
      <c r="H43" s="9">
        <v>2.7174174802022E-2</v>
      </c>
      <c r="I43" s="2">
        <f t="shared" si="5"/>
        <v>0.49999999999999994</v>
      </c>
      <c r="J43" s="2">
        <f t="shared" si="4"/>
        <v>0</v>
      </c>
    </row>
    <row r="44" spans="1:10">
      <c r="A44" s="9">
        <v>2.7529549859500999E-2</v>
      </c>
      <c r="H44" s="9">
        <v>2.7420582619959999E-2</v>
      </c>
      <c r="I44" s="2">
        <f t="shared" si="5"/>
        <v>0.56666666666666665</v>
      </c>
      <c r="J44" s="2">
        <f t="shared" si="4"/>
        <v>0.16715058832373922</v>
      </c>
    </row>
    <row r="45" spans="1:10">
      <c r="A45" s="9">
        <v>2.6617144423057001E-2</v>
      </c>
      <c r="H45" s="9">
        <v>2.7435830534357001E-2</v>
      </c>
      <c r="I45" s="2">
        <f t="shared" si="5"/>
        <v>0.6333333333333333</v>
      </c>
      <c r="J45" s="2">
        <f t="shared" si="4"/>
        <v>0.33927638280750583</v>
      </c>
    </row>
    <row r="46" spans="1:10">
      <c r="A46" s="9">
        <v>2.6511283437939001E-2</v>
      </c>
      <c r="H46" s="9">
        <v>2.7529549859500999E-2</v>
      </c>
      <c r="I46" s="2">
        <f t="shared" si="5"/>
        <v>0.7</v>
      </c>
      <c r="J46" s="2">
        <f t="shared" si="4"/>
        <v>0.52246305252576009</v>
      </c>
    </row>
    <row r="47" spans="1:10">
      <c r="A47" s="9">
        <v>2.7118188589047E-2</v>
      </c>
      <c r="H47" s="9">
        <v>2.7616267779881999E-2</v>
      </c>
      <c r="I47" s="2">
        <f t="shared" si="5"/>
        <v>0.76666666666666661</v>
      </c>
      <c r="J47" s="2">
        <f t="shared" si="4"/>
        <v>0.72575040815577163</v>
      </c>
    </row>
    <row r="48" spans="1:10">
      <c r="A48" s="9">
        <v>2.6896695021315E-2</v>
      </c>
      <c r="H48" s="9">
        <v>2.7632589609979E-2</v>
      </c>
      <c r="I48" s="2">
        <f t="shared" si="5"/>
        <v>0.83333333333333326</v>
      </c>
      <c r="J48" s="2">
        <f t="shared" si="4"/>
        <v>0.96558119772402329</v>
      </c>
    </row>
    <row r="49" spans="1:10">
      <c r="A49" s="9">
        <v>2.7616267779881999E-2</v>
      </c>
      <c r="H49" s="9">
        <v>2.7721689813447001E-2</v>
      </c>
      <c r="I49" s="2">
        <f t="shared" si="5"/>
        <v>0.89999999999999991</v>
      </c>
      <c r="J49" s="2">
        <f t="shared" si="4"/>
        <v>1.2811261510381207</v>
      </c>
    </row>
    <row r="50" spans="1:10">
      <c r="A50" s="9">
        <v>2.7118443128808001E-2</v>
      </c>
      <c r="H50" s="9">
        <v>2.7789156319666001E-2</v>
      </c>
      <c r="I50" s="2">
        <f t="shared" si="5"/>
        <v>0.96666666666666656</v>
      </c>
      <c r="J50" s="2">
        <f t="shared" si="4"/>
        <v>1.8368588976886859</v>
      </c>
    </row>
    <row r="51" spans="1:10" s="6" customFormat="1" ht="4.5" customHeight="1">
      <c r="C51" s="7"/>
    </row>
    <row r="52" spans="1:10">
      <c r="A52" s="1" t="s">
        <v>19</v>
      </c>
      <c r="C52" s="3" t="s">
        <v>1</v>
      </c>
      <c r="D52" s="1" t="s">
        <v>2</v>
      </c>
      <c r="E52" s="1" t="s">
        <v>3</v>
      </c>
      <c r="F52" s="1"/>
      <c r="H52" s="1" t="s">
        <v>4</v>
      </c>
      <c r="I52" s="1" t="s">
        <v>5</v>
      </c>
      <c r="J52" s="1" t="s">
        <v>6</v>
      </c>
    </row>
    <row r="53" spans="1:10">
      <c r="A53" s="9">
        <v>4.2342712944855997E-2</v>
      </c>
      <c r="C53" s="5">
        <f>AVERAGE(A53:A67)</f>
        <v>4.4375036344121536E-2</v>
      </c>
      <c r="D53" s="2">
        <f>_xlfn.VAR.S(A53:A67)</f>
        <v>1.2187471248138012E-6</v>
      </c>
      <c r="E53" s="2">
        <f>SQRT(D53)/C53</f>
        <v>2.4878149902260019E-2</v>
      </c>
      <c r="H53" s="9">
        <v>4.2342712944855997E-2</v>
      </c>
      <c r="I53" s="2">
        <f>1/15 - 0.5/15</f>
        <v>3.3333333333333333E-2</v>
      </c>
      <c r="J53" s="2">
        <f t="shared" ref="J53:J67" si="6">4.91*(I53^0.14-(1-I53)^0.14)</f>
        <v>-1.836858897688687</v>
      </c>
    </row>
    <row r="54" spans="1:10">
      <c r="A54" s="9">
        <v>4.2714306553897997E-2</v>
      </c>
      <c r="H54" s="9">
        <v>4.2714306553897997E-2</v>
      </c>
      <c r="I54" s="2">
        <f t="shared" ref="I54:I67" si="7">I53+1/15</f>
        <v>0.1</v>
      </c>
      <c r="J54" s="2">
        <f t="shared" si="6"/>
        <v>-1.2811261510381207</v>
      </c>
    </row>
    <row r="55" spans="1:10">
      <c r="A55" s="9">
        <v>4.5370536942896E-2</v>
      </c>
      <c r="C55" s="3" t="s">
        <v>7</v>
      </c>
      <c r="E55" s="1" t="s">
        <v>8</v>
      </c>
      <c r="H55" s="9">
        <v>4.3171747038808002E-2</v>
      </c>
      <c r="I55" s="2">
        <f t="shared" si="7"/>
        <v>0.16666666666666669</v>
      </c>
      <c r="J55" s="2">
        <f t="shared" si="6"/>
        <v>-0.96558119772402384</v>
      </c>
    </row>
    <row r="56" spans="1:10">
      <c r="A56" s="9">
        <v>4.4806309890636997E-2</v>
      </c>
      <c r="C56" s="5">
        <f>MEDIAN(A53:A67)</f>
        <v>4.4623778503071997E-2</v>
      </c>
      <c r="E56" s="2">
        <v>2.145</v>
      </c>
      <c r="H56" s="9">
        <v>4.3219361639726998E-2</v>
      </c>
      <c r="I56" s="2">
        <f t="shared" si="7"/>
        <v>0.23333333333333334</v>
      </c>
      <c r="J56" s="2">
        <f t="shared" si="6"/>
        <v>-0.72575040815577163</v>
      </c>
    </row>
    <row r="57" spans="1:10">
      <c r="A57" s="9">
        <v>4.5013972039176002E-2</v>
      </c>
      <c r="H57" s="9">
        <v>4.4004845510254E-2</v>
      </c>
      <c r="I57" s="2">
        <f t="shared" si="7"/>
        <v>0.3</v>
      </c>
      <c r="J57" s="2">
        <f t="shared" si="6"/>
        <v>-0.52246305252576009</v>
      </c>
    </row>
    <row r="58" spans="1:10">
      <c r="A58" s="9">
        <v>4.4623778503071997E-2</v>
      </c>
      <c r="C58" s="3"/>
      <c r="D58" s="1" t="s">
        <v>9</v>
      </c>
      <c r="H58" s="9">
        <v>4.4218830248813998E-2</v>
      </c>
      <c r="I58" s="2">
        <f t="shared" si="7"/>
        <v>0.36666666666666664</v>
      </c>
      <c r="J58" s="2">
        <f t="shared" si="6"/>
        <v>-0.33927638280750583</v>
      </c>
    </row>
    <row r="59" spans="1:10">
      <c r="A59" s="9">
        <v>4.3219361639726998E-2</v>
      </c>
      <c r="C59" s="3" t="s">
        <v>10</v>
      </c>
      <c r="D59" s="2">
        <f>C53+E56*SQRT(D53)/(SQRT(15))</f>
        <v>4.4986454694622861E-2</v>
      </c>
      <c r="H59" s="9">
        <v>4.4288897423404999E-2</v>
      </c>
      <c r="I59" s="2">
        <f t="shared" si="7"/>
        <v>0.43333333333333329</v>
      </c>
      <c r="J59" s="2">
        <f t="shared" si="6"/>
        <v>-0.16715058832373922</v>
      </c>
    </row>
    <row r="60" spans="1:10">
      <c r="A60" s="9">
        <v>4.4004845510254E-2</v>
      </c>
      <c r="C60" s="3" t="s">
        <v>11</v>
      </c>
      <c r="D60" s="2">
        <f>C53-E56*SQRT(D53)/(SQRT(15))</f>
        <v>4.3763617993620212E-2</v>
      </c>
      <c r="H60" s="9">
        <v>4.4623778503071997E-2</v>
      </c>
      <c r="I60" s="2">
        <f t="shared" si="7"/>
        <v>0.49999999999999994</v>
      </c>
      <c r="J60" s="2">
        <f t="shared" si="6"/>
        <v>0</v>
      </c>
    </row>
    <row r="61" spans="1:10">
      <c r="A61" s="9">
        <v>4.3171747038808002E-2</v>
      </c>
      <c r="H61" s="9">
        <v>4.4806309890636997E-2</v>
      </c>
      <c r="I61" s="2">
        <f t="shared" si="7"/>
        <v>0.56666666666666665</v>
      </c>
      <c r="J61" s="2">
        <f t="shared" si="6"/>
        <v>0.16715058832373922</v>
      </c>
    </row>
    <row r="62" spans="1:10">
      <c r="A62" s="9">
        <v>4.5390459767000998E-2</v>
      </c>
      <c r="H62" s="9">
        <v>4.4946647302027E-2</v>
      </c>
      <c r="I62" s="2">
        <f t="shared" si="7"/>
        <v>0.6333333333333333</v>
      </c>
      <c r="J62" s="2">
        <f t="shared" si="6"/>
        <v>0.33927638280750583</v>
      </c>
    </row>
    <row r="63" spans="1:10">
      <c r="A63" s="9">
        <v>4.6203517608636002E-2</v>
      </c>
      <c r="H63" s="9">
        <v>4.5013972039176002E-2</v>
      </c>
      <c r="I63" s="2">
        <f t="shared" si="7"/>
        <v>0.7</v>
      </c>
      <c r="J63" s="2">
        <f t="shared" si="6"/>
        <v>0.52246305252576009</v>
      </c>
    </row>
    <row r="64" spans="1:10">
      <c r="A64" s="9">
        <v>4.4218830248813998E-2</v>
      </c>
      <c r="H64" s="9">
        <v>4.5309621748615997E-2</v>
      </c>
      <c r="I64" s="2">
        <f t="shared" si="7"/>
        <v>0.76666666666666661</v>
      </c>
      <c r="J64" s="2">
        <f t="shared" si="6"/>
        <v>0.72575040815577163</v>
      </c>
    </row>
    <row r="65" spans="1:10">
      <c r="A65" s="9">
        <v>4.4288897423404999E-2</v>
      </c>
      <c r="H65" s="9">
        <v>4.5370536942896E-2</v>
      </c>
      <c r="I65" s="2">
        <f t="shared" si="7"/>
        <v>0.83333333333333326</v>
      </c>
      <c r="J65" s="2">
        <f t="shared" si="6"/>
        <v>0.96558119772402329</v>
      </c>
    </row>
    <row r="66" spans="1:10">
      <c r="A66" s="9">
        <v>4.5309621748615997E-2</v>
      </c>
      <c r="H66" s="9">
        <v>4.5390459767000998E-2</v>
      </c>
      <c r="I66" s="2">
        <f t="shared" si="7"/>
        <v>0.89999999999999991</v>
      </c>
      <c r="J66" s="2">
        <f t="shared" si="6"/>
        <v>1.2811261510381207</v>
      </c>
    </row>
    <row r="67" spans="1:10">
      <c r="A67" s="9">
        <v>4.4946647302027E-2</v>
      </c>
      <c r="H67" s="9">
        <v>4.6203517608636002E-2</v>
      </c>
      <c r="I67" s="2">
        <f t="shared" si="7"/>
        <v>0.96666666666666656</v>
      </c>
      <c r="J67" s="2">
        <f t="shared" si="6"/>
        <v>1.8368588976886859</v>
      </c>
    </row>
    <row r="68" spans="1:10" s="6" customFormat="1" ht="4.5" customHeight="1">
      <c r="C68" s="7"/>
    </row>
    <row r="69" spans="1:10">
      <c r="A69" s="1" t="s">
        <v>56</v>
      </c>
      <c r="C69" s="3" t="s">
        <v>1</v>
      </c>
      <c r="D69" s="1" t="s">
        <v>2</v>
      </c>
      <c r="E69" s="1" t="s">
        <v>3</v>
      </c>
      <c r="F69" s="1"/>
      <c r="H69" s="1" t="s">
        <v>4</v>
      </c>
      <c r="I69" s="1" t="s">
        <v>5</v>
      </c>
      <c r="J69" s="1" t="s">
        <v>6</v>
      </c>
    </row>
    <row r="70" spans="1:10">
      <c r="A70" s="4">
        <v>1.013633782794E-2</v>
      </c>
      <c r="C70" s="5">
        <f>AVERAGE(A70:A84)</f>
        <v>1.0134223256711334E-2</v>
      </c>
      <c r="D70" s="2">
        <f>_xlfn.VAR.S(A70:A84)</f>
        <v>2.5948245373431541E-9</v>
      </c>
      <c r="E70" s="2">
        <f>SQRT(D70)/C70</f>
        <v>5.0264750419109676E-3</v>
      </c>
      <c r="H70" s="4">
        <v>1.0036550900473E-2</v>
      </c>
      <c r="I70" s="2">
        <f>1/15 - 0.5/15</f>
        <v>3.3333333333333333E-2</v>
      </c>
      <c r="J70" s="2">
        <f t="shared" ref="J70:J84" si="8">4.91*(I70^0.14-(1-I70)^0.14)</f>
        <v>-1.836858897688687</v>
      </c>
    </row>
    <row r="71" spans="1:10">
      <c r="A71" s="4">
        <v>1.0097037113450001E-2</v>
      </c>
      <c r="H71" s="4">
        <v>1.0041910425666E-2</v>
      </c>
      <c r="I71" s="2">
        <f t="shared" ref="I71:I84" si="9">I70+1/15</f>
        <v>0.1</v>
      </c>
      <c r="J71" s="2">
        <f t="shared" si="8"/>
        <v>-1.2811261510381207</v>
      </c>
    </row>
    <row r="72" spans="1:10">
      <c r="A72" s="4">
        <v>1.02062826567E-2</v>
      </c>
      <c r="C72" s="3" t="s">
        <v>7</v>
      </c>
      <c r="E72" s="1" t="s">
        <v>8</v>
      </c>
      <c r="H72" s="4">
        <v>1.0097037113450001E-2</v>
      </c>
      <c r="I72" s="2">
        <f t="shared" si="9"/>
        <v>0.16666666666666669</v>
      </c>
      <c r="J72" s="2">
        <f t="shared" si="8"/>
        <v>-0.96558119772402384</v>
      </c>
    </row>
    <row r="73" spans="1:10">
      <c r="A73" s="4">
        <v>1.0115903048036E-2</v>
      </c>
      <c r="C73" s="5">
        <f>MEDIAN(A70:A84)</f>
        <v>1.013633782794E-2</v>
      </c>
      <c r="E73" s="2">
        <v>2.145</v>
      </c>
      <c r="H73" s="4">
        <v>1.0108249275733E-2</v>
      </c>
      <c r="I73" s="2">
        <f t="shared" si="9"/>
        <v>0.23333333333333334</v>
      </c>
      <c r="J73" s="2">
        <f t="shared" si="8"/>
        <v>-0.72575040815577163</v>
      </c>
    </row>
    <row r="74" spans="1:10">
      <c r="A74" s="4">
        <v>1.0112642980112E-2</v>
      </c>
      <c r="H74" s="4">
        <v>1.0112642980112E-2</v>
      </c>
      <c r="I74" s="2">
        <f t="shared" si="9"/>
        <v>0.3</v>
      </c>
      <c r="J74" s="2">
        <f t="shared" si="8"/>
        <v>-0.52246305252576009</v>
      </c>
    </row>
    <row r="75" spans="1:10">
      <c r="A75" s="4">
        <v>1.0108249275733E-2</v>
      </c>
      <c r="C75" s="3"/>
      <c r="D75" s="1" t="s">
        <v>9</v>
      </c>
      <c r="H75" s="4">
        <v>1.0115903048036E-2</v>
      </c>
      <c r="I75" s="2">
        <f t="shared" si="9"/>
        <v>0.36666666666666664</v>
      </c>
      <c r="J75" s="2">
        <f t="shared" si="8"/>
        <v>-0.33927638280750583</v>
      </c>
    </row>
    <row r="76" spans="1:10">
      <c r="A76" s="4">
        <v>1.0160896004115001E-2</v>
      </c>
      <c r="C76" s="3" t="s">
        <v>10</v>
      </c>
      <c r="D76" s="2">
        <f>C70+E73*SQRT(D70)/(SQRT(15))</f>
        <v>1.0162435372981865E-2</v>
      </c>
      <c r="H76" s="4">
        <v>1.0129146580659E-2</v>
      </c>
      <c r="I76" s="2">
        <f t="shared" si="9"/>
        <v>0.43333333333333329</v>
      </c>
      <c r="J76" s="2">
        <f t="shared" si="8"/>
        <v>-0.16715058832373922</v>
      </c>
    </row>
    <row r="77" spans="1:10">
      <c r="A77" s="4">
        <v>1.0175975315818001E-2</v>
      </c>
      <c r="C77" s="3" t="s">
        <v>11</v>
      </c>
      <c r="D77" s="2">
        <f>C70-E73*SQRT(D70)/(SQRT(15))</f>
        <v>1.0106011140440803E-2</v>
      </c>
      <c r="H77" s="4">
        <v>1.013633782794E-2</v>
      </c>
      <c r="I77" s="2">
        <f t="shared" si="9"/>
        <v>0.49999999999999994</v>
      </c>
      <c r="J77" s="2">
        <f t="shared" si="8"/>
        <v>0</v>
      </c>
    </row>
    <row r="78" spans="1:10">
      <c r="A78" s="4">
        <v>1.0152575398119999E-2</v>
      </c>
      <c r="H78" s="4">
        <v>1.0152575398119999E-2</v>
      </c>
      <c r="I78" s="2">
        <f t="shared" si="9"/>
        <v>0.56666666666666665</v>
      </c>
      <c r="J78" s="2">
        <f t="shared" si="8"/>
        <v>0.16715058832373922</v>
      </c>
    </row>
    <row r="79" spans="1:10">
      <c r="A79" s="4">
        <v>1.0041910425666E-2</v>
      </c>
      <c r="H79" s="4">
        <v>1.0154189642828E-2</v>
      </c>
      <c r="I79" s="2">
        <f t="shared" si="9"/>
        <v>0.6333333333333333</v>
      </c>
      <c r="J79" s="2">
        <f t="shared" si="8"/>
        <v>0.33927638280750583</v>
      </c>
    </row>
    <row r="80" spans="1:10">
      <c r="A80" s="4">
        <v>1.0129146580659E-2</v>
      </c>
      <c r="H80" s="4">
        <v>1.0160896004115001E-2</v>
      </c>
      <c r="I80" s="2">
        <f t="shared" si="9"/>
        <v>0.7</v>
      </c>
      <c r="J80" s="2">
        <f t="shared" si="8"/>
        <v>0.52246305252576009</v>
      </c>
    </row>
    <row r="81" spans="1:10">
      <c r="A81" s="4">
        <v>1.0154189642828E-2</v>
      </c>
      <c r="H81" s="4">
        <v>1.0175975315818001E-2</v>
      </c>
      <c r="I81" s="2">
        <f t="shared" si="9"/>
        <v>0.76666666666666661</v>
      </c>
      <c r="J81" s="2">
        <f t="shared" si="8"/>
        <v>0.72575040815577163</v>
      </c>
    </row>
    <row r="82" spans="1:10">
      <c r="A82" s="4">
        <v>1.0184896595424001E-2</v>
      </c>
      <c r="H82" s="4">
        <v>1.0184896595424001E-2</v>
      </c>
      <c r="I82" s="2">
        <f t="shared" si="9"/>
        <v>0.83333333333333326</v>
      </c>
      <c r="J82" s="2">
        <f t="shared" si="8"/>
        <v>0.96558119772402329</v>
      </c>
    </row>
    <row r="83" spans="1:10">
      <c r="A83" s="4">
        <v>1.0036550900473E-2</v>
      </c>
      <c r="H83" s="4">
        <v>1.0200755085596E-2</v>
      </c>
      <c r="I83" s="2">
        <f t="shared" si="9"/>
        <v>0.89999999999999991</v>
      </c>
      <c r="J83" s="2">
        <f t="shared" si="8"/>
        <v>1.2811261510381207</v>
      </c>
    </row>
    <row r="84" spans="1:10">
      <c r="A84" s="4">
        <v>1.0200755085596E-2</v>
      </c>
      <c r="H84" s="4">
        <v>1.02062826567E-2</v>
      </c>
      <c r="I84" s="2">
        <f t="shared" si="9"/>
        <v>0.96666666666666656</v>
      </c>
      <c r="J84" s="2">
        <f t="shared" si="8"/>
        <v>1.8368588976886859</v>
      </c>
    </row>
    <row r="85" spans="1:10" s="6" customFormat="1" ht="4.5" customHeight="1">
      <c r="C85" s="7"/>
    </row>
    <row r="86" spans="1:10">
      <c r="A86" s="1" t="s">
        <v>57</v>
      </c>
      <c r="C86" s="3" t="s">
        <v>1</v>
      </c>
      <c r="D86" s="1" t="s">
        <v>2</v>
      </c>
      <c r="E86" s="1" t="s">
        <v>3</v>
      </c>
      <c r="F86" s="1"/>
      <c r="H86" s="1" t="s">
        <v>4</v>
      </c>
      <c r="I86" s="1" t="s">
        <v>5</v>
      </c>
      <c r="J86" s="1" t="s">
        <v>6</v>
      </c>
    </row>
    <row r="87" spans="1:10">
      <c r="A87" s="9">
        <v>1.3028843318058999E-2</v>
      </c>
      <c r="C87" s="5">
        <f>AVERAGE(A87:A101)</f>
        <v>1.2944619970148797E-2</v>
      </c>
      <c r="D87" s="2">
        <f>_xlfn.VAR.S(A87:A101)</f>
        <v>6.698851739982928E-9</v>
      </c>
      <c r="E87" s="2">
        <f>SQRT(D87)/C87</f>
        <v>6.3228208701766484E-3</v>
      </c>
      <c r="H87" s="9">
        <v>1.2798716660784E-2</v>
      </c>
      <c r="I87" s="2">
        <f>1/15 - 0.5/15</f>
        <v>3.3333333333333333E-2</v>
      </c>
      <c r="J87" s="2">
        <f t="shared" ref="J87:J101" si="10">4.91*(I87^0.14-(1-I87)^0.14)</f>
        <v>-1.836858897688687</v>
      </c>
    </row>
    <row r="88" spans="1:10">
      <c r="A88" s="9">
        <v>1.2993974025361E-2</v>
      </c>
      <c r="H88" s="9">
        <v>1.2809723056701999E-2</v>
      </c>
      <c r="I88" s="2">
        <f t="shared" ref="I88:I101" si="11">I87+1/15</f>
        <v>0.1</v>
      </c>
      <c r="J88" s="2">
        <f t="shared" si="10"/>
        <v>-1.2811261510381207</v>
      </c>
    </row>
    <row r="89" spans="1:10">
      <c r="A89" s="9">
        <v>1.2798716660784E-2</v>
      </c>
      <c r="C89" s="3" t="s">
        <v>7</v>
      </c>
      <c r="E89" s="1" t="s">
        <v>8</v>
      </c>
      <c r="H89" s="9">
        <v>1.2856890859258001E-2</v>
      </c>
      <c r="I89" s="2">
        <f t="shared" si="11"/>
        <v>0.16666666666666669</v>
      </c>
      <c r="J89" s="2">
        <f t="shared" si="10"/>
        <v>-0.96558119772402384</v>
      </c>
    </row>
    <row r="90" spans="1:10">
      <c r="A90" s="9">
        <v>1.2944766023364E-2</v>
      </c>
      <c r="C90" s="5">
        <f>MEDIAN(A87:A101)</f>
        <v>1.296657526105E-2</v>
      </c>
      <c r="E90" s="2">
        <v>2.145</v>
      </c>
      <c r="H90" s="9">
        <v>1.2872124686393999E-2</v>
      </c>
      <c r="I90" s="2">
        <f t="shared" si="11"/>
        <v>0.23333333333333334</v>
      </c>
      <c r="J90" s="2">
        <f t="shared" si="10"/>
        <v>-0.72575040815577163</v>
      </c>
    </row>
    <row r="91" spans="1:10">
      <c r="A91" s="9">
        <v>1.2875151568956E-2</v>
      </c>
      <c r="H91" s="9">
        <v>1.2875151568956E-2</v>
      </c>
      <c r="I91" s="2">
        <f t="shared" si="11"/>
        <v>0.3</v>
      </c>
      <c r="J91" s="2">
        <f t="shared" si="10"/>
        <v>-0.52246305252576009</v>
      </c>
    </row>
    <row r="92" spans="1:10">
      <c r="A92" s="9">
        <v>1.2953908850284E-2</v>
      </c>
      <c r="C92" s="3"/>
      <c r="D92" s="1" t="s">
        <v>9</v>
      </c>
      <c r="H92" s="9">
        <v>1.2944766023364E-2</v>
      </c>
      <c r="I92" s="2">
        <f t="shared" si="11"/>
        <v>0.36666666666666664</v>
      </c>
      <c r="J92" s="2">
        <f t="shared" si="10"/>
        <v>-0.33927638280750583</v>
      </c>
    </row>
    <row r="93" spans="1:10">
      <c r="A93" s="9">
        <v>1.2809723056701999E-2</v>
      </c>
      <c r="C93" s="3" t="s">
        <v>10</v>
      </c>
      <c r="D93" s="2">
        <f>C87+E90*SQRT(D87)/(SQRT(15))</f>
        <v>1.2989949566313596E-2</v>
      </c>
      <c r="H93" s="9">
        <v>1.2953908850284E-2</v>
      </c>
      <c r="I93" s="2">
        <f t="shared" si="11"/>
        <v>0.43333333333333329</v>
      </c>
      <c r="J93" s="2">
        <f t="shared" si="10"/>
        <v>-0.16715058832373922</v>
      </c>
    </row>
    <row r="94" spans="1:10">
      <c r="A94" s="9">
        <v>1.2856890859258001E-2</v>
      </c>
      <c r="C94" s="3" t="s">
        <v>11</v>
      </c>
      <c r="D94" s="2">
        <f>C87-E90*SQRT(D87)/(SQRT(15))</f>
        <v>1.2899290373983999E-2</v>
      </c>
      <c r="H94" s="9">
        <v>1.296657526105E-2</v>
      </c>
      <c r="I94" s="2">
        <f t="shared" si="11"/>
        <v>0.49999999999999994</v>
      </c>
      <c r="J94" s="2">
        <f t="shared" si="10"/>
        <v>0</v>
      </c>
    </row>
    <row r="95" spans="1:10">
      <c r="A95" s="9">
        <v>1.30345438923E-2</v>
      </c>
      <c r="H95" s="9">
        <v>1.2974907361592999E-2</v>
      </c>
      <c r="I95" s="2">
        <f t="shared" si="11"/>
        <v>0.56666666666666665</v>
      </c>
      <c r="J95" s="2">
        <f t="shared" si="10"/>
        <v>0.16715058832373922</v>
      </c>
    </row>
    <row r="96" spans="1:10">
      <c r="A96" s="9">
        <v>1.296657526105E-2</v>
      </c>
      <c r="H96" s="9">
        <v>1.2993974025361E-2</v>
      </c>
      <c r="I96" s="2">
        <f t="shared" si="11"/>
        <v>0.6333333333333333</v>
      </c>
      <c r="J96" s="2">
        <f t="shared" si="10"/>
        <v>0.33927638280750583</v>
      </c>
    </row>
    <row r="97" spans="1:10">
      <c r="A97" s="9">
        <v>1.2872124686393999E-2</v>
      </c>
      <c r="H97" s="9">
        <v>1.3006066782692E-2</v>
      </c>
      <c r="I97" s="2">
        <f t="shared" si="11"/>
        <v>0.7</v>
      </c>
      <c r="J97" s="2">
        <f t="shared" si="10"/>
        <v>0.52246305252576009</v>
      </c>
    </row>
    <row r="98" spans="1:10">
      <c r="A98" s="9">
        <v>1.3016117460049E-2</v>
      </c>
      <c r="H98" s="9">
        <v>1.3016117460049E-2</v>
      </c>
      <c r="I98" s="2">
        <f t="shared" si="11"/>
        <v>0.76666666666666661</v>
      </c>
      <c r="J98" s="2">
        <f t="shared" si="10"/>
        <v>0.72575040815577163</v>
      </c>
    </row>
    <row r="99" spans="1:10">
      <c r="A99" s="9">
        <v>1.3006066782692E-2</v>
      </c>
      <c r="H99" s="9">
        <v>1.3028843318058999E-2</v>
      </c>
      <c r="I99" s="2">
        <f t="shared" si="11"/>
        <v>0.83333333333333326</v>
      </c>
      <c r="J99" s="2">
        <f t="shared" si="10"/>
        <v>0.96558119772402329</v>
      </c>
    </row>
    <row r="100" spans="1:10">
      <c r="A100" s="9">
        <v>1.2974907361592999E-2</v>
      </c>
      <c r="H100" s="9">
        <v>1.30345438923E-2</v>
      </c>
      <c r="I100" s="2">
        <f t="shared" si="11"/>
        <v>0.89999999999999991</v>
      </c>
      <c r="J100" s="2">
        <f t="shared" si="10"/>
        <v>1.2811261510381207</v>
      </c>
    </row>
    <row r="101" spans="1:10">
      <c r="A101" s="9">
        <v>1.3036989745386E-2</v>
      </c>
      <c r="H101" s="9">
        <v>1.3036989745386E-2</v>
      </c>
      <c r="I101" s="2">
        <f t="shared" si="11"/>
        <v>0.96666666666666656</v>
      </c>
      <c r="J101" s="2">
        <f t="shared" si="10"/>
        <v>1.8368588976886859</v>
      </c>
    </row>
    <row r="102" spans="1:10" s="6" customFormat="1" ht="4.5" customHeight="1">
      <c r="C102" s="7"/>
    </row>
    <row r="103" spans="1:10">
      <c r="A103" s="1" t="s">
        <v>58</v>
      </c>
      <c r="C103" s="3" t="s">
        <v>1</v>
      </c>
      <c r="D103" s="1" t="s">
        <v>2</v>
      </c>
      <c r="E103" s="1" t="s">
        <v>3</v>
      </c>
      <c r="F103" s="1"/>
      <c r="H103" s="1" t="s">
        <v>4</v>
      </c>
      <c r="I103" s="1" t="s">
        <v>5</v>
      </c>
      <c r="J103" s="1" t="s">
        <v>6</v>
      </c>
    </row>
    <row r="104" spans="1:10">
      <c r="A104" s="4">
        <v>2.3095286210126E-2</v>
      </c>
      <c r="C104" s="5">
        <f>AVERAGE(A104:A118)</f>
        <v>2.2985916909995928E-2</v>
      </c>
      <c r="D104" s="2">
        <f>_xlfn.VAR.S(A104:A118)</f>
        <v>4.7534687164602303E-8</v>
      </c>
      <c r="E104" s="2">
        <f>SQRT(D104)/C104</f>
        <v>9.485134368196927E-3</v>
      </c>
      <c r="H104" s="4">
        <v>2.2455399387598E-2</v>
      </c>
      <c r="I104" s="2">
        <f>1/15 - 0.5/15</f>
        <v>3.3333333333333333E-2</v>
      </c>
      <c r="J104" s="2">
        <f t="shared" ref="J104:J118" si="12">4.91*(I104^0.14-(1-I104)^0.14)</f>
        <v>-1.836858897688687</v>
      </c>
    </row>
    <row r="105" spans="1:10">
      <c r="A105" s="4">
        <v>2.2994989297445999E-2</v>
      </c>
      <c r="H105" s="4">
        <v>2.2743827132258001E-2</v>
      </c>
      <c r="I105" s="2">
        <f t="shared" ref="I105:I118" si="13">I104+1/15</f>
        <v>0.1</v>
      </c>
      <c r="J105" s="2">
        <f t="shared" si="12"/>
        <v>-1.2811261510381207</v>
      </c>
    </row>
    <row r="106" spans="1:10">
      <c r="A106" s="4">
        <v>2.3153681593866E-2</v>
      </c>
      <c r="C106" s="3" t="s">
        <v>7</v>
      </c>
      <c r="E106" s="1" t="s">
        <v>8</v>
      </c>
      <c r="H106" s="4">
        <v>2.2786284375437001E-2</v>
      </c>
      <c r="I106" s="2">
        <f t="shared" si="13"/>
        <v>0.16666666666666669</v>
      </c>
      <c r="J106" s="2">
        <f t="shared" si="12"/>
        <v>-0.96558119772402384</v>
      </c>
    </row>
    <row r="107" spans="1:10">
      <c r="A107" s="4">
        <v>2.2786284375437001E-2</v>
      </c>
      <c r="C107" s="5">
        <f>MEDIAN(A104:A118)</f>
        <v>2.3064298324148001E-2</v>
      </c>
      <c r="E107" s="2">
        <v>2.145</v>
      </c>
      <c r="H107" s="4">
        <v>2.2837993445198001E-2</v>
      </c>
      <c r="I107" s="2">
        <f t="shared" si="13"/>
        <v>0.23333333333333334</v>
      </c>
      <c r="J107" s="2">
        <f t="shared" si="12"/>
        <v>-0.72575040815577163</v>
      </c>
    </row>
    <row r="108" spans="1:10">
      <c r="A108" s="4">
        <v>2.3184207899172998E-2</v>
      </c>
      <c r="H108" s="4">
        <v>2.2896309815653E-2</v>
      </c>
      <c r="I108" s="2">
        <f t="shared" si="13"/>
        <v>0.3</v>
      </c>
      <c r="J108" s="2">
        <f t="shared" si="12"/>
        <v>-0.52246305252576009</v>
      </c>
    </row>
    <row r="109" spans="1:10">
      <c r="A109" s="4">
        <v>2.2455399387598E-2</v>
      </c>
      <c r="C109" s="3"/>
      <c r="D109" s="1" t="s">
        <v>9</v>
      </c>
      <c r="H109" s="4">
        <v>2.291448986528E-2</v>
      </c>
      <c r="I109" s="2">
        <f t="shared" si="13"/>
        <v>0.36666666666666664</v>
      </c>
      <c r="J109" s="2">
        <f t="shared" si="12"/>
        <v>-0.33927638280750583</v>
      </c>
    </row>
    <row r="110" spans="1:10">
      <c r="A110" s="4">
        <v>2.3064298324148001E-2</v>
      </c>
      <c r="C110" s="3" t="s">
        <v>10</v>
      </c>
      <c r="D110" s="2">
        <f>C104+E107*SQRT(D104)/(SQRT(15))</f>
        <v>2.310666686762505E-2</v>
      </c>
      <c r="H110" s="4">
        <v>2.2994989297445999E-2</v>
      </c>
      <c r="I110" s="2">
        <f t="shared" si="13"/>
        <v>0.43333333333333329</v>
      </c>
      <c r="J110" s="2">
        <f t="shared" si="12"/>
        <v>-0.16715058832373922</v>
      </c>
    </row>
    <row r="111" spans="1:10">
      <c r="A111" s="4">
        <v>2.2743827132258001E-2</v>
      </c>
      <c r="C111" s="3" t="s">
        <v>11</v>
      </c>
      <c r="D111" s="2">
        <f>C104-E107*SQRT(D104)/(SQRT(15))</f>
        <v>2.2865166952366806E-2</v>
      </c>
      <c r="H111" s="4">
        <v>2.3064298324148001E-2</v>
      </c>
      <c r="I111" s="2">
        <f t="shared" si="13"/>
        <v>0.49999999999999994</v>
      </c>
      <c r="J111" s="2">
        <f t="shared" si="12"/>
        <v>0</v>
      </c>
    </row>
    <row r="112" spans="1:10">
      <c r="A112" s="4">
        <v>2.3182652889157999E-2</v>
      </c>
      <c r="H112" s="4">
        <v>2.3069844106619001E-2</v>
      </c>
      <c r="I112" s="2">
        <f t="shared" si="13"/>
        <v>0.56666666666666665</v>
      </c>
      <c r="J112" s="2">
        <f t="shared" si="12"/>
        <v>0.16715058832373922</v>
      </c>
    </row>
    <row r="113" spans="1:10">
      <c r="A113" s="4">
        <v>2.3312891954736001E-2</v>
      </c>
      <c r="H113" s="4">
        <v>2.3095286210126E-2</v>
      </c>
      <c r="I113" s="2">
        <f t="shared" si="13"/>
        <v>0.6333333333333333</v>
      </c>
      <c r="J113" s="2">
        <f t="shared" si="12"/>
        <v>0.33927638280750583</v>
      </c>
    </row>
    <row r="114" spans="1:10">
      <c r="A114" s="4">
        <v>2.3069844106619001E-2</v>
      </c>
      <c r="H114" s="4">
        <v>2.3096597353243001E-2</v>
      </c>
      <c r="I114" s="2">
        <f t="shared" si="13"/>
        <v>0.7</v>
      </c>
      <c r="J114" s="2">
        <f t="shared" si="12"/>
        <v>0.52246305252576009</v>
      </c>
    </row>
    <row r="115" spans="1:10">
      <c r="A115" s="4">
        <v>2.3096597353243001E-2</v>
      </c>
      <c r="H115" s="4">
        <v>2.3153681593866E-2</v>
      </c>
      <c r="I115" s="2">
        <f t="shared" si="13"/>
        <v>0.76666666666666661</v>
      </c>
      <c r="J115" s="2">
        <f t="shared" si="12"/>
        <v>0.72575040815577163</v>
      </c>
    </row>
    <row r="116" spans="1:10">
      <c r="A116" s="4">
        <v>2.291448986528E-2</v>
      </c>
      <c r="H116" s="4">
        <v>2.3182652889157999E-2</v>
      </c>
      <c r="I116" s="2">
        <f t="shared" si="13"/>
        <v>0.83333333333333326</v>
      </c>
      <c r="J116" s="2">
        <f t="shared" si="12"/>
        <v>0.96558119772402329</v>
      </c>
    </row>
    <row r="117" spans="1:10">
      <c r="A117" s="4">
        <v>2.2896309815653E-2</v>
      </c>
      <c r="H117" s="4">
        <v>2.3184207899172998E-2</v>
      </c>
      <c r="I117" s="2">
        <f t="shared" si="13"/>
        <v>0.89999999999999991</v>
      </c>
      <c r="J117" s="2">
        <f t="shared" si="12"/>
        <v>1.2811261510381207</v>
      </c>
    </row>
    <row r="118" spans="1:10">
      <c r="A118" s="4">
        <v>2.2837993445198001E-2</v>
      </c>
      <c r="H118" s="4">
        <v>2.3312891954736001E-2</v>
      </c>
      <c r="I118" s="2">
        <f t="shared" si="13"/>
        <v>0.96666666666666656</v>
      </c>
      <c r="J118" s="2">
        <f t="shared" si="12"/>
        <v>1.8368588976886859</v>
      </c>
    </row>
    <row r="119" spans="1:10" s="6" customFormat="1" ht="3.75" customHeight="1">
      <c r="C119" s="7"/>
    </row>
    <row r="120" spans="1:10">
      <c r="A120" s="1" t="s">
        <v>59</v>
      </c>
      <c r="C120" s="3" t="s">
        <v>1</v>
      </c>
      <c r="D120" s="1" t="s">
        <v>2</v>
      </c>
      <c r="E120" s="1" t="s">
        <v>3</v>
      </c>
      <c r="F120" s="1"/>
      <c r="H120" s="1" t="s">
        <v>4</v>
      </c>
      <c r="I120" s="1" t="s">
        <v>5</v>
      </c>
      <c r="J120" s="1" t="s">
        <v>6</v>
      </c>
    </row>
    <row r="121" spans="1:10">
      <c r="A121" s="12">
        <v>3.2178270467082E-2</v>
      </c>
      <c r="C121" s="5">
        <f>AVERAGE(A121:A135)</f>
        <v>3.3116487871588933E-2</v>
      </c>
      <c r="D121" s="2">
        <f>_xlfn.VAR.S(A121:A135)</f>
        <v>2.3360431763479899E-7</v>
      </c>
      <c r="E121" s="2">
        <f>SQRT(D121)/C121</f>
        <v>1.4594733216343766E-2</v>
      </c>
      <c r="H121" s="12">
        <v>3.2178270467082E-2</v>
      </c>
      <c r="I121" s="2">
        <f>1/15 - 0.5/15</f>
        <v>3.3333333333333333E-2</v>
      </c>
      <c r="J121" s="2">
        <f t="shared" ref="J121:J135" si="14">4.91*(I121^0.14-(1-I121)^0.14)</f>
        <v>-1.836858897688687</v>
      </c>
    </row>
    <row r="122" spans="1:10">
      <c r="A122" s="12">
        <v>3.2927681533466001E-2</v>
      </c>
      <c r="H122" s="12">
        <v>3.2193589333254002E-2</v>
      </c>
      <c r="I122" s="2">
        <f t="shared" ref="I122:I135" si="15">I121+1/15</f>
        <v>0.1</v>
      </c>
      <c r="J122" s="2">
        <f t="shared" si="14"/>
        <v>-1.2811261510381207</v>
      </c>
    </row>
    <row r="123" spans="1:10">
      <c r="A123" s="12">
        <v>3.2562031044053003E-2</v>
      </c>
      <c r="C123" s="3" t="s">
        <v>7</v>
      </c>
      <c r="E123" s="1" t="s">
        <v>8</v>
      </c>
      <c r="H123" s="12">
        <v>3.2562031044053003E-2</v>
      </c>
      <c r="I123" s="2">
        <f t="shared" si="15"/>
        <v>0.16666666666666669</v>
      </c>
      <c r="J123" s="2">
        <f t="shared" si="14"/>
        <v>-0.96558119772402384</v>
      </c>
    </row>
    <row r="124" spans="1:10">
      <c r="A124" s="12">
        <v>3.2193589333254002E-2</v>
      </c>
      <c r="C124" s="5">
        <f>MEDIAN(A121:A135)</f>
        <v>3.3268501697702998E-2</v>
      </c>
      <c r="E124" s="2">
        <v>2.145</v>
      </c>
      <c r="H124" s="12">
        <v>3.2927681533466001E-2</v>
      </c>
      <c r="I124" s="2">
        <f t="shared" si="15"/>
        <v>0.23333333333333334</v>
      </c>
      <c r="J124" s="2">
        <f t="shared" si="14"/>
        <v>-0.72575040815577163</v>
      </c>
    </row>
    <row r="125" spans="1:10">
      <c r="A125" s="12">
        <v>3.3151903172626E-2</v>
      </c>
      <c r="H125" s="12">
        <v>3.3005080616099997E-2</v>
      </c>
      <c r="I125" s="2">
        <f t="shared" si="15"/>
        <v>0.3</v>
      </c>
      <c r="J125" s="2">
        <f t="shared" si="14"/>
        <v>-0.52246305252576009</v>
      </c>
    </row>
    <row r="126" spans="1:10">
      <c r="A126" s="12">
        <v>3.3424527898470002E-2</v>
      </c>
      <c r="C126" s="3"/>
      <c r="D126" s="1" t="s">
        <v>9</v>
      </c>
      <c r="H126" s="12">
        <v>3.3023755411469999E-2</v>
      </c>
      <c r="I126" s="2">
        <f t="shared" si="15"/>
        <v>0.36666666666666664</v>
      </c>
      <c r="J126" s="2">
        <f t="shared" si="14"/>
        <v>-0.33927638280750583</v>
      </c>
    </row>
    <row r="127" spans="1:10">
      <c r="A127" s="12">
        <v>3.3310977964591003E-2</v>
      </c>
      <c r="C127" s="3" t="s">
        <v>10</v>
      </c>
      <c r="D127" s="2">
        <f>C121+E124*SQRT(D121)/(SQRT(15))</f>
        <v>3.3384171678289505E-2</v>
      </c>
      <c r="H127" s="12">
        <v>3.3151903172626E-2</v>
      </c>
      <c r="I127" s="2">
        <f t="shared" si="15"/>
        <v>0.43333333333333329</v>
      </c>
      <c r="J127" s="2">
        <f t="shared" si="14"/>
        <v>-0.16715058832373922</v>
      </c>
    </row>
    <row r="128" spans="1:10">
      <c r="A128" s="12">
        <v>3.3550405839570002E-2</v>
      </c>
      <c r="C128" s="3" t="s">
        <v>11</v>
      </c>
      <c r="D128" s="2">
        <f>C121-E124*SQRT(D121)/(SQRT(15))</f>
        <v>3.2848804064888361E-2</v>
      </c>
      <c r="H128" s="12">
        <v>3.3268501697702998E-2</v>
      </c>
      <c r="I128" s="2">
        <f t="shared" si="15"/>
        <v>0.49999999999999994</v>
      </c>
      <c r="J128" s="2">
        <f t="shared" si="14"/>
        <v>0</v>
      </c>
    </row>
    <row r="129" spans="1:10">
      <c r="A129" s="12">
        <v>3.354299425934E-2</v>
      </c>
      <c r="H129" s="12">
        <v>3.3283161304441998E-2</v>
      </c>
      <c r="I129" s="2">
        <f t="shared" si="15"/>
        <v>0.56666666666666665</v>
      </c>
      <c r="J129" s="2">
        <f t="shared" si="14"/>
        <v>0.16715058832373922</v>
      </c>
    </row>
    <row r="130" spans="1:10">
      <c r="A130" s="12">
        <v>3.3553381065733003E-2</v>
      </c>
      <c r="H130" s="12">
        <v>3.3310977964591003E-2</v>
      </c>
      <c r="I130" s="2">
        <f t="shared" si="15"/>
        <v>0.6333333333333333</v>
      </c>
      <c r="J130" s="2">
        <f t="shared" si="14"/>
        <v>0.33927638280750583</v>
      </c>
    </row>
    <row r="131" spans="1:10">
      <c r="A131" s="12">
        <v>3.3005080616099997E-2</v>
      </c>
      <c r="H131" s="12">
        <v>3.3424527898470002E-2</v>
      </c>
      <c r="I131" s="2">
        <f t="shared" si="15"/>
        <v>0.7</v>
      </c>
      <c r="J131" s="2">
        <f t="shared" si="14"/>
        <v>0.52246305252576009</v>
      </c>
    </row>
    <row r="132" spans="1:10">
      <c r="A132" s="12">
        <v>3.3268501697702998E-2</v>
      </c>
      <c r="H132" s="12">
        <v>3.354299425934E-2</v>
      </c>
      <c r="I132" s="2">
        <f t="shared" si="15"/>
        <v>0.76666666666666661</v>
      </c>
      <c r="J132" s="2">
        <f t="shared" si="14"/>
        <v>0.72575040815577163</v>
      </c>
    </row>
    <row r="133" spans="1:10">
      <c r="A133" s="12">
        <v>3.3283161304441998E-2</v>
      </c>
      <c r="H133" s="12">
        <v>3.3550405839570002E-2</v>
      </c>
      <c r="I133" s="2">
        <f t="shared" si="15"/>
        <v>0.83333333333333326</v>
      </c>
      <c r="J133" s="2">
        <f t="shared" si="14"/>
        <v>0.96558119772402329</v>
      </c>
    </row>
    <row r="134" spans="1:10">
      <c r="A134" s="12">
        <v>3.3771056465934E-2</v>
      </c>
      <c r="H134" s="12">
        <v>3.3553381065733003E-2</v>
      </c>
      <c r="I134" s="2">
        <f t="shared" si="15"/>
        <v>0.89999999999999991</v>
      </c>
      <c r="J134" s="2">
        <f t="shared" si="14"/>
        <v>1.2811261510381207</v>
      </c>
    </row>
    <row r="135" spans="1:10">
      <c r="A135" s="12">
        <v>3.3023755411469999E-2</v>
      </c>
      <c r="H135" s="12">
        <v>3.3771056465934E-2</v>
      </c>
      <c r="I135" s="2">
        <f t="shared" si="15"/>
        <v>0.96666666666666656</v>
      </c>
      <c r="J135" s="2">
        <f t="shared" si="14"/>
        <v>1.8368588976886859</v>
      </c>
    </row>
    <row r="136" spans="1:10" s="6" customFormat="1" ht="4.5" customHeight="1">
      <c r="C136" s="7"/>
    </row>
    <row r="137" spans="1:10">
      <c r="A137" s="1" t="s">
        <v>60</v>
      </c>
      <c r="C137" s="3" t="s">
        <v>1</v>
      </c>
      <c r="D137" s="1" t="s">
        <v>2</v>
      </c>
      <c r="E137" s="1" t="s">
        <v>3</v>
      </c>
      <c r="F137" s="1"/>
      <c r="H137" s="1" t="s">
        <v>4</v>
      </c>
      <c r="I137" s="1" t="s">
        <v>5</v>
      </c>
      <c r="J137" s="1" t="s">
        <v>6</v>
      </c>
    </row>
    <row r="138" spans="1:10">
      <c r="A138" s="12">
        <v>9.6099163070151004E-3</v>
      </c>
      <c r="C138" s="5">
        <f>AVERAGE(A138:A152)</f>
        <v>9.6201849178920787E-3</v>
      </c>
      <c r="D138" s="2">
        <f>_xlfn.VAR.S(A138:A152)</f>
        <v>1.3479049077167388E-9</v>
      </c>
      <c r="E138" s="2">
        <f>SQRT(D138)/C138</f>
        <v>3.8163325123371583E-3</v>
      </c>
      <c r="H138" s="12">
        <v>9.5741960380291008E-3</v>
      </c>
      <c r="I138" s="2">
        <f>1/15 - 0.5/15</f>
        <v>3.3333333333333333E-2</v>
      </c>
      <c r="J138" s="2">
        <f t="shared" ref="J138:J152" si="16">4.91*(I138^0.14-(1-I138)^0.14)</f>
        <v>-1.836858897688687</v>
      </c>
    </row>
    <row r="139" spans="1:10">
      <c r="A139" s="12">
        <v>9.5741960380291008E-3</v>
      </c>
      <c r="H139" s="12">
        <v>9.5742258357248006E-3</v>
      </c>
      <c r="I139" s="2">
        <f t="shared" ref="I139:I152" si="17">I138+1/15</f>
        <v>0.1</v>
      </c>
      <c r="J139" s="2">
        <f t="shared" si="16"/>
        <v>-1.2811261510381207</v>
      </c>
    </row>
    <row r="140" spans="1:10">
      <c r="A140" s="12">
        <v>9.6280823418527992E-3</v>
      </c>
      <c r="C140" s="3" t="s">
        <v>7</v>
      </c>
      <c r="E140" s="1" t="s">
        <v>8</v>
      </c>
      <c r="H140" s="12">
        <v>9.5764117903311997E-3</v>
      </c>
      <c r="I140" s="2">
        <f t="shared" si="17"/>
        <v>0.16666666666666669</v>
      </c>
      <c r="J140" s="2">
        <f t="shared" si="16"/>
        <v>-0.96558119772402384</v>
      </c>
    </row>
    <row r="141" spans="1:10">
      <c r="A141" s="12">
        <v>9.5764117903311997E-3</v>
      </c>
      <c r="C141" s="5">
        <f>MEDIAN(A138:A152)</f>
        <v>9.6277139070723005E-3</v>
      </c>
      <c r="E141" s="2">
        <v>2.145</v>
      </c>
      <c r="H141" s="12">
        <v>9.5780248151308006E-3</v>
      </c>
      <c r="I141" s="2">
        <f t="shared" si="17"/>
        <v>0.23333333333333334</v>
      </c>
      <c r="J141" s="2">
        <f t="shared" si="16"/>
        <v>-0.72575040815577163</v>
      </c>
    </row>
    <row r="142" spans="1:10">
      <c r="A142" s="12">
        <v>9.5742258357248006E-3</v>
      </c>
      <c r="H142" s="12">
        <v>9.5870109492111992E-3</v>
      </c>
      <c r="I142" s="2">
        <f t="shared" si="17"/>
        <v>0.3</v>
      </c>
      <c r="J142" s="2">
        <f t="shared" si="16"/>
        <v>-0.52246305252576009</v>
      </c>
    </row>
    <row r="143" spans="1:10">
      <c r="A143" s="12">
        <v>9.5870109492111992E-3</v>
      </c>
      <c r="C143" s="3"/>
      <c r="D143" s="1" t="s">
        <v>9</v>
      </c>
      <c r="H143" s="12">
        <v>9.6010304548448996E-3</v>
      </c>
      <c r="I143" s="2">
        <f t="shared" si="17"/>
        <v>0.36666666666666664</v>
      </c>
      <c r="J143" s="2">
        <f t="shared" si="16"/>
        <v>-0.33927638280750583</v>
      </c>
    </row>
    <row r="144" spans="1:10">
      <c r="A144" s="12">
        <v>9.6485665457891005E-3</v>
      </c>
      <c r="C144" s="3" t="s">
        <v>10</v>
      </c>
      <c r="D144" s="2">
        <f>C138+E141*SQRT(D138)/(SQRT(15))</f>
        <v>9.6405183782928196E-3</v>
      </c>
      <c r="H144" s="12">
        <v>9.6099163070151004E-3</v>
      </c>
      <c r="I144" s="2">
        <f t="shared" si="17"/>
        <v>0.43333333333333329</v>
      </c>
      <c r="J144" s="2">
        <f t="shared" si="16"/>
        <v>-0.16715058832373922</v>
      </c>
    </row>
    <row r="145" spans="1:10">
      <c r="A145" s="12">
        <v>9.6806675514740006E-3</v>
      </c>
      <c r="C145" s="3" t="s">
        <v>11</v>
      </c>
      <c r="D145" s="2">
        <f>C138-E141*SQRT(D138)/(SQRT(15))</f>
        <v>9.5998514574913377E-3</v>
      </c>
      <c r="H145" s="12">
        <v>9.6277139070723005E-3</v>
      </c>
      <c r="I145" s="2">
        <f t="shared" si="17"/>
        <v>0.49999999999999994</v>
      </c>
      <c r="J145" s="2">
        <f t="shared" si="16"/>
        <v>0</v>
      </c>
    </row>
    <row r="146" spans="1:10">
      <c r="A146" s="12">
        <v>9.6532286939487993E-3</v>
      </c>
      <c r="H146" s="12">
        <v>9.6280823418527992E-3</v>
      </c>
      <c r="I146" s="2">
        <f t="shared" si="17"/>
        <v>0.56666666666666665</v>
      </c>
      <c r="J146" s="2">
        <f t="shared" si="16"/>
        <v>0.16715058832373922</v>
      </c>
    </row>
    <row r="147" spans="1:10">
      <c r="A147" s="12">
        <v>9.6277139070723005E-3</v>
      </c>
      <c r="H147" s="12">
        <v>9.6449404974516002E-3</v>
      </c>
      <c r="I147" s="2">
        <f t="shared" si="17"/>
        <v>0.6333333333333333</v>
      </c>
      <c r="J147" s="2">
        <f t="shared" si="16"/>
        <v>0.33927638280750583</v>
      </c>
    </row>
    <row r="148" spans="1:10">
      <c r="A148" s="12">
        <v>9.5780248151308006E-3</v>
      </c>
      <c r="H148" s="12">
        <v>9.6485665457891005E-3</v>
      </c>
      <c r="I148" s="2">
        <f t="shared" si="17"/>
        <v>0.7</v>
      </c>
      <c r="J148" s="2">
        <f t="shared" si="16"/>
        <v>0.52246305252576009</v>
      </c>
    </row>
    <row r="149" spans="1:10">
      <c r="A149" s="12">
        <v>9.6564432499534995E-3</v>
      </c>
      <c r="H149" s="12">
        <v>9.6532286939487993E-3</v>
      </c>
      <c r="I149" s="2">
        <f t="shared" si="17"/>
        <v>0.76666666666666661</v>
      </c>
      <c r="J149" s="2">
        <f t="shared" si="16"/>
        <v>0.72575040815577163</v>
      </c>
    </row>
    <row r="150" spans="1:10">
      <c r="A150" s="12">
        <v>9.6010304548448996E-3</v>
      </c>
      <c r="H150" s="12">
        <v>9.6564432499534995E-3</v>
      </c>
      <c r="I150" s="2">
        <f t="shared" si="17"/>
        <v>0.83333333333333326</v>
      </c>
      <c r="J150" s="2">
        <f t="shared" si="16"/>
        <v>0.96558119772402329</v>
      </c>
    </row>
    <row r="151" spans="1:10">
      <c r="A151" s="12">
        <v>9.6449404974516002E-3</v>
      </c>
      <c r="H151" s="12">
        <v>9.6623147905520006E-3</v>
      </c>
      <c r="I151" s="2">
        <f t="shared" si="17"/>
        <v>0.89999999999999991</v>
      </c>
      <c r="J151" s="2">
        <f t="shared" si="16"/>
        <v>1.2811261510381207</v>
      </c>
    </row>
    <row r="152" spans="1:10">
      <c r="A152" s="12">
        <v>9.6623147905520006E-3</v>
      </c>
      <c r="H152" s="12">
        <v>9.6806675514740006E-3</v>
      </c>
      <c r="I152" s="2">
        <f t="shared" si="17"/>
        <v>0.96666666666666656</v>
      </c>
      <c r="J152" s="2">
        <f t="shared" si="16"/>
        <v>1.8368588976886859</v>
      </c>
    </row>
    <row r="153" spans="1:10" s="6" customFormat="1" ht="5.45" customHeight="1">
      <c r="C153" s="7"/>
    </row>
    <row r="154" spans="1:10" ht="13.9" customHeight="1">
      <c r="A154" s="1" t="s">
        <v>61</v>
      </c>
      <c r="C154" s="3" t="s">
        <v>1</v>
      </c>
      <c r="D154" s="1" t="s">
        <v>2</v>
      </c>
      <c r="E154" s="1" t="s">
        <v>3</v>
      </c>
      <c r="F154" s="1"/>
      <c r="H154" s="1" t="s">
        <v>4</v>
      </c>
      <c r="I154" s="1" t="s">
        <v>5</v>
      </c>
      <c r="J154" s="1" t="s">
        <v>6</v>
      </c>
    </row>
    <row r="155" spans="1:10" ht="15.6" customHeight="1">
      <c r="A155" s="4">
        <v>1.1895921276689999E-2</v>
      </c>
      <c r="C155" s="5">
        <f>AVERAGE(A155:A169)</f>
        <v>1.1880433298308667E-2</v>
      </c>
      <c r="D155" s="2">
        <f>_xlfn.VAR.S(A155:A169)</f>
        <v>5.3957573790066164E-9</v>
      </c>
      <c r="E155" s="2">
        <f>SQRT(D155)/C155</f>
        <v>6.1829242576700583E-3</v>
      </c>
      <c r="H155" s="4">
        <v>1.1703367151213E-2</v>
      </c>
      <c r="I155" s="2">
        <f>1/15 - 0.5/15</f>
        <v>3.3333333333333333E-2</v>
      </c>
      <c r="J155" s="2">
        <f t="shared" ref="J155:J169" si="18">4.91*(I155^0.14-(1-I155)^0.14)</f>
        <v>-1.836858897688687</v>
      </c>
    </row>
    <row r="156" spans="1:10" ht="16.899999999999999" customHeight="1">
      <c r="A156" s="4">
        <v>1.1971861822060999E-2</v>
      </c>
      <c r="H156" s="4">
        <v>1.1823681496378999E-2</v>
      </c>
      <c r="I156" s="2">
        <f t="shared" ref="I156:I169" si="19">I155+1/15</f>
        <v>0.1</v>
      </c>
      <c r="J156" s="2">
        <f t="shared" si="18"/>
        <v>-1.2811261510381207</v>
      </c>
    </row>
    <row r="157" spans="1:10" ht="15.6" customHeight="1">
      <c r="A157" s="4">
        <v>1.1883830310361001E-2</v>
      </c>
      <c r="C157" s="3" t="s">
        <v>7</v>
      </c>
      <c r="E157" s="1" t="s">
        <v>8</v>
      </c>
      <c r="H157" s="4">
        <v>1.18311570529E-2</v>
      </c>
      <c r="I157" s="2">
        <f t="shared" si="19"/>
        <v>0.16666666666666669</v>
      </c>
      <c r="J157" s="2">
        <f t="shared" si="18"/>
        <v>-0.96558119772402384</v>
      </c>
    </row>
    <row r="158" spans="1:10" ht="15" customHeight="1">
      <c r="A158" s="4">
        <v>1.1981158496944999E-2</v>
      </c>
      <c r="C158" s="5">
        <f>MEDIAN(A155:A169)</f>
        <v>1.1883830310361001E-2</v>
      </c>
      <c r="E158" s="2">
        <v>2.145</v>
      </c>
      <c r="H158" s="4">
        <v>1.1837188491759E-2</v>
      </c>
      <c r="I158" s="2">
        <f t="shared" si="19"/>
        <v>0.23333333333333334</v>
      </c>
      <c r="J158" s="2">
        <f t="shared" si="18"/>
        <v>-0.72575040815577163</v>
      </c>
    </row>
    <row r="159" spans="1:10" ht="15" customHeight="1">
      <c r="A159" s="4">
        <v>1.1703367151213E-2</v>
      </c>
      <c r="H159" s="4">
        <v>1.1838057137189001E-2</v>
      </c>
      <c r="I159" s="2">
        <f t="shared" si="19"/>
        <v>0.3</v>
      </c>
      <c r="J159" s="2">
        <f t="shared" si="18"/>
        <v>-0.52246305252576009</v>
      </c>
    </row>
    <row r="160" spans="1:10" ht="15.6" customHeight="1">
      <c r="A160" s="4">
        <v>1.1870037994233E-2</v>
      </c>
      <c r="C160" s="3"/>
      <c r="D160" s="1" t="s">
        <v>9</v>
      </c>
      <c r="H160" s="4">
        <v>1.1857338998161999E-2</v>
      </c>
      <c r="I160" s="2">
        <f t="shared" si="19"/>
        <v>0.36666666666666664</v>
      </c>
      <c r="J160" s="2">
        <f t="shared" si="18"/>
        <v>-0.33927638280750583</v>
      </c>
    </row>
    <row r="161" spans="1:10" ht="16.899999999999999" customHeight="1">
      <c r="A161" s="4">
        <v>1.1823681496378999E-2</v>
      </c>
      <c r="C161" s="3" t="s">
        <v>10</v>
      </c>
      <c r="D161" s="2">
        <f>C155+E158*SQRT(D155)/(SQRT(15))</f>
        <v>1.1921115820841686E-2</v>
      </c>
      <c r="H161" s="4">
        <v>1.1870037994233E-2</v>
      </c>
      <c r="I161" s="2">
        <f t="shared" si="19"/>
        <v>0.43333333333333329</v>
      </c>
      <c r="J161" s="2">
        <f t="shared" si="18"/>
        <v>-0.16715058832373922</v>
      </c>
    </row>
    <row r="162" spans="1:10" ht="16.149999999999999" customHeight="1">
      <c r="A162" s="4">
        <v>1.1913700459655001E-2</v>
      </c>
      <c r="C162" s="3" t="s">
        <v>11</v>
      </c>
      <c r="D162" s="2">
        <f>C155-E158*SQRT(D155)/(SQRT(15))</f>
        <v>1.1839750775775648E-2</v>
      </c>
      <c r="H162" s="4">
        <v>1.1883830310361001E-2</v>
      </c>
      <c r="I162" s="2">
        <f t="shared" si="19"/>
        <v>0.49999999999999994</v>
      </c>
      <c r="J162" s="2">
        <f t="shared" si="18"/>
        <v>0</v>
      </c>
    </row>
    <row r="163" spans="1:10" ht="14.25" customHeight="1">
      <c r="A163" s="4">
        <v>1.1838057137189001E-2</v>
      </c>
      <c r="H163" s="4">
        <v>1.1885065234434E-2</v>
      </c>
      <c r="I163" s="2">
        <f t="shared" si="19"/>
        <v>0.56666666666666665</v>
      </c>
      <c r="J163" s="2">
        <f t="shared" si="18"/>
        <v>0.16715058832373922</v>
      </c>
    </row>
    <row r="164" spans="1:10" ht="16.5" customHeight="1">
      <c r="A164" s="4">
        <v>1.18311570529E-2</v>
      </c>
      <c r="H164" s="4">
        <v>1.1895921276689999E-2</v>
      </c>
      <c r="I164" s="2">
        <f t="shared" si="19"/>
        <v>0.6333333333333333</v>
      </c>
      <c r="J164" s="2">
        <f t="shared" si="18"/>
        <v>0.33927638280750583</v>
      </c>
    </row>
    <row r="165" spans="1:10" ht="12.6" customHeight="1">
      <c r="A165" s="4">
        <v>1.1885065234434E-2</v>
      </c>
      <c r="H165" s="4">
        <v>1.1913700459655001E-2</v>
      </c>
      <c r="I165" s="2">
        <f t="shared" si="19"/>
        <v>0.7</v>
      </c>
      <c r="J165" s="2">
        <f t="shared" si="18"/>
        <v>0.52246305252576009</v>
      </c>
    </row>
    <row r="166" spans="1:10" ht="13.9" customHeight="1">
      <c r="A166" s="4">
        <v>1.1837188491759E-2</v>
      </c>
      <c r="H166" s="4">
        <v>1.1920995253060999E-2</v>
      </c>
      <c r="I166" s="2">
        <f t="shared" si="19"/>
        <v>0.76666666666666661</v>
      </c>
      <c r="J166" s="2">
        <f t="shared" si="18"/>
        <v>0.72575040815577163</v>
      </c>
    </row>
    <row r="167" spans="1:10" ht="18" customHeight="1">
      <c r="A167" s="4">
        <v>1.1857338998161999E-2</v>
      </c>
      <c r="H167" s="4">
        <v>1.1971861822060999E-2</v>
      </c>
      <c r="I167" s="2">
        <f t="shared" si="19"/>
        <v>0.83333333333333326</v>
      </c>
      <c r="J167" s="2">
        <f t="shared" si="18"/>
        <v>0.96558119772402329</v>
      </c>
    </row>
    <row r="168" spans="1:10" ht="17.45" customHeight="1">
      <c r="A168" s="4">
        <v>1.1993138299588001E-2</v>
      </c>
      <c r="H168" s="4">
        <v>1.1981158496944999E-2</v>
      </c>
      <c r="I168" s="2">
        <f t="shared" si="19"/>
        <v>0.89999999999999991</v>
      </c>
      <c r="J168" s="2">
        <f t="shared" si="18"/>
        <v>1.2811261510381207</v>
      </c>
    </row>
    <row r="169" spans="1:10" ht="15.6" customHeight="1">
      <c r="A169" s="4">
        <v>1.1920995253060999E-2</v>
      </c>
      <c r="H169" s="4">
        <v>1.1993138299588001E-2</v>
      </c>
      <c r="I169" s="2">
        <f t="shared" si="19"/>
        <v>0.96666666666666656</v>
      </c>
      <c r="J169" s="2">
        <f t="shared" si="18"/>
        <v>1.8368588976886859</v>
      </c>
    </row>
    <row r="170" spans="1:10" s="6" customFormat="1" ht="3.6" customHeight="1">
      <c r="C170" s="7"/>
    </row>
    <row r="171" spans="1:10" ht="15.6" customHeight="1">
      <c r="A171" s="1" t="s">
        <v>62</v>
      </c>
      <c r="C171" s="3" t="s">
        <v>1</v>
      </c>
      <c r="D171" s="1" t="s">
        <v>2</v>
      </c>
      <c r="E171" s="1" t="s">
        <v>3</v>
      </c>
      <c r="F171" s="1"/>
      <c r="H171" s="1" t="s">
        <v>4</v>
      </c>
      <c r="I171" s="1" t="s">
        <v>5</v>
      </c>
      <c r="J171" s="1" t="s">
        <v>6</v>
      </c>
    </row>
    <row r="172" spans="1:10" ht="15.6" customHeight="1">
      <c r="A172" s="4">
        <v>1.8689771248448998E-2</v>
      </c>
      <c r="C172" s="5">
        <f>AVERAGE(A172:A186)</f>
        <v>1.8759460581442334E-2</v>
      </c>
      <c r="D172" s="2">
        <f>_xlfn.VAR.S(A172:A186)</f>
        <v>2.0815710427788977E-8</v>
      </c>
      <c r="E172" s="2">
        <f>SQRT(D172)/C172</f>
        <v>7.6908664948014942E-3</v>
      </c>
      <c r="H172" s="4">
        <v>1.8429488494284999E-2</v>
      </c>
      <c r="I172" s="2">
        <f>1/15 - 0.5/15</f>
        <v>3.3333333333333333E-2</v>
      </c>
      <c r="J172" s="2">
        <f t="shared" ref="J172:J186" si="20">4.91*(I172^0.14-(1-I172)^0.14)</f>
        <v>-1.836858897688687</v>
      </c>
    </row>
    <row r="173" spans="1:10" ht="15.6" customHeight="1">
      <c r="A173" s="4">
        <v>1.8836023775832E-2</v>
      </c>
      <c r="H173" s="4">
        <v>1.8596409892490999E-2</v>
      </c>
      <c r="I173" s="2">
        <f t="shared" ref="I173:I186" si="21">I172+1/15</f>
        <v>0.1</v>
      </c>
      <c r="J173" s="2">
        <f t="shared" si="20"/>
        <v>-1.2811261510381207</v>
      </c>
    </row>
    <row r="174" spans="1:10" ht="15.6" customHeight="1">
      <c r="A174" s="4">
        <v>1.8785634959146001E-2</v>
      </c>
      <c r="C174" s="3" t="s">
        <v>7</v>
      </c>
      <c r="E174" s="1" t="s">
        <v>8</v>
      </c>
      <c r="H174" s="4">
        <v>1.8611540031079999E-2</v>
      </c>
      <c r="I174" s="2">
        <f t="shared" si="21"/>
        <v>0.16666666666666669</v>
      </c>
      <c r="J174" s="2">
        <f t="shared" si="20"/>
        <v>-0.96558119772402384</v>
      </c>
    </row>
    <row r="175" spans="1:10" ht="15.6" customHeight="1">
      <c r="A175" s="4">
        <v>1.8805577115112999E-2</v>
      </c>
      <c r="C175" s="5">
        <f>MEDIAN(A172:A186)</f>
        <v>1.8785634959146001E-2</v>
      </c>
      <c r="E175" s="2">
        <v>2.145</v>
      </c>
      <c r="H175" s="4">
        <v>1.8671649489110001E-2</v>
      </c>
      <c r="I175" s="2">
        <f t="shared" si="21"/>
        <v>0.23333333333333334</v>
      </c>
      <c r="J175" s="2">
        <f t="shared" si="20"/>
        <v>-0.72575040815577163</v>
      </c>
    </row>
    <row r="176" spans="1:10" ht="15.6" customHeight="1">
      <c r="A176" s="4">
        <v>1.8596409892490999E-2</v>
      </c>
      <c r="H176" s="4">
        <v>1.8689771248448998E-2</v>
      </c>
      <c r="I176" s="2">
        <f t="shared" si="21"/>
        <v>0.3</v>
      </c>
      <c r="J176" s="2">
        <f t="shared" si="20"/>
        <v>-0.52246305252576009</v>
      </c>
    </row>
    <row r="177" spans="1:10" ht="15.6" customHeight="1">
      <c r="A177" s="4">
        <v>1.8611540031079999E-2</v>
      </c>
      <c r="C177" s="3"/>
      <c r="D177" s="1" t="s">
        <v>9</v>
      </c>
      <c r="H177" s="4">
        <v>1.8726620473220001E-2</v>
      </c>
      <c r="I177" s="2">
        <f t="shared" si="21"/>
        <v>0.36666666666666664</v>
      </c>
      <c r="J177" s="2">
        <f t="shared" si="20"/>
        <v>-0.33927638280750583</v>
      </c>
    </row>
    <row r="178" spans="1:10" ht="15.6" customHeight="1">
      <c r="A178" s="4">
        <v>1.8918715334756999E-2</v>
      </c>
      <c r="C178" s="3" t="s">
        <v>10</v>
      </c>
      <c r="D178" s="2">
        <f>C172+E175*SQRT(D172)/(SQRT(15))</f>
        <v>1.883936619412422E-2</v>
      </c>
      <c r="H178" s="4">
        <v>1.8756170369408999E-2</v>
      </c>
      <c r="I178" s="2">
        <f t="shared" si="21"/>
        <v>0.43333333333333329</v>
      </c>
      <c r="J178" s="2">
        <f t="shared" si="20"/>
        <v>-0.16715058832373922</v>
      </c>
    </row>
    <row r="179" spans="1:10" ht="15.6" customHeight="1">
      <c r="A179" s="4">
        <v>1.8893455099572E-2</v>
      </c>
      <c r="C179" s="3" t="s">
        <v>11</v>
      </c>
      <c r="D179" s="2">
        <f>C172-E175*SQRT(D172)/(SQRT(15))</f>
        <v>1.8679554968760448E-2</v>
      </c>
      <c r="H179" s="4">
        <v>1.8785634959146001E-2</v>
      </c>
      <c r="I179" s="2">
        <f t="shared" si="21"/>
        <v>0.49999999999999994</v>
      </c>
      <c r="J179" s="2">
        <f t="shared" si="20"/>
        <v>0</v>
      </c>
    </row>
    <row r="180" spans="1:10" ht="15.6" customHeight="1">
      <c r="A180" s="4">
        <v>1.8756170369408999E-2</v>
      </c>
      <c r="H180" s="4">
        <v>1.8805577115112999E-2</v>
      </c>
      <c r="I180" s="2">
        <f t="shared" si="21"/>
        <v>0.56666666666666665</v>
      </c>
      <c r="J180" s="2">
        <f t="shared" si="20"/>
        <v>0.16715058832373922</v>
      </c>
    </row>
    <row r="181" spans="1:10" ht="15.6" customHeight="1">
      <c r="A181" s="4">
        <v>1.8671649489110001E-2</v>
      </c>
      <c r="H181" s="4">
        <v>1.8819333839400001E-2</v>
      </c>
      <c r="I181" s="2">
        <f t="shared" si="21"/>
        <v>0.6333333333333333</v>
      </c>
      <c r="J181" s="2">
        <f t="shared" si="20"/>
        <v>0.33927638280750583</v>
      </c>
    </row>
    <row r="182" spans="1:10" ht="15.6" customHeight="1">
      <c r="A182" s="4">
        <v>1.8994788151436001E-2</v>
      </c>
      <c r="H182" s="4">
        <v>1.8836023775832E-2</v>
      </c>
      <c r="I182" s="2">
        <f t="shared" si="21"/>
        <v>0.7</v>
      </c>
      <c r="J182" s="2">
        <f t="shared" si="20"/>
        <v>0.52246305252576009</v>
      </c>
    </row>
    <row r="183" spans="1:10" ht="15.6" customHeight="1">
      <c r="A183" s="4">
        <v>1.8726620473220001E-2</v>
      </c>
      <c r="H183" s="4">
        <v>1.8856730448335E-2</v>
      </c>
      <c r="I183" s="2">
        <f t="shared" si="21"/>
        <v>0.76666666666666661</v>
      </c>
      <c r="J183" s="2">
        <f t="shared" si="20"/>
        <v>0.72575040815577163</v>
      </c>
    </row>
    <row r="184" spans="1:10" ht="15.6" customHeight="1">
      <c r="A184" s="4">
        <v>1.8856730448335E-2</v>
      </c>
      <c r="H184" s="4">
        <v>1.8893455099572E-2</v>
      </c>
      <c r="I184" s="2">
        <f t="shared" si="21"/>
        <v>0.83333333333333326</v>
      </c>
      <c r="J184" s="2">
        <f t="shared" si="20"/>
        <v>0.96558119772402329</v>
      </c>
    </row>
    <row r="185" spans="1:10" ht="15.6" customHeight="1">
      <c r="A185" s="4">
        <v>1.8429488494284999E-2</v>
      </c>
      <c r="H185" s="4">
        <v>1.8918715334756999E-2</v>
      </c>
      <c r="I185" s="2">
        <f t="shared" si="21"/>
        <v>0.89999999999999991</v>
      </c>
      <c r="J185" s="2">
        <f t="shared" si="20"/>
        <v>1.2811261510381207</v>
      </c>
    </row>
    <row r="186" spans="1:10" ht="15.6" customHeight="1">
      <c r="A186" s="4">
        <v>1.8819333839400001E-2</v>
      </c>
      <c r="H186" s="4">
        <v>1.8994788151436001E-2</v>
      </c>
      <c r="I186" s="2">
        <f t="shared" si="21"/>
        <v>0.96666666666666656</v>
      </c>
      <c r="J186" s="2">
        <f t="shared" si="20"/>
        <v>1.8368588976886859</v>
      </c>
    </row>
    <row r="187" spans="1:10" s="6" customFormat="1" ht="4.1500000000000004" customHeight="1">
      <c r="C187" s="7"/>
    </row>
    <row r="188" spans="1:10" ht="16.5" customHeight="1">
      <c r="A188" s="1" t="s">
        <v>63</v>
      </c>
      <c r="C188" s="3" t="s">
        <v>1</v>
      </c>
      <c r="D188" s="1" t="s">
        <v>2</v>
      </c>
      <c r="E188" s="1" t="s">
        <v>3</v>
      </c>
      <c r="F188" s="1"/>
      <c r="H188" s="1" t="s">
        <v>4</v>
      </c>
      <c r="I188" s="1" t="s">
        <v>5</v>
      </c>
      <c r="J188" s="1" t="s">
        <v>6</v>
      </c>
    </row>
    <row r="189" spans="1:10" ht="11.45" customHeight="1">
      <c r="A189" s="4">
        <v>2.4550023929438999E-2</v>
      </c>
      <c r="C189" s="5">
        <f>AVERAGE(A189:A203)</f>
        <v>2.4370919700123134E-2</v>
      </c>
      <c r="D189" s="2">
        <f>_xlfn.VAR.S(A189:A203)</f>
        <v>4.4730307023044788E-8</v>
      </c>
      <c r="E189" s="2">
        <f>SQRT(D189)/C189</f>
        <v>8.6781873325411062E-3</v>
      </c>
      <c r="H189" s="4">
        <v>2.3812293933102999E-2</v>
      </c>
      <c r="I189" s="2">
        <f>1/15 - 0.5/15</f>
        <v>3.3333333333333333E-2</v>
      </c>
      <c r="J189" s="2">
        <f t="shared" ref="J189:J203" si="22">4.91*(I189^0.14-(1-I189)^0.14)</f>
        <v>-1.836858897688687</v>
      </c>
    </row>
    <row r="190" spans="1:10" ht="11.45" customHeight="1">
      <c r="A190" s="4">
        <v>2.433684079818E-2</v>
      </c>
      <c r="H190" s="4">
        <v>2.4154198467263001E-2</v>
      </c>
      <c r="I190" s="2">
        <f t="shared" ref="I190:I203" si="23">I189+1/15</f>
        <v>0.1</v>
      </c>
      <c r="J190" s="2">
        <f t="shared" si="22"/>
        <v>-1.2811261510381207</v>
      </c>
    </row>
    <row r="191" spans="1:10" ht="11.45" customHeight="1">
      <c r="A191" s="4">
        <v>2.4154198467263001E-2</v>
      </c>
      <c r="C191" s="3" t="s">
        <v>7</v>
      </c>
      <c r="E191" s="1" t="s">
        <v>8</v>
      </c>
      <c r="H191" s="4">
        <v>2.4181956070078999E-2</v>
      </c>
      <c r="I191" s="2">
        <f t="shared" si="23"/>
        <v>0.16666666666666669</v>
      </c>
      <c r="J191" s="2">
        <f t="shared" si="22"/>
        <v>-0.96558119772402384</v>
      </c>
    </row>
    <row r="192" spans="1:10" ht="11.45" customHeight="1">
      <c r="A192" s="4">
        <v>2.4548977636244002E-2</v>
      </c>
      <c r="C192" s="5">
        <f>MEDIAN(A189:A203)</f>
        <v>2.4388138375573E-2</v>
      </c>
      <c r="E192" s="2">
        <v>2.145</v>
      </c>
      <c r="H192" s="4">
        <v>2.4262628625395001E-2</v>
      </c>
      <c r="I192" s="2">
        <f t="shared" si="23"/>
        <v>0.23333333333333334</v>
      </c>
      <c r="J192" s="2">
        <f t="shared" si="22"/>
        <v>-0.72575040815577163</v>
      </c>
    </row>
    <row r="193" spans="1:10" ht="11.45" customHeight="1">
      <c r="A193" s="4">
        <v>2.4489699734304E-2</v>
      </c>
      <c r="H193" s="4">
        <v>2.4303839690462001E-2</v>
      </c>
      <c r="I193" s="2">
        <f t="shared" si="23"/>
        <v>0.3</v>
      </c>
      <c r="J193" s="2">
        <f t="shared" si="22"/>
        <v>-0.52246305252576009</v>
      </c>
    </row>
    <row r="194" spans="1:10" ht="11.45" customHeight="1">
      <c r="A194" s="4">
        <v>2.4388138375573E-2</v>
      </c>
      <c r="C194" s="3"/>
      <c r="D194" s="1" t="s">
        <v>9</v>
      </c>
      <c r="H194" s="4">
        <v>2.433684079818E-2</v>
      </c>
      <c r="I194" s="2">
        <f t="shared" si="23"/>
        <v>0.36666666666666664</v>
      </c>
      <c r="J194" s="2">
        <f t="shared" si="22"/>
        <v>-0.33927638280750583</v>
      </c>
    </row>
    <row r="195" spans="1:10" ht="11.45" customHeight="1">
      <c r="A195" s="4">
        <v>2.4365814672435999E-2</v>
      </c>
      <c r="C195" s="3" t="s">
        <v>10</v>
      </c>
      <c r="D195" s="2">
        <f>C189+E192*SQRT(D189)/(SQRT(15))</f>
        <v>2.4488053600957665E-2</v>
      </c>
      <c r="H195" s="4">
        <v>2.4365814672435999E-2</v>
      </c>
      <c r="I195" s="2">
        <f t="shared" si="23"/>
        <v>0.43333333333333329</v>
      </c>
      <c r="J195" s="2">
        <f t="shared" si="22"/>
        <v>-0.16715058832373922</v>
      </c>
    </row>
    <row r="196" spans="1:10" ht="11.45" customHeight="1">
      <c r="A196" s="4">
        <v>2.4181956070078999E-2</v>
      </c>
      <c r="C196" s="3" t="s">
        <v>11</v>
      </c>
      <c r="D196" s="2">
        <f>C189-E192*SQRT(D189)/(SQRT(15))</f>
        <v>2.4253785799288604E-2</v>
      </c>
      <c r="H196" s="4">
        <v>2.4388138375573E-2</v>
      </c>
      <c r="I196" s="2">
        <f t="shared" si="23"/>
        <v>0.49999999999999994</v>
      </c>
      <c r="J196" s="2">
        <f t="shared" si="22"/>
        <v>0</v>
      </c>
    </row>
    <row r="197" spans="1:10" ht="11.45" customHeight="1">
      <c r="A197" s="4">
        <v>2.4448122855392999E-2</v>
      </c>
      <c r="H197" s="4">
        <v>2.4448122855392999E-2</v>
      </c>
      <c r="I197" s="2">
        <f t="shared" si="23"/>
        <v>0.56666666666666665</v>
      </c>
      <c r="J197" s="2">
        <f t="shared" si="22"/>
        <v>0.16715058832373922</v>
      </c>
    </row>
    <row r="198" spans="1:10" ht="11.45" customHeight="1">
      <c r="A198" s="4">
        <v>2.4568744184077E-2</v>
      </c>
      <c r="H198" s="4">
        <v>2.4489699734304E-2</v>
      </c>
      <c r="I198" s="2">
        <f t="shared" si="23"/>
        <v>0.6333333333333333</v>
      </c>
      <c r="J198" s="2">
        <f t="shared" si="22"/>
        <v>0.33927638280750583</v>
      </c>
    </row>
    <row r="199" spans="1:10" ht="11.45" customHeight="1">
      <c r="A199" s="4">
        <v>2.4262628625395001E-2</v>
      </c>
      <c r="H199" s="4">
        <v>2.4519419685882001E-2</v>
      </c>
      <c r="I199" s="2">
        <f t="shared" si="23"/>
        <v>0.7</v>
      </c>
      <c r="J199" s="2">
        <f t="shared" si="22"/>
        <v>0.52246305252576009</v>
      </c>
    </row>
    <row r="200" spans="1:10" ht="11.45" customHeight="1">
      <c r="A200" s="4">
        <v>2.4519419685882001E-2</v>
      </c>
      <c r="H200" s="4">
        <v>2.4548977636244002E-2</v>
      </c>
      <c r="I200" s="2">
        <f t="shared" si="23"/>
        <v>0.76666666666666661</v>
      </c>
      <c r="J200" s="2">
        <f t="shared" si="22"/>
        <v>0.72575040815577163</v>
      </c>
    </row>
    <row r="201" spans="1:10" ht="11.45" customHeight="1">
      <c r="A201" s="4">
        <v>2.3812293933102999E-2</v>
      </c>
      <c r="H201" s="4">
        <v>2.4550023929438999E-2</v>
      </c>
      <c r="I201" s="2">
        <f t="shared" si="23"/>
        <v>0.83333333333333326</v>
      </c>
      <c r="J201" s="2">
        <f t="shared" si="22"/>
        <v>0.96558119772402329</v>
      </c>
    </row>
    <row r="202" spans="1:10" ht="11.45" customHeight="1">
      <c r="A202" s="4">
        <v>2.4633096844016999E-2</v>
      </c>
      <c r="H202" s="4">
        <v>2.4568744184077E-2</v>
      </c>
      <c r="I202" s="2">
        <f t="shared" si="23"/>
        <v>0.89999999999999991</v>
      </c>
      <c r="J202" s="2">
        <f t="shared" si="22"/>
        <v>1.2811261510381207</v>
      </c>
    </row>
    <row r="203" spans="1:10" ht="11.45" customHeight="1">
      <c r="A203" s="4">
        <v>2.4303839690462001E-2</v>
      </c>
      <c r="H203" s="4">
        <v>2.4633096844016999E-2</v>
      </c>
      <c r="I203" s="2">
        <f t="shared" si="23"/>
        <v>0.96666666666666656</v>
      </c>
      <c r="J203" s="2">
        <f t="shared" si="22"/>
        <v>1.8368588976886859</v>
      </c>
    </row>
    <row r="204" spans="1:10" s="6" customFormat="1" ht="5.45" customHeight="1">
      <c r="C204" s="7"/>
    </row>
    <row r="205" spans="1:10" ht="11.45" customHeight="1">
      <c r="A205" s="1" t="s">
        <v>64</v>
      </c>
      <c r="C205" s="3" t="s">
        <v>1</v>
      </c>
      <c r="D205" s="1" t="s">
        <v>2</v>
      </c>
      <c r="E205" s="1" t="s">
        <v>3</v>
      </c>
      <c r="F205" s="1"/>
      <c r="H205" s="1" t="s">
        <v>4</v>
      </c>
      <c r="I205" s="1" t="s">
        <v>5</v>
      </c>
      <c r="J205" s="1" t="s">
        <v>6</v>
      </c>
    </row>
    <row r="206" spans="1:10">
      <c r="A206" s="4">
        <v>9.4695875850699992E-3</v>
      </c>
      <c r="C206" s="5">
        <f>AVERAGE(A206:A220)</f>
        <v>9.4396823246931938E-3</v>
      </c>
      <c r="D206" s="2">
        <f>_xlfn.VAR.S(A206:A220)</f>
        <v>9.7487167087264097E-10</v>
      </c>
      <c r="E206" s="2">
        <f>SQRT(D206)/C206</f>
        <v>3.3076256106702577E-3</v>
      </c>
      <c r="H206" s="4">
        <v>9.3747631078326E-3</v>
      </c>
      <c r="I206" s="2">
        <f>1/15 - 0.5/15</f>
        <v>3.3333333333333333E-2</v>
      </c>
      <c r="J206" s="2">
        <f t="shared" ref="J206:J220" si="24">4.91*(I206^0.14-(1-I206)^0.14)</f>
        <v>-1.836858897688687</v>
      </c>
    </row>
    <row r="207" spans="1:10">
      <c r="A207" s="4">
        <v>9.4763233923081999E-3</v>
      </c>
      <c r="H207" s="4">
        <v>9.4049020009935001E-3</v>
      </c>
      <c r="I207" s="2">
        <f t="shared" ref="I207:I220" si="25">I206+1/15</f>
        <v>0.1</v>
      </c>
      <c r="J207" s="2">
        <f t="shared" si="24"/>
        <v>-1.2811261510381207</v>
      </c>
    </row>
    <row r="208" spans="1:10" ht="11.45" customHeight="1">
      <c r="A208" s="4">
        <v>9.4275056054289996E-3</v>
      </c>
      <c r="C208" s="3" t="s">
        <v>7</v>
      </c>
      <c r="E208" s="1" t="s">
        <v>8</v>
      </c>
      <c r="H208" s="4">
        <v>9.4176745874657002E-3</v>
      </c>
      <c r="I208" s="2">
        <f t="shared" si="25"/>
        <v>0.16666666666666669</v>
      </c>
      <c r="J208" s="2">
        <f t="shared" si="24"/>
        <v>-0.96558119772402384</v>
      </c>
    </row>
    <row r="209" spans="1:10">
      <c r="A209" s="4">
        <v>9.4279609102967E-3</v>
      </c>
      <c r="C209" s="5">
        <f>MEDIAN(A206:A220)</f>
        <v>9.4350676372154003E-3</v>
      </c>
      <c r="E209" s="2">
        <v>2.145</v>
      </c>
      <c r="H209" s="4">
        <v>9.4207177828848007E-3</v>
      </c>
      <c r="I209" s="2">
        <f t="shared" si="25"/>
        <v>0.23333333333333334</v>
      </c>
      <c r="J209" s="2">
        <f t="shared" si="24"/>
        <v>-0.72575040815577163</v>
      </c>
    </row>
    <row r="210" spans="1:10">
      <c r="A210" s="4">
        <v>9.4176745874657002E-3</v>
      </c>
      <c r="H210" s="4">
        <v>9.4227445303871008E-3</v>
      </c>
      <c r="I210" s="2">
        <f t="shared" si="25"/>
        <v>0.3</v>
      </c>
      <c r="J210" s="2">
        <f t="shared" si="24"/>
        <v>-0.52246305252576009</v>
      </c>
    </row>
    <row r="211" spans="1:10" ht="11.45" customHeight="1">
      <c r="A211" s="4">
        <v>9.4449291520116996E-3</v>
      </c>
      <c r="C211" s="3"/>
      <c r="D211" s="1" t="s">
        <v>9</v>
      </c>
      <c r="H211" s="4">
        <v>9.4275056054289996E-3</v>
      </c>
      <c r="I211" s="2">
        <f t="shared" si="25"/>
        <v>0.36666666666666664</v>
      </c>
      <c r="J211" s="2">
        <f t="shared" si="24"/>
        <v>-0.33927638280750583</v>
      </c>
    </row>
    <row r="212" spans="1:10" ht="11.45" customHeight="1">
      <c r="A212" s="4">
        <v>9.4049020009935001E-3</v>
      </c>
      <c r="C212" s="3" t="s">
        <v>10</v>
      </c>
      <c r="D212" s="2">
        <f>C206+E209*SQRT(D206)/(SQRT(15))</f>
        <v>9.4569747294410908E-3</v>
      </c>
      <c r="H212" s="4">
        <v>9.4279609102967E-3</v>
      </c>
      <c r="I212" s="2">
        <f t="shared" si="25"/>
        <v>0.43333333333333329</v>
      </c>
      <c r="J212" s="2">
        <f t="shared" si="24"/>
        <v>-0.16715058832373922</v>
      </c>
    </row>
    <row r="213" spans="1:10" ht="11.45" customHeight="1">
      <c r="A213" s="4">
        <v>9.3747631078326E-3</v>
      </c>
      <c r="C213" s="3" t="s">
        <v>11</v>
      </c>
      <c r="D213" s="2">
        <f>C206-E209*SQRT(D206)/(SQRT(15))</f>
        <v>9.4223899199452968E-3</v>
      </c>
      <c r="H213" s="4">
        <v>9.4350676372154003E-3</v>
      </c>
      <c r="I213" s="2">
        <f t="shared" si="25"/>
        <v>0.49999999999999994</v>
      </c>
      <c r="J213" s="2">
        <f t="shared" si="24"/>
        <v>0</v>
      </c>
    </row>
    <row r="214" spans="1:10">
      <c r="A214" s="4">
        <v>9.4643827926781995E-3</v>
      </c>
      <c r="H214" s="4">
        <v>9.4449291520116996E-3</v>
      </c>
      <c r="I214" s="2">
        <f t="shared" si="25"/>
        <v>0.56666666666666665</v>
      </c>
      <c r="J214" s="2">
        <f t="shared" si="24"/>
        <v>0.16715058832373922</v>
      </c>
    </row>
    <row r="215" spans="1:10">
      <c r="A215" s="4">
        <v>9.4583419099974007E-3</v>
      </c>
      <c r="H215" s="4">
        <v>9.4523069868464003E-3</v>
      </c>
      <c r="I215" s="2">
        <f t="shared" si="25"/>
        <v>0.6333333333333333</v>
      </c>
      <c r="J215" s="2">
        <f t="shared" si="24"/>
        <v>0.33927638280750583</v>
      </c>
    </row>
    <row r="216" spans="1:10">
      <c r="A216" s="4">
        <v>9.4350676372154003E-3</v>
      </c>
      <c r="H216" s="4">
        <v>9.4583419099974007E-3</v>
      </c>
      <c r="I216" s="2">
        <f t="shared" si="25"/>
        <v>0.7</v>
      </c>
      <c r="J216" s="2">
        <f t="shared" si="24"/>
        <v>0.52246305252576009</v>
      </c>
    </row>
    <row r="217" spans="1:10">
      <c r="A217" s="4">
        <v>9.4980268889812008E-3</v>
      </c>
      <c r="H217" s="4">
        <v>9.4643827926781995E-3</v>
      </c>
      <c r="I217" s="2">
        <f t="shared" si="25"/>
        <v>0.76666666666666661</v>
      </c>
      <c r="J217" s="2">
        <f t="shared" si="24"/>
        <v>0.72575040815577163</v>
      </c>
    </row>
    <row r="218" spans="1:10">
      <c r="A218" s="4">
        <v>9.4207177828848007E-3</v>
      </c>
      <c r="H218" s="4">
        <v>9.4695875850699992E-3</v>
      </c>
      <c r="I218" s="2">
        <f t="shared" si="25"/>
        <v>0.83333333333333326</v>
      </c>
      <c r="J218" s="2">
        <f t="shared" si="24"/>
        <v>0.96558119772402329</v>
      </c>
    </row>
    <row r="219" spans="1:10">
      <c r="A219" s="4">
        <v>9.4523069868464003E-3</v>
      </c>
      <c r="H219" s="4">
        <v>9.4763233923081999E-3</v>
      </c>
      <c r="I219" s="2">
        <f t="shared" si="25"/>
        <v>0.89999999999999991</v>
      </c>
      <c r="J219" s="2">
        <f t="shared" si="24"/>
        <v>1.2811261510381207</v>
      </c>
    </row>
    <row r="220" spans="1:10">
      <c r="A220" s="4">
        <v>9.4227445303871008E-3</v>
      </c>
      <c r="H220" s="4">
        <v>9.4980268889812008E-3</v>
      </c>
      <c r="I220" s="2">
        <f t="shared" si="25"/>
        <v>0.96666666666666656</v>
      </c>
      <c r="J220" s="2">
        <f t="shared" si="24"/>
        <v>1.8368588976886859</v>
      </c>
    </row>
    <row r="221" spans="1:10" s="6" customFormat="1">
      <c r="C221" s="7"/>
    </row>
    <row r="222" spans="1:10">
      <c r="A222" s="1" t="s">
        <v>65</v>
      </c>
      <c r="C222" s="3" t="s">
        <v>1</v>
      </c>
      <c r="D222" s="1" t="s">
        <v>2</v>
      </c>
      <c r="E222" s="1" t="s">
        <v>3</v>
      </c>
      <c r="F222" s="1"/>
      <c r="H222" s="1" t="s">
        <v>4</v>
      </c>
      <c r="I222" s="1" t="s">
        <v>5</v>
      </c>
      <c r="J222" s="1" t="s">
        <v>6</v>
      </c>
    </row>
    <row r="223" spans="1:10">
      <c r="A223" s="4">
        <v>1.1602067323752E-2</v>
      </c>
      <c r="C223" s="5">
        <f>AVERAGE(A223:A237)</f>
        <v>1.1547376815054865E-2</v>
      </c>
      <c r="D223" s="2">
        <f>_xlfn.VAR.S(A223:A237)</f>
        <v>4.5511670937717725E-9</v>
      </c>
      <c r="E223" s="2">
        <f>SQRT(D223)/C223</f>
        <v>5.8422219536584663E-3</v>
      </c>
      <c r="H223" s="4">
        <v>1.1339141095093999E-2</v>
      </c>
      <c r="I223" s="2">
        <f>1/15 - 0.5/15</f>
        <v>3.3333333333333333E-2</v>
      </c>
      <c r="J223" s="2">
        <f t="shared" ref="J223:J237" si="26">4.91*(I223^0.14-(1-I223)^0.14)</f>
        <v>-1.836858897688687</v>
      </c>
    </row>
    <row r="224" spans="1:10">
      <c r="A224" s="4">
        <v>1.1339141095093999E-2</v>
      </c>
      <c r="H224" s="4">
        <v>1.1509137028782999E-2</v>
      </c>
      <c r="I224" s="2">
        <f t="shared" ref="I224:I237" si="27">I223+1/15</f>
        <v>0.1</v>
      </c>
      <c r="J224" s="2">
        <f t="shared" si="26"/>
        <v>-1.2811261510381207</v>
      </c>
    </row>
    <row r="225" spans="1:10">
      <c r="A225" s="4">
        <v>1.1532856172539E-2</v>
      </c>
      <c r="C225" s="3" t="s">
        <v>7</v>
      </c>
      <c r="E225" s="1" t="s">
        <v>8</v>
      </c>
      <c r="H225" s="4">
        <v>1.1510972879007E-2</v>
      </c>
      <c r="I225" s="2">
        <f t="shared" si="27"/>
        <v>0.16666666666666669</v>
      </c>
      <c r="J225" s="2">
        <f t="shared" si="26"/>
        <v>-0.96558119772402384</v>
      </c>
    </row>
    <row r="226" spans="1:10">
      <c r="A226" s="4">
        <v>1.1510972879007E-2</v>
      </c>
      <c r="C226" s="5">
        <f>MEDIAN(A223:A237)</f>
        <v>1.1562076793575E-2</v>
      </c>
      <c r="E226" s="2">
        <v>2.145</v>
      </c>
      <c r="H226" s="4">
        <v>1.1513638708645E-2</v>
      </c>
      <c r="I226" s="2">
        <f t="shared" si="27"/>
        <v>0.23333333333333334</v>
      </c>
      <c r="J226" s="2">
        <f t="shared" si="26"/>
        <v>-0.72575040815577163</v>
      </c>
    </row>
    <row r="227" spans="1:10">
      <c r="A227" s="4">
        <v>1.1513638708645E-2</v>
      </c>
      <c r="H227" s="4">
        <v>1.1532856172539E-2</v>
      </c>
      <c r="I227" s="2">
        <f t="shared" si="27"/>
        <v>0.3</v>
      </c>
      <c r="J227" s="2">
        <f t="shared" si="26"/>
        <v>-0.52246305252576009</v>
      </c>
    </row>
    <row r="228" spans="1:10">
      <c r="A228" s="4">
        <v>1.1556721204874E-2</v>
      </c>
      <c r="C228" s="3"/>
      <c r="D228" s="1" t="s">
        <v>9</v>
      </c>
      <c r="H228" s="4">
        <v>1.1546667974914E-2</v>
      </c>
      <c r="I228" s="2">
        <f t="shared" si="27"/>
        <v>0.36666666666666664</v>
      </c>
      <c r="J228" s="2">
        <f t="shared" si="26"/>
        <v>-0.33927638280750583</v>
      </c>
    </row>
    <row r="229" spans="1:10">
      <c r="A229" s="4">
        <v>1.1562076793575E-2</v>
      </c>
      <c r="C229" s="3" t="s">
        <v>10</v>
      </c>
      <c r="D229" s="2">
        <f>C223+E226*SQRT(D223)/(SQRT(15))</f>
        <v>1.1584739928395539E-2</v>
      </c>
      <c r="H229" s="4">
        <v>1.1556721204874E-2</v>
      </c>
      <c r="I229" s="2">
        <f t="shared" si="27"/>
        <v>0.43333333333333329</v>
      </c>
      <c r="J229" s="2">
        <f t="shared" si="26"/>
        <v>-0.16715058832373922</v>
      </c>
    </row>
    <row r="230" spans="1:10">
      <c r="A230" s="4">
        <v>1.1546667974914E-2</v>
      </c>
      <c r="C230" s="3" t="s">
        <v>11</v>
      </c>
      <c r="D230" s="2">
        <f>C223-E226*SQRT(D223)/(SQRT(15))</f>
        <v>1.1510013701714191E-2</v>
      </c>
      <c r="H230" s="4">
        <v>1.1562076793575E-2</v>
      </c>
      <c r="I230" s="2">
        <f t="shared" si="27"/>
        <v>0.49999999999999994</v>
      </c>
      <c r="J230" s="2">
        <f t="shared" si="26"/>
        <v>0</v>
      </c>
    </row>
    <row r="231" spans="1:10">
      <c r="A231" s="4">
        <v>1.1593082173090999E-2</v>
      </c>
      <c r="H231" s="4">
        <v>1.1572653259000001E-2</v>
      </c>
      <c r="I231" s="2">
        <f t="shared" si="27"/>
        <v>0.56666666666666665</v>
      </c>
      <c r="J231" s="2">
        <f t="shared" si="26"/>
        <v>0.16715058832373922</v>
      </c>
    </row>
    <row r="232" spans="1:10">
      <c r="A232" s="4">
        <v>1.1593268959106E-2</v>
      </c>
      <c r="H232" s="4">
        <v>1.1574447648914001E-2</v>
      </c>
      <c r="I232" s="2">
        <f t="shared" si="27"/>
        <v>0.6333333333333333</v>
      </c>
      <c r="J232" s="2">
        <f t="shared" si="26"/>
        <v>0.33927638280750583</v>
      </c>
    </row>
    <row r="233" spans="1:10">
      <c r="A233" s="4">
        <v>1.1509137028782999E-2</v>
      </c>
      <c r="H233" s="4">
        <v>1.1575530677816999E-2</v>
      </c>
      <c r="I233" s="2">
        <f t="shared" si="27"/>
        <v>0.7</v>
      </c>
      <c r="J233" s="2">
        <f t="shared" si="26"/>
        <v>0.52246305252576009</v>
      </c>
    </row>
    <row r="234" spans="1:10">
      <c r="A234" s="4">
        <v>1.1574447648914001E-2</v>
      </c>
      <c r="H234" s="4">
        <v>1.1593082173090999E-2</v>
      </c>
      <c r="I234" s="2">
        <f t="shared" si="27"/>
        <v>0.76666666666666661</v>
      </c>
      <c r="J234" s="2">
        <f t="shared" si="26"/>
        <v>0.72575040815577163</v>
      </c>
    </row>
    <row r="235" spans="1:10">
      <c r="A235" s="4">
        <v>1.1575530677816999E-2</v>
      </c>
      <c r="H235" s="4">
        <v>1.1593268959106E-2</v>
      </c>
      <c r="I235" s="2">
        <f t="shared" si="27"/>
        <v>0.83333333333333326</v>
      </c>
      <c r="J235" s="2">
        <f t="shared" si="26"/>
        <v>0.96558119772402329</v>
      </c>
    </row>
    <row r="236" spans="1:10">
      <c r="A236" s="4">
        <v>1.1628390326712E-2</v>
      </c>
      <c r="H236" s="4">
        <v>1.1602067323752E-2</v>
      </c>
      <c r="I236" s="2">
        <f t="shared" si="27"/>
        <v>0.89999999999999991</v>
      </c>
      <c r="J236" s="2">
        <f t="shared" si="26"/>
        <v>1.2811261510381207</v>
      </c>
    </row>
    <row r="237" spans="1:10">
      <c r="A237" s="4">
        <v>1.1572653259000001E-2</v>
      </c>
      <c r="H237" s="4">
        <v>1.1628390326712E-2</v>
      </c>
      <c r="I237" s="2">
        <f t="shared" si="27"/>
        <v>0.96666666666666656</v>
      </c>
      <c r="J237" s="2">
        <f t="shared" si="26"/>
        <v>1.8368588976886859</v>
      </c>
    </row>
    <row r="238" spans="1:10" s="6" customFormat="1">
      <c r="C238" s="7"/>
    </row>
    <row r="239" spans="1:10">
      <c r="A239" s="1" t="s">
        <v>66</v>
      </c>
      <c r="C239" s="3" t="s">
        <v>1</v>
      </c>
      <c r="D239" s="1" t="s">
        <v>2</v>
      </c>
      <c r="E239" s="1" t="s">
        <v>3</v>
      </c>
      <c r="F239" s="1"/>
      <c r="H239" s="1" t="s">
        <v>4</v>
      </c>
      <c r="I239" s="1" t="s">
        <v>5</v>
      </c>
      <c r="J239" s="1" t="s">
        <v>6</v>
      </c>
    </row>
    <row r="240" spans="1:10">
      <c r="A240" s="4">
        <v>1.7543682009595999E-2</v>
      </c>
      <c r="C240" s="5">
        <f>AVERAGE(A240:A254)</f>
        <v>1.7642505740943469E-2</v>
      </c>
      <c r="D240" s="2">
        <f>_xlfn.VAR.S(A240:A254)</f>
        <v>2.6445908636094626E-8</v>
      </c>
      <c r="E240" s="2">
        <f>SQRT(D240)/C240</f>
        <v>9.2176237989083001E-3</v>
      </c>
      <c r="H240" s="4">
        <v>1.7361066698481E-2</v>
      </c>
      <c r="I240" s="2">
        <f>1/15 - 0.5/15</f>
        <v>3.3333333333333333E-2</v>
      </c>
      <c r="J240" s="2">
        <f t="shared" ref="J240:J254" si="28">4.91*(I240^0.14-(1-I240)^0.14)</f>
        <v>-1.836858897688687</v>
      </c>
    </row>
    <row r="241" spans="1:10">
      <c r="A241" s="4">
        <v>1.7401067626388999E-2</v>
      </c>
      <c r="H241" s="4">
        <v>1.7401067626388999E-2</v>
      </c>
      <c r="I241" s="2">
        <f t="shared" ref="I241:I254" si="29">I240+1/15</f>
        <v>0.1</v>
      </c>
      <c r="J241" s="2">
        <f t="shared" si="28"/>
        <v>-1.2811261510381207</v>
      </c>
    </row>
    <row r="242" spans="1:10">
      <c r="A242" s="4">
        <v>1.7830712741056E-2</v>
      </c>
      <c r="C242" s="3" t="s">
        <v>7</v>
      </c>
      <c r="E242" s="1" t="s">
        <v>8</v>
      </c>
      <c r="H242" s="4">
        <v>1.7498173509911001E-2</v>
      </c>
      <c r="I242" s="2">
        <f t="shared" si="29"/>
        <v>0.16666666666666669</v>
      </c>
      <c r="J242" s="2">
        <f t="shared" si="28"/>
        <v>-0.96558119772402384</v>
      </c>
    </row>
    <row r="243" spans="1:10">
      <c r="A243" s="4">
        <v>1.7669840437241E-2</v>
      </c>
      <c r="C243" s="5">
        <f>MEDIAN(A240:A254)</f>
        <v>1.7669461773187001E-2</v>
      </c>
      <c r="E243" s="2">
        <v>2.145</v>
      </c>
      <c r="H243" s="4">
        <v>1.7543682009595999E-2</v>
      </c>
      <c r="I243" s="2">
        <f t="shared" si="29"/>
        <v>0.23333333333333334</v>
      </c>
      <c r="J243" s="2">
        <f t="shared" si="28"/>
        <v>-0.72575040815577163</v>
      </c>
    </row>
    <row r="244" spans="1:10">
      <c r="A244" s="4">
        <v>1.7902367880711999E-2</v>
      </c>
      <c r="H244" s="4">
        <v>1.7559163369595E-2</v>
      </c>
      <c r="I244" s="2">
        <f t="shared" si="29"/>
        <v>0.3</v>
      </c>
      <c r="J244" s="2">
        <f t="shared" si="28"/>
        <v>-0.52246305252576009</v>
      </c>
    </row>
    <row r="245" spans="1:10">
      <c r="A245" s="4">
        <v>1.7746621132771E-2</v>
      </c>
      <c r="C245" s="3"/>
      <c r="D245" s="1" t="s">
        <v>9</v>
      </c>
      <c r="H245" s="4">
        <v>1.7562266464992E-2</v>
      </c>
      <c r="I245" s="2">
        <f t="shared" si="29"/>
        <v>0.36666666666666664</v>
      </c>
      <c r="J245" s="2">
        <f t="shared" si="28"/>
        <v>-0.33927638280750583</v>
      </c>
    </row>
    <row r="246" spans="1:10">
      <c r="A246" s="4">
        <v>1.7866149773982001E-2</v>
      </c>
      <c r="C246" s="3" t="s">
        <v>10</v>
      </c>
      <c r="D246" s="2">
        <f>C240+E243*SQRT(D240)/(SQRT(15))</f>
        <v>1.7732571748879274E-2</v>
      </c>
      <c r="H246" s="4">
        <v>1.7571067664973999E-2</v>
      </c>
      <c r="I246" s="2">
        <f t="shared" si="29"/>
        <v>0.43333333333333329</v>
      </c>
      <c r="J246" s="2">
        <f t="shared" si="28"/>
        <v>-0.16715058832373922</v>
      </c>
    </row>
    <row r="247" spans="1:10">
      <c r="A247" s="4">
        <v>1.7571067664973999E-2</v>
      </c>
      <c r="C247" s="3" t="s">
        <v>11</v>
      </c>
      <c r="D247" s="2">
        <f>C240-E243*SQRT(D240)/(SQRT(15))</f>
        <v>1.7552439733007665E-2</v>
      </c>
      <c r="H247" s="4">
        <v>1.7669461773187001E-2</v>
      </c>
      <c r="I247" s="2">
        <f t="shared" si="29"/>
        <v>0.49999999999999994</v>
      </c>
      <c r="J247" s="2">
        <f t="shared" si="28"/>
        <v>0</v>
      </c>
    </row>
    <row r="248" spans="1:10">
      <c r="A248" s="4">
        <v>1.7684573310497002E-2</v>
      </c>
      <c r="H248" s="4">
        <v>1.7669840437241E-2</v>
      </c>
      <c r="I248" s="2">
        <f t="shared" si="29"/>
        <v>0.56666666666666665</v>
      </c>
      <c r="J248" s="2">
        <f t="shared" si="28"/>
        <v>0.16715058832373922</v>
      </c>
    </row>
    <row r="249" spans="1:10">
      <c r="A249" s="4">
        <v>1.7361066698481E-2</v>
      </c>
      <c r="H249" s="4">
        <v>1.7684573310497002E-2</v>
      </c>
      <c r="I249" s="2">
        <f t="shared" si="29"/>
        <v>0.6333333333333333</v>
      </c>
      <c r="J249" s="2">
        <f t="shared" si="28"/>
        <v>0.33927638280750583</v>
      </c>
    </row>
    <row r="250" spans="1:10">
      <c r="A250" s="4">
        <v>1.7498173509911001E-2</v>
      </c>
      <c r="H250" s="4">
        <v>1.7746621132771E-2</v>
      </c>
      <c r="I250" s="2">
        <f t="shared" si="29"/>
        <v>0.7</v>
      </c>
      <c r="J250" s="2">
        <f t="shared" si="28"/>
        <v>0.52246305252576009</v>
      </c>
    </row>
    <row r="251" spans="1:10">
      <c r="A251" s="4">
        <v>1.7562266464992E-2</v>
      </c>
      <c r="H251" s="4">
        <v>1.7771371720767998E-2</v>
      </c>
      <c r="I251" s="2">
        <f t="shared" si="29"/>
        <v>0.76666666666666661</v>
      </c>
      <c r="J251" s="2">
        <f t="shared" si="28"/>
        <v>0.72575040815577163</v>
      </c>
    </row>
    <row r="252" spans="1:10">
      <c r="A252" s="4">
        <v>1.7559163369595E-2</v>
      </c>
      <c r="H252" s="4">
        <v>1.7830712741056E-2</v>
      </c>
      <c r="I252" s="2">
        <f t="shared" si="29"/>
        <v>0.83333333333333326</v>
      </c>
      <c r="J252" s="2">
        <f t="shared" si="28"/>
        <v>0.96558119772402329</v>
      </c>
    </row>
    <row r="253" spans="1:10">
      <c r="A253" s="4">
        <v>1.7669461773187001E-2</v>
      </c>
      <c r="H253" s="4">
        <v>1.7866149773982001E-2</v>
      </c>
      <c r="I253" s="2">
        <f t="shared" si="29"/>
        <v>0.89999999999999991</v>
      </c>
      <c r="J253" s="2">
        <f t="shared" si="28"/>
        <v>1.2811261510381207</v>
      </c>
    </row>
    <row r="254" spans="1:10">
      <c r="A254" s="4">
        <v>1.7771371720767998E-2</v>
      </c>
      <c r="H254" s="4">
        <v>1.7902367880711999E-2</v>
      </c>
      <c r="I254" s="2">
        <f t="shared" si="29"/>
        <v>0.96666666666666656</v>
      </c>
      <c r="J254" s="2">
        <f t="shared" si="28"/>
        <v>1.8368588976886859</v>
      </c>
    </row>
    <row r="255" spans="1:10" s="6" customFormat="1" ht="4.1500000000000004" customHeight="1">
      <c r="C255" s="7"/>
    </row>
    <row r="256" spans="1:10">
      <c r="A256" s="1" t="s">
        <v>67</v>
      </c>
      <c r="C256" s="3" t="s">
        <v>1</v>
      </c>
      <c r="D256" s="1" t="s">
        <v>2</v>
      </c>
      <c r="E256" s="1" t="s">
        <v>3</v>
      </c>
      <c r="F256" s="1"/>
      <c r="H256" s="1" t="s">
        <v>4</v>
      </c>
      <c r="I256" s="1" t="s">
        <v>5</v>
      </c>
      <c r="J256" s="1" t="s">
        <v>6</v>
      </c>
    </row>
    <row r="257" spans="1:10">
      <c r="A257" s="4">
        <v>2.2156362956916E-2</v>
      </c>
      <c r="C257" s="5">
        <f>AVERAGE(A257:A271)</f>
        <v>2.2229736676116326E-2</v>
      </c>
      <c r="D257" s="2">
        <f>_xlfn.VAR.S(A257:A271)</f>
        <v>4.2338020209342093E-8</v>
      </c>
      <c r="E257" s="2">
        <f>SQRT(D257)/C257</f>
        <v>9.2561621642909125E-3</v>
      </c>
      <c r="H257" s="4">
        <v>2.1701886093170999E-2</v>
      </c>
      <c r="I257" s="2">
        <f>1/15 - 0.5/15</f>
        <v>3.3333333333333333E-2</v>
      </c>
      <c r="J257" s="2">
        <f t="shared" ref="J257:J271" si="30">4.91*(I257^0.14-(1-I257)^0.14)</f>
        <v>-1.836858897688687</v>
      </c>
    </row>
    <row r="258" spans="1:10">
      <c r="A258" s="4">
        <v>2.1975280141779002E-2</v>
      </c>
      <c r="H258" s="4">
        <v>2.1975280141779002E-2</v>
      </c>
      <c r="I258" s="2">
        <f t="shared" ref="I258:I271" si="31">I257+1/15</f>
        <v>0.1</v>
      </c>
      <c r="J258" s="2">
        <f t="shared" si="30"/>
        <v>-1.2811261510381207</v>
      </c>
    </row>
    <row r="259" spans="1:10">
      <c r="A259" s="4">
        <v>2.2309410282126001E-2</v>
      </c>
      <c r="C259" s="3" t="s">
        <v>7</v>
      </c>
      <c r="E259" s="1" t="s">
        <v>8</v>
      </c>
      <c r="H259" s="4">
        <v>2.2049007345847998E-2</v>
      </c>
      <c r="I259" s="2">
        <f t="shared" si="31"/>
        <v>0.16666666666666669</v>
      </c>
      <c r="J259" s="2">
        <f t="shared" si="30"/>
        <v>-0.96558119772402384</v>
      </c>
    </row>
    <row r="260" spans="1:10">
      <c r="A260" s="4">
        <v>2.2273618622620998E-2</v>
      </c>
      <c r="C260" s="5">
        <f>MEDIAN(A257:A271)</f>
        <v>2.2273618622620998E-2</v>
      </c>
      <c r="E260" s="2">
        <v>2.145</v>
      </c>
      <c r="H260" s="4">
        <v>2.2120374645342999E-2</v>
      </c>
      <c r="I260" s="2">
        <f t="shared" si="31"/>
        <v>0.23333333333333334</v>
      </c>
      <c r="J260" s="2">
        <f t="shared" si="30"/>
        <v>-0.72575040815577163</v>
      </c>
    </row>
    <row r="261" spans="1:10">
      <c r="A261" s="4">
        <v>2.2227209796819001E-2</v>
      </c>
      <c r="H261" s="4">
        <v>2.2156362956916E-2</v>
      </c>
      <c r="I261" s="2">
        <f t="shared" si="31"/>
        <v>0.3</v>
      </c>
      <c r="J261" s="2">
        <f t="shared" si="30"/>
        <v>-0.52246305252576009</v>
      </c>
    </row>
    <row r="262" spans="1:10">
      <c r="A262" s="4">
        <v>2.2305872794806999E-2</v>
      </c>
      <c r="C262" s="3"/>
      <c r="D262" s="1" t="s">
        <v>9</v>
      </c>
      <c r="H262" s="4">
        <v>2.2227209796819001E-2</v>
      </c>
      <c r="I262" s="2">
        <f t="shared" si="31"/>
        <v>0.36666666666666664</v>
      </c>
      <c r="J262" s="2">
        <f t="shared" si="30"/>
        <v>-0.33927638280750583</v>
      </c>
    </row>
    <row r="263" spans="1:10">
      <c r="A263" s="4">
        <v>2.2400169051247001E-2</v>
      </c>
      <c r="C263" s="3" t="s">
        <v>10</v>
      </c>
      <c r="D263" s="2">
        <f>C257+E260*SQRT(D257)/(SQRT(15))</f>
        <v>2.2343695232745094E-2</v>
      </c>
      <c r="H263" s="4">
        <v>2.2235356073477999E-2</v>
      </c>
      <c r="I263" s="2">
        <f t="shared" si="31"/>
        <v>0.43333333333333329</v>
      </c>
      <c r="J263" s="2">
        <f t="shared" si="30"/>
        <v>-0.16715058832373922</v>
      </c>
    </row>
    <row r="264" spans="1:10">
      <c r="A264" s="4">
        <v>2.2446052293887998E-2</v>
      </c>
      <c r="C264" s="3" t="s">
        <v>11</v>
      </c>
      <c r="D264" s="2">
        <f>C257-E260*SQRT(D257)/(SQRT(15))</f>
        <v>2.2115778119487558E-2</v>
      </c>
      <c r="H264" s="4">
        <v>2.2273618622620998E-2</v>
      </c>
      <c r="I264" s="2">
        <f t="shared" si="31"/>
        <v>0.49999999999999994</v>
      </c>
      <c r="J264" s="2">
        <f t="shared" si="30"/>
        <v>0</v>
      </c>
    </row>
    <row r="265" spans="1:10">
      <c r="A265" s="4">
        <v>2.2120374645342999E-2</v>
      </c>
      <c r="H265" s="4">
        <v>2.2305872794806999E-2</v>
      </c>
      <c r="I265" s="2">
        <f t="shared" si="31"/>
        <v>0.56666666666666665</v>
      </c>
      <c r="J265" s="2">
        <f t="shared" si="30"/>
        <v>0.16715058832373922</v>
      </c>
    </row>
    <row r="266" spans="1:10">
      <c r="A266" s="4">
        <v>2.2235356073477999E-2</v>
      </c>
      <c r="H266" s="4">
        <v>2.2309410282126001E-2</v>
      </c>
      <c r="I266" s="2">
        <f t="shared" si="31"/>
        <v>0.6333333333333333</v>
      </c>
      <c r="J266" s="2">
        <f t="shared" si="30"/>
        <v>0.33927638280750583</v>
      </c>
    </row>
    <row r="267" spans="1:10">
      <c r="A267" s="4">
        <v>2.2354182108834001E-2</v>
      </c>
      <c r="H267" s="4">
        <v>2.2354182108834001E-2</v>
      </c>
      <c r="I267" s="2">
        <f t="shared" si="31"/>
        <v>0.7</v>
      </c>
      <c r="J267" s="2">
        <f t="shared" si="30"/>
        <v>0.52246305252576009</v>
      </c>
    </row>
    <row r="268" spans="1:10">
      <c r="A268" s="4">
        <v>2.2464252538010002E-2</v>
      </c>
      <c r="H268" s="4">
        <v>2.2400169051247001E-2</v>
      </c>
      <c r="I268" s="2">
        <f t="shared" si="31"/>
        <v>0.76666666666666661</v>
      </c>
      <c r="J268" s="2">
        <f t="shared" si="30"/>
        <v>0.72575040815577163</v>
      </c>
    </row>
    <row r="269" spans="1:10">
      <c r="A269" s="4">
        <v>2.1701886093170999E-2</v>
      </c>
      <c r="H269" s="4">
        <v>2.2427015396857999E-2</v>
      </c>
      <c r="I269" s="2">
        <f t="shared" si="31"/>
        <v>0.83333333333333326</v>
      </c>
      <c r="J269" s="2">
        <f t="shared" si="30"/>
        <v>0.96558119772402329</v>
      </c>
    </row>
    <row r="270" spans="1:10">
      <c r="A270" s="4">
        <v>2.2049007345847998E-2</v>
      </c>
      <c r="H270" s="4">
        <v>2.2446052293887998E-2</v>
      </c>
      <c r="I270" s="2">
        <f t="shared" si="31"/>
        <v>0.89999999999999991</v>
      </c>
      <c r="J270" s="2">
        <f t="shared" si="30"/>
        <v>1.2811261510381207</v>
      </c>
    </row>
    <row r="271" spans="1:10">
      <c r="A271" s="4">
        <v>2.2427015396857999E-2</v>
      </c>
      <c r="H271" s="4">
        <v>2.2464252538010002E-2</v>
      </c>
      <c r="I271" s="2">
        <f t="shared" si="31"/>
        <v>0.96666666666666656</v>
      </c>
      <c r="J271" s="2">
        <f t="shared" si="30"/>
        <v>1.8368588976886859</v>
      </c>
    </row>
    <row r="272" spans="1:10" s="13" customFormat="1" ht="4.5" customHeight="1">
      <c r="C272" s="14"/>
    </row>
    <row r="273" spans="1:5">
      <c r="A273" s="1"/>
      <c r="C273" s="1"/>
      <c r="D273" s="1"/>
      <c r="E273" s="1"/>
    </row>
    <row r="274" spans="1:5">
      <c r="A274" s="16" t="s">
        <v>20</v>
      </c>
      <c r="B274" s="16"/>
      <c r="C274" s="16"/>
    </row>
    <row r="275" spans="1:5">
      <c r="A275" s="1" t="s">
        <v>21</v>
      </c>
      <c r="B275" s="1" t="s">
        <v>81</v>
      </c>
      <c r="C275" s="1" t="s">
        <v>23</v>
      </c>
    </row>
    <row r="276" spans="1:5">
      <c r="A276" s="1"/>
      <c r="C276" s="2"/>
    </row>
    <row r="277" spans="1:5">
      <c r="A277" s="1" t="s">
        <v>24</v>
      </c>
      <c r="B277" s="2">
        <f>0.001*7</f>
        <v>7.0000000000000001E-3</v>
      </c>
      <c r="C277" s="2">
        <f>C2</f>
        <v>1.0495500618207265E-2</v>
      </c>
    </row>
    <row r="278" spans="1:5">
      <c r="A278" s="1" t="s">
        <v>26</v>
      </c>
      <c r="B278" s="2">
        <f>0.001*6</f>
        <v>6.0000000000000001E-3</v>
      </c>
      <c r="C278" s="2">
        <f>C19</f>
        <v>1.3829698865016199E-2</v>
      </c>
    </row>
    <row r="279" spans="1:5">
      <c r="A279" s="1" t="s">
        <v>30</v>
      </c>
      <c r="B279" s="2">
        <f>0.001*4</f>
        <v>4.0000000000000001E-3</v>
      </c>
      <c r="C279" s="2">
        <f>C36</f>
        <v>2.7223681335640272E-2</v>
      </c>
    </row>
    <row r="280" spans="1:5">
      <c r="A280" s="1" t="s">
        <v>32</v>
      </c>
      <c r="B280" s="2">
        <f>0.001*3</f>
        <v>3.0000000000000001E-3</v>
      </c>
      <c r="C280" s="2">
        <f>C53</f>
        <v>4.4375036344121536E-2</v>
      </c>
    </row>
    <row r="281" spans="1:5">
      <c r="A281" s="1" t="s">
        <v>69</v>
      </c>
      <c r="B281" s="2">
        <f>0.001*8</f>
        <v>8.0000000000000002E-3</v>
      </c>
      <c r="C281" s="2">
        <f>C70</f>
        <v>1.0134223256711334E-2</v>
      </c>
    </row>
    <row r="282" spans="1:5">
      <c r="A282" s="1" t="s">
        <v>70</v>
      </c>
      <c r="B282" s="2">
        <f>0.001*7</f>
        <v>7.0000000000000001E-3</v>
      </c>
      <c r="C282" s="2">
        <f>C87</f>
        <v>1.2944619970148797E-2</v>
      </c>
    </row>
    <row r="283" spans="1:5">
      <c r="A283" s="1" t="s">
        <v>71</v>
      </c>
      <c r="B283" s="2">
        <f>0.001*5</f>
        <v>5.0000000000000001E-3</v>
      </c>
      <c r="C283" s="2">
        <f>C104</f>
        <v>2.2985916909995928E-2</v>
      </c>
    </row>
    <row r="284" spans="1:5">
      <c r="A284" s="1" t="s">
        <v>72</v>
      </c>
      <c r="B284" s="2">
        <f>0.001*4</f>
        <v>4.0000000000000001E-3</v>
      </c>
      <c r="C284" s="2">
        <f>C121</f>
        <v>3.3116487871588933E-2</v>
      </c>
    </row>
    <row r="285" spans="1:5">
      <c r="A285" s="1" t="s">
        <v>73</v>
      </c>
      <c r="B285" s="2">
        <f>0.001*10</f>
        <v>0.01</v>
      </c>
      <c r="C285" s="2">
        <f>C138</f>
        <v>9.6201849178920787E-3</v>
      </c>
    </row>
    <row r="286" spans="1:5">
      <c r="A286" s="1" t="s">
        <v>74</v>
      </c>
      <c r="B286" s="2">
        <f>0.001*9</f>
        <v>9.0000000000000011E-3</v>
      </c>
      <c r="C286" s="2">
        <f>C155</f>
        <v>1.1880433298308667E-2</v>
      </c>
    </row>
    <row r="287" spans="1:5">
      <c r="A287" s="1" t="s">
        <v>75</v>
      </c>
      <c r="B287" s="2">
        <f>0.001*7</f>
        <v>7.0000000000000001E-3</v>
      </c>
      <c r="C287" s="2">
        <f>C172</f>
        <v>1.8759460581442334E-2</v>
      </c>
    </row>
    <row r="288" spans="1:5">
      <c r="A288" s="1" t="s">
        <v>76</v>
      </c>
      <c r="B288" s="2">
        <f>0.001*6</f>
        <v>6.0000000000000001E-3</v>
      </c>
      <c r="C288" s="2">
        <f>C189</f>
        <v>2.4370919700123134E-2</v>
      </c>
    </row>
    <row r="289" spans="1:7">
      <c r="A289" s="1" t="s">
        <v>77</v>
      </c>
      <c r="B289" s="2">
        <f>0.001*11</f>
        <v>1.0999999999999999E-2</v>
      </c>
      <c r="C289" s="2">
        <f>C206</f>
        <v>9.4396823246931938E-3</v>
      </c>
    </row>
    <row r="290" spans="1:7">
      <c r="A290" s="1" t="s">
        <v>78</v>
      </c>
      <c r="B290" s="2">
        <f>0.001*10</f>
        <v>0.01</v>
      </c>
      <c r="C290" s="2">
        <f>C223</f>
        <v>1.1547376815054865E-2</v>
      </c>
    </row>
    <row r="291" spans="1:7">
      <c r="A291" s="1" t="s">
        <v>79</v>
      </c>
      <c r="B291" s="2">
        <f>0.001*8</f>
        <v>8.0000000000000002E-3</v>
      </c>
      <c r="C291" s="2">
        <f>C240</f>
        <v>1.7642505740943469E-2</v>
      </c>
    </row>
    <row r="292" spans="1:7">
      <c r="A292" s="1" t="s">
        <v>80</v>
      </c>
      <c r="B292" s="2">
        <f>0.001*7</f>
        <v>7.0000000000000001E-3</v>
      </c>
      <c r="C292" s="2">
        <f>C257</f>
        <v>2.2229736676116326E-2</v>
      </c>
    </row>
    <row r="297" spans="1:7">
      <c r="A297" s="16" t="s">
        <v>33</v>
      </c>
      <c r="B297" s="16"/>
      <c r="C297" s="16"/>
      <c r="D297" s="16"/>
    </row>
    <row r="298" spans="1:7">
      <c r="A298" s="1" t="s">
        <v>21</v>
      </c>
      <c r="B298" s="1" t="s">
        <v>81</v>
      </c>
      <c r="C298" s="1" t="s">
        <v>34</v>
      </c>
      <c r="D298" s="1" t="s">
        <v>35</v>
      </c>
      <c r="F298" s="3"/>
      <c r="G298" s="3"/>
    </row>
    <row r="299" spans="1:7">
      <c r="A299" s="1"/>
      <c r="C299" s="2"/>
      <c r="F299" s="1"/>
      <c r="G299" s="1"/>
    </row>
    <row r="300" spans="1:7">
      <c r="A300" s="1" t="s">
        <v>24</v>
      </c>
      <c r="B300" s="2">
        <f>0.001*7</f>
        <v>7.0000000000000001E-3</v>
      </c>
      <c r="C300" s="2">
        <f t="shared" ref="C300:C315" si="32">LN(C277)</f>
        <v>-4.5568086262080882</v>
      </c>
      <c r="D300" s="2">
        <f>C300-B300*$C$319-$D$319</f>
        <v>-0.46859862620808812</v>
      </c>
    </row>
    <row r="301" spans="1:7">
      <c r="A301" s="1" t="s">
        <v>26</v>
      </c>
      <c r="B301" s="2">
        <f>0.001*6</f>
        <v>6.0000000000000001E-3</v>
      </c>
      <c r="C301" s="2">
        <f t="shared" si="32"/>
        <v>-4.2809369075832944</v>
      </c>
      <c r="D301" s="2">
        <f t="shared" ref="D301:D315" si="33">C301-B301*$C$319-$D$319</f>
        <v>-0.37305690758329435</v>
      </c>
    </row>
    <row r="302" spans="1:7">
      <c r="A302" s="1" t="s">
        <v>30</v>
      </c>
      <c r="B302" s="2">
        <f>0.001*4</f>
        <v>4.0000000000000001E-3</v>
      </c>
      <c r="C302" s="2">
        <f t="shared" si="32"/>
        <v>-3.6036680471253182</v>
      </c>
      <c r="D302" s="2">
        <f t="shared" si="33"/>
        <v>-5.6448047125318368E-2</v>
      </c>
    </row>
    <row r="303" spans="1:7">
      <c r="A303" s="1" t="s">
        <v>32</v>
      </c>
      <c r="B303" s="2">
        <f>0.001*3</f>
        <v>3.0000000000000001E-3</v>
      </c>
      <c r="C303" s="2">
        <f t="shared" si="32"/>
        <v>-3.1150782121644354</v>
      </c>
      <c r="D303" s="2">
        <f t="shared" si="33"/>
        <v>0.25181178783556479</v>
      </c>
    </row>
    <row r="304" spans="1:7">
      <c r="A304" s="1" t="s">
        <v>69</v>
      </c>
      <c r="B304" s="2">
        <f>0.001*8</f>
        <v>8.0000000000000002E-3</v>
      </c>
      <c r="C304" s="2">
        <f t="shared" si="32"/>
        <v>-4.5918371417081563</v>
      </c>
      <c r="D304" s="2">
        <f t="shared" si="33"/>
        <v>-0.32329714170815649</v>
      </c>
    </row>
    <row r="305" spans="1:4">
      <c r="A305" s="1" t="s">
        <v>70</v>
      </c>
      <c r="B305" s="2">
        <f>0.001*7</f>
        <v>7.0000000000000001E-3</v>
      </c>
      <c r="C305" s="2">
        <f t="shared" si="32"/>
        <v>-4.3470750234788778</v>
      </c>
      <c r="D305" s="2">
        <f t="shared" si="33"/>
        <v>-0.25886502347887763</v>
      </c>
    </row>
    <row r="306" spans="1:4">
      <c r="A306" s="1" t="s">
        <v>71</v>
      </c>
      <c r="B306" s="2">
        <f>0.001*5</f>
        <v>5.0000000000000001E-3</v>
      </c>
      <c r="C306" s="2">
        <f t="shared" si="32"/>
        <v>-3.7728735588512947</v>
      </c>
      <c r="D306" s="2">
        <f t="shared" si="33"/>
        <v>-4.5323558851294798E-2</v>
      </c>
    </row>
    <row r="307" spans="1:4">
      <c r="A307" s="1" t="s">
        <v>72</v>
      </c>
      <c r="B307" s="2">
        <f>0.001*4</f>
        <v>4.0000000000000001E-3</v>
      </c>
      <c r="C307" s="2">
        <f t="shared" si="32"/>
        <v>-3.4077239976124729</v>
      </c>
      <c r="D307" s="2">
        <f t="shared" si="33"/>
        <v>0.13949600238752691</v>
      </c>
    </row>
    <row r="308" spans="1:4">
      <c r="A308" s="1" t="s">
        <v>73</v>
      </c>
      <c r="B308" s="2">
        <f>0.001*10</f>
        <v>0.01</v>
      </c>
      <c r="C308" s="2">
        <f t="shared" si="32"/>
        <v>-4.6438917922551628</v>
      </c>
      <c r="D308" s="2">
        <f t="shared" si="33"/>
        <v>-1.4691792255162817E-2</v>
      </c>
    </row>
    <row r="309" spans="1:4">
      <c r="A309" s="1" t="s">
        <v>74</v>
      </c>
      <c r="B309" s="2">
        <f>0.001*9</f>
        <v>9.0000000000000011E-3</v>
      </c>
      <c r="C309" s="2">
        <f t="shared" si="32"/>
        <v>-4.4328624927911537</v>
      </c>
      <c r="D309" s="2">
        <f t="shared" si="33"/>
        <v>1.6007507208846583E-2</v>
      </c>
    </row>
    <row r="310" spans="1:4">
      <c r="A310" s="1" t="s">
        <v>75</v>
      </c>
      <c r="B310" s="2">
        <f>0.001*7</f>
        <v>7.0000000000000001E-3</v>
      </c>
      <c r="C310" s="2">
        <f t="shared" si="32"/>
        <v>-3.9760570894719125</v>
      </c>
      <c r="D310" s="2">
        <f t="shared" si="33"/>
        <v>0.11215291052808762</v>
      </c>
    </row>
    <row r="311" spans="1:4">
      <c r="A311" s="1" t="s">
        <v>76</v>
      </c>
      <c r="B311" s="2">
        <f>0.001*6</f>
        <v>6.0000000000000001E-3</v>
      </c>
      <c r="C311" s="2">
        <f t="shared" si="32"/>
        <v>-3.7143646730286792</v>
      </c>
      <c r="D311" s="2">
        <f t="shared" si="33"/>
        <v>0.19351532697132079</v>
      </c>
    </row>
    <row r="312" spans="1:4">
      <c r="A312" s="1" t="s">
        <v>77</v>
      </c>
      <c r="B312" s="2">
        <f>0.001*11</f>
        <v>1.0999999999999999E-2</v>
      </c>
      <c r="C312" s="2">
        <f t="shared" si="32"/>
        <v>-4.662832951436183</v>
      </c>
      <c r="D312" s="2">
        <f t="shared" si="33"/>
        <v>0.1466970485638166</v>
      </c>
    </row>
    <row r="313" spans="1:4">
      <c r="A313" s="1" t="s">
        <v>78</v>
      </c>
      <c r="B313" s="2">
        <f>0.001*10</f>
        <v>0.01</v>
      </c>
      <c r="C313" s="2">
        <f t="shared" si="32"/>
        <v>-4.4612969833886487</v>
      </c>
      <c r="D313" s="2">
        <f t="shared" si="33"/>
        <v>0.16790301661135132</v>
      </c>
    </row>
    <row r="314" spans="1:4">
      <c r="A314" s="1" t="s">
        <v>79</v>
      </c>
      <c r="B314" s="2">
        <f>0.001*8</f>
        <v>8.0000000000000002E-3</v>
      </c>
      <c r="C314" s="2">
        <f t="shared" si="32"/>
        <v>-4.0374441896851492</v>
      </c>
      <c r="D314" s="2">
        <f t="shared" si="33"/>
        <v>0.2310958103148506</v>
      </c>
    </row>
    <row r="315" spans="1:4">
      <c r="A315" s="1" t="s">
        <v>80</v>
      </c>
      <c r="B315" s="2">
        <f>0.001*7</f>
        <v>7.0000000000000001E-3</v>
      </c>
      <c r="C315" s="2">
        <f t="shared" si="32"/>
        <v>-3.8063243965050546</v>
      </c>
      <c r="D315" s="2">
        <f t="shared" si="33"/>
        <v>0.28188560349494551</v>
      </c>
    </row>
    <row r="316" spans="1:4">
      <c r="A316" s="1"/>
      <c r="C316" s="2"/>
    </row>
    <row r="317" spans="1:4">
      <c r="A317" s="1"/>
      <c r="C317" s="16" t="s">
        <v>36</v>
      </c>
      <c r="D317" s="16"/>
    </row>
    <row r="318" spans="1:4">
      <c r="A318" s="1"/>
      <c r="C318" s="1" t="s">
        <v>37</v>
      </c>
      <c r="D318" s="1" t="s">
        <v>38</v>
      </c>
    </row>
    <row r="319" spans="1:4">
      <c r="A319" s="1"/>
      <c r="C319" s="2">
        <v>-180.33</v>
      </c>
      <c r="D319" s="2">
        <v>-2.8258999999999999</v>
      </c>
    </row>
    <row r="320" spans="1:4">
      <c r="A320" s="1"/>
      <c r="C320" s="2"/>
    </row>
    <row r="321" spans="1:3">
      <c r="A321" s="16" t="s">
        <v>39</v>
      </c>
      <c r="B321" s="16"/>
      <c r="C321" s="16"/>
    </row>
    <row r="322" spans="1:3">
      <c r="A322" s="1" t="s">
        <v>35</v>
      </c>
      <c r="B322" s="1" t="s">
        <v>5</v>
      </c>
      <c r="C322" s="1" t="s">
        <v>40</v>
      </c>
    </row>
    <row r="323" spans="1:3">
      <c r="A323" s="2">
        <v>-0.46859862620808812</v>
      </c>
      <c r="B323" s="2">
        <f>1/16-0.5/16</f>
        <v>3.125E-2</v>
      </c>
      <c r="C323" s="2">
        <f t="shared" ref="C323:C338" si="34">4.91*(B323^0.14-(1-B323)^0.14)</f>
        <v>-1.8657648402099227</v>
      </c>
    </row>
    <row r="324" spans="1:3">
      <c r="A324" s="2">
        <v>-0.37305690758329435</v>
      </c>
      <c r="B324" s="2">
        <f>B323+1/16</f>
        <v>9.375E-2</v>
      </c>
      <c r="C324" s="2">
        <f t="shared" si="34"/>
        <v>-1.3178098407415364</v>
      </c>
    </row>
    <row r="325" spans="1:3">
      <c r="A325" s="2">
        <v>-0.32329714170815649</v>
      </c>
      <c r="B325" s="2">
        <f t="shared" ref="B325:B338" si="35">B324+1/16</f>
        <v>0.15625</v>
      </c>
      <c r="C325" s="2">
        <f t="shared" si="34"/>
        <v>-1.0082783038771823</v>
      </c>
    </row>
    <row r="326" spans="1:3">
      <c r="A326" s="2">
        <v>-0.25886502347887763</v>
      </c>
      <c r="B326" s="2">
        <f t="shared" si="35"/>
        <v>0.21875</v>
      </c>
      <c r="C326" s="2">
        <f t="shared" si="34"/>
        <v>-0.77427005635431245</v>
      </c>
    </row>
    <row r="327" spans="1:3">
      <c r="A327" s="2">
        <v>-5.6448047125318368E-2</v>
      </c>
      <c r="B327" s="2">
        <f t="shared" si="35"/>
        <v>0.28125</v>
      </c>
      <c r="C327" s="2">
        <f t="shared" si="34"/>
        <v>-0.57709366971925891</v>
      </c>
    </row>
    <row r="328" spans="1:3">
      <c r="A328" s="2">
        <v>-4.5323558851294798E-2</v>
      </c>
      <c r="B328" s="2">
        <f t="shared" si="35"/>
        <v>0.34375</v>
      </c>
      <c r="C328" s="2">
        <f t="shared" si="34"/>
        <v>-0.4006301257381869</v>
      </c>
    </row>
    <row r="329" spans="1:3">
      <c r="A329" s="2">
        <v>-1.4691792255162817E-2</v>
      </c>
      <c r="B329" s="2">
        <f t="shared" si="35"/>
        <v>0.40625</v>
      </c>
      <c r="C329" s="2">
        <f t="shared" si="34"/>
        <v>-0.23617194000999964</v>
      </c>
    </row>
    <row r="330" spans="1:3">
      <c r="A330" s="2">
        <v>1.6007507208846583E-2</v>
      </c>
      <c r="B330" s="2">
        <f t="shared" si="35"/>
        <v>0.46875</v>
      </c>
      <c r="C330" s="2">
        <f t="shared" si="34"/>
        <v>-7.8059966366998385E-2</v>
      </c>
    </row>
    <row r="331" spans="1:3">
      <c r="A331" s="2">
        <v>0.11215291052808762</v>
      </c>
      <c r="B331" s="2">
        <f t="shared" si="35"/>
        <v>0.53125</v>
      </c>
      <c r="C331" s="2">
        <f t="shared" si="34"/>
        <v>7.8059966366998385E-2</v>
      </c>
    </row>
    <row r="332" spans="1:3">
      <c r="A332" s="2">
        <v>0.13949600238752691</v>
      </c>
      <c r="B332" s="2">
        <f t="shared" si="35"/>
        <v>0.59375</v>
      </c>
      <c r="C332" s="2">
        <f t="shared" si="34"/>
        <v>0.23617194000999964</v>
      </c>
    </row>
    <row r="333" spans="1:3">
      <c r="A333" s="2">
        <v>0.1466970485638166</v>
      </c>
      <c r="B333" s="2">
        <f t="shared" si="35"/>
        <v>0.65625</v>
      </c>
      <c r="C333" s="2">
        <f t="shared" si="34"/>
        <v>0.4006301257381869</v>
      </c>
    </row>
    <row r="334" spans="1:3">
      <c r="A334" s="2">
        <v>0.16790301661135132</v>
      </c>
      <c r="B334" s="2">
        <f t="shared" si="35"/>
        <v>0.71875</v>
      </c>
      <c r="C334" s="2">
        <f t="shared" si="34"/>
        <v>0.57709366971925891</v>
      </c>
    </row>
    <row r="335" spans="1:3">
      <c r="A335" s="2">
        <v>0.19351532697132079</v>
      </c>
      <c r="B335" s="2">
        <f t="shared" si="35"/>
        <v>0.78125</v>
      </c>
      <c r="C335" s="2">
        <f t="shared" si="34"/>
        <v>0.77427005635431245</v>
      </c>
    </row>
    <row r="336" spans="1:3">
      <c r="A336" s="2">
        <v>0.2310958103148506</v>
      </c>
      <c r="B336" s="2">
        <f t="shared" si="35"/>
        <v>0.84375</v>
      </c>
      <c r="C336" s="2">
        <f t="shared" si="34"/>
        <v>1.0082783038771823</v>
      </c>
    </row>
    <row r="337" spans="1:3">
      <c r="A337" s="2">
        <v>0.25181178783556479</v>
      </c>
      <c r="B337" s="2">
        <f t="shared" si="35"/>
        <v>0.90625</v>
      </c>
      <c r="C337" s="2">
        <f t="shared" si="34"/>
        <v>1.3178098407415364</v>
      </c>
    </row>
    <row r="338" spans="1:3">
      <c r="A338" s="2">
        <v>0.28188560349494551</v>
      </c>
      <c r="B338" s="2">
        <f t="shared" si="35"/>
        <v>0.96875</v>
      </c>
      <c r="C338" s="2">
        <f t="shared" si="34"/>
        <v>1.8657648402099227</v>
      </c>
    </row>
    <row r="340" spans="1:3">
      <c r="A340" s="16" t="s">
        <v>41</v>
      </c>
      <c r="B340" s="16"/>
    </row>
    <row r="341" spans="1:3">
      <c r="A341" s="1" t="s">
        <v>35</v>
      </c>
      <c r="B341" s="1" t="s">
        <v>42</v>
      </c>
    </row>
    <row r="342" spans="1:3">
      <c r="A342" s="2">
        <v>-0.46859862620808812</v>
      </c>
      <c r="B342" s="2">
        <f t="shared" ref="B342:B357" si="36">B299*$C$319+$D$319</f>
        <v>-2.8258999999999999</v>
      </c>
    </row>
    <row r="343" spans="1:3">
      <c r="A343" s="2">
        <v>-0.37305690758329435</v>
      </c>
      <c r="B343" s="2">
        <f t="shared" si="36"/>
        <v>-4.0882100000000001</v>
      </c>
    </row>
    <row r="344" spans="1:3">
      <c r="A344" s="2">
        <v>-5.6448047125318368E-2</v>
      </c>
      <c r="B344" s="2">
        <f t="shared" si="36"/>
        <v>-3.90788</v>
      </c>
    </row>
    <row r="345" spans="1:3">
      <c r="A345" s="2">
        <v>0.25181178783556479</v>
      </c>
      <c r="B345" s="2">
        <f t="shared" si="36"/>
        <v>-3.5472199999999998</v>
      </c>
    </row>
    <row r="346" spans="1:3">
      <c r="A346" s="2">
        <v>-0.32329714170815649</v>
      </c>
      <c r="B346" s="2">
        <f t="shared" si="36"/>
        <v>-3.3668899999999997</v>
      </c>
    </row>
    <row r="347" spans="1:3">
      <c r="A347" s="2">
        <v>-0.25886502347887763</v>
      </c>
      <c r="B347" s="2">
        <f t="shared" si="36"/>
        <v>-4.2685399999999998</v>
      </c>
    </row>
    <row r="348" spans="1:3">
      <c r="A348" s="2">
        <v>-4.5323558851294798E-2</v>
      </c>
      <c r="B348" s="2">
        <f t="shared" si="36"/>
        <v>-4.0882100000000001</v>
      </c>
    </row>
    <row r="349" spans="1:3">
      <c r="A349" s="2">
        <v>0.13949600238752691</v>
      </c>
      <c r="B349" s="2">
        <f t="shared" si="36"/>
        <v>-3.7275499999999999</v>
      </c>
    </row>
    <row r="350" spans="1:3">
      <c r="A350" s="2">
        <v>-1.4691792255162817E-2</v>
      </c>
      <c r="B350" s="2">
        <f t="shared" si="36"/>
        <v>-3.5472199999999998</v>
      </c>
    </row>
    <row r="351" spans="1:3">
      <c r="A351" s="2">
        <v>1.6007507208846583E-2</v>
      </c>
      <c r="B351" s="2">
        <f t="shared" si="36"/>
        <v>-4.6292</v>
      </c>
    </row>
    <row r="352" spans="1:3">
      <c r="A352" s="2">
        <v>0.11215291052808762</v>
      </c>
      <c r="B352" s="2">
        <f t="shared" si="36"/>
        <v>-4.4488700000000003</v>
      </c>
    </row>
    <row r="353" spans="1:2">
      <c r="A353" s="2">
        <v>0.19351532697132079</v>
      </c>
      <c r="B353" s="2">
        <f t="shared" si="36"/>
        <v>-4.0882100000000001</v>
      </c>
    </row>
    <row r="354" spans="1:2">
      <c r="A354" s="2">
        <v>0.1466970485638166</v>
      </c>
      <c r="B354" s="2">
        <f t="shared" si="36"/>
        <v>-3.90788</v>
      </c>
    </row>
    <row r="355" spans="1:2">
      <c r="A355" s="2">
        <v>0.16790301661135132</v>
      </c>
      <c r="B355" s="2">
        <f t="shared" si="36"/>
        <v>-4.8095299999999996</v>
      </c>
    </row>
    <row r="356" spans="1:2">
      <c r="A356" s="2">
        <v>0.2310958103148506</v>
      </c>
      <c r="B356" s="2">
        <f t="shared" si="36"/>
        <v>-4.6292</v>
      </c>
    </row>
    <row r="357" spans="1:2">
      <c r="A357" s="2">
        <v>0.28188560349494551</v>
      </c>
      <c r="B357" s="2">
        <f t="shared" si="36"/>
        <v>-4.2685399999999998</v>
      </c>
    </row>
    <row r="359" spans="1:2">
      <c r="A359" s="16" t="s">
        <v>43</v>
      </c>
      <c r="B359" s="16"/>
    </row>
    <row r="360" spans="1:2">
      <c r="A360" s="1" t="s">
        <v>35</v>
      </c>
      <c r="B360" s="1" t="s">
        <v>44</v>
      </c>
    </row>
    <row r="361" spans="1:2">
      <c r="A361" s="2">
        <v>-0.46859862620808812</v>
      </c>
      <c r="B361" s="2">
        <v>1</v>
      </c>
    </row>
    <row r="362" spans="1:2">
      <c r="A362" s="2">
        <v>-0.37305690758329435</v>
      </c>
      <c r="B362" s="2">
        <v>2</v>
      </c>
    </row>
    <row r="363" spans="1:2">
      <c r="A363" s="2">
        <v>-5.6448047125318368E-2</v>
      </c>
      <c r="B363" s="2">
        <v>3</v>
      </c>
    </row>
    <row r="364" spans="1:2">
      <c r="A364" s="2">
        <v>0.25181178783556479</v>
      </c>
      <c r="B364" s="2">
        <v>4</v>
      </c>
    </row>
    <row r="365" spans="1:2">
      <c r="A365" s="2">
        <v>-0.32329714170815649</v>
      </c>
      <c r="B365" s="2">
        <v>5</v>
      </c>
    </row>
    <row r="366" spans="1:2">
      <c r="A366" s="2">
        <v>-0.25886502347887763</v>
      </c>
      <c r="B366" s="2">
        <v>6</v>
      </c>
    </row>
    <row r="367" spans="1:2">
      <c r="A367" s="2">
        <v>-4.5323558851294798E-2</v>
      </c>
      <c r="B367" s="2">
        <v>7</v>
      </c>
    </row>
    <row r="368" spans="1:2">
      <c r="A368" s="2">
        <v>0.13949600238752691</v>
      </c>
      <c r="B368" s="2">
        <v>8</v>
      </c>
    </row>
    <row r="369" spans="1:12">
      <c r="A369" s="2">
        <v>-1.4691792255162817E-2</v>
      </c>
      <c r="B369" s="2">
        <v>9</v>
      </c>
    </row>
    <row r="370" spans="1:12">
      <c r="A370" s="2">
        <v>1.6007507208846583E-2</v>
      </c>
      <c r="B370" s="2">
        <v>10</v>
      </c>
    </row>
    <row r="371" spans="1:12">
      <c r="A371" s="2">
        <v>0.11215291052808762</v>
      </c>
      <c r="B371" s="2">
        <v>11</v>
      </c>
    </row>
    <row r="372" spans="1:12">
      <c r="A372" s="2">
        <v>0.19351532697132079</v>
      </c>
      <c r="B372" s="2">
        <v>12</v>
      </c>
    </row>
    <row r="373" spans="1:12">
      <c r="A373" s="2">
        <v>0.1466970485638166</v>
      </c>
      <c r="B373" s="2">
        <v>13</v>
      </c>
    </row>
    <row r="374" spans="1:12">
      <c r="A374" s="2">
        <v>0.16790301661135132</v>
      </c>
      <c r="B374" s="2">
        <v>14</v>
      </c>
    </row>
    <row r="375" spans="1:12">
      <c r="A375" s="2">
        <v>0.2310958103148506</v>
      </c>
      <c r="B375" s="2">
        <v>15</v>
      </c>
    </row>
    <row r="376" spans="1:12">
      <c r="A376" s="2">
        <v>0.28188560349494551</v>
      </c>
      <c r="B376" s="2">
        <v>16</v>
      </c>
    </row>
    <row r="380" spans="1:12">
      <c r="A380" s="16" t="s">
        <v>45</v>
      </c>
      <c r="B380" s="16"/>
      <c r="C380" s="16"/>
      <c r="E380" s="1" t="s">
        <v>46</v>
      </c>
      <c r="F380" s="1" t="s">
        <v>47</v>
      </c>
      <c r="G380" s="1" t="s">
        <v>48</v>
      </c>
      <c r="H380" s="1" t="s">
        <v>49</v>
      </c>
      <c r="L380" s="1" t="s">
        <v>50</v>
      </c>
    </row>
    <row r="381" spans="1:12">
      <c r="A381" s="1"/>
      <c r="B381" s="1" t="s">
        <v>37</v>
      </c>
      <c r="C381" s="1" t="s">
        <v>38</v>
      </c>
      <c r="E381" s="2">
        <v>2.145</v>
      </c>
      <c r="F381" s="2">
        <f>SUM(D300*D300, D301*D301,D302*D302,D303*D303,D304*D304,D305*D305,D306*D306,D307*D307,D308*D308,D309*D309,D310*D310,D311*D311,D312*D312,D313*D313,D314*D314,D315*D315)</f>
        <v>0.85147194939011706</v>
      </c>
      <c r="G381" s="2">
        <f>SUM(C300:C315)/16</f>
        <v>-4.0881922552058665</v>
      </c>
      <c r="H381" s="2">
        <f>SUM(C300*C300,C301*C301,C302*C302,C303*C303,C304*C304,C305*C305,C306*C306,C307*C307,C308*C308,C309*C309,C310*C310,C311*C311,C312*C312,C313*C313,C314*C314,C315*C315)-16*G381*G381</f>
        <v>3.4529726710671866</v>
      </c>
      <c r="L381" s="2">
        <f t="shared" ref="L381:L396" si="37">(C300-$G$381)^2</f>
        <v>0.21960130317129195</v>
      </c>
    </row>
    <row r="382" spans="1:12">
      <c r="A382" s="1" t="s">
        <v>51</v>
      </c>
      <c r="B382" s="2">
        <f>$C$319+$E$381*SQRT(($F$381/14)*(1/$H$381))</f>
        <v>-180.04532332754638</v>
      </c>
      <c r="C382" s="2">
        <f>$D$319+$E$381*SQRT(($F$381/(16*14))*(($G$381^2)/$H$381))</f>
        <v>-2.5349467581093341</v>
      </c>
      <c r="L382" s="2">
        <f t="shared" si="37"/>
        <v>3.7150501020095518E-2</v>
      </c>
    </row>
    <row r="383" spans="1:12">
      <c r="A383" s="1" t="s">
        <v>52</v>
      </c>
      <c r="B383" s="2">
        <f>$C$319-$E$381*SQRT(($F$381/14)*(1/$H$381))</f>
        <v>-180.61467667245364</v>
      </c>
      <c r="C383" s="2">
        <f>$D$319-$E$381*SQRT(($F$381/(16*4))*(($G$381^2)/$H$381))</f>
        <v>-3.3702236733630175</v>
      </c>
      <c r="E383" s="1" t="s">
        <v>53</v>
      </c>
      <c r="F383" s="1" t="s">
        <v>54</v>
      </c>
      <c r="L383" s="2">
        <f>(C302-$G$381)^2</f>
        <v>0.23476370821608247</v>
      </c>
    </row>
    <row r="384" spans="1:12">
      <c r="E384" s="2">
        <f>SUM(L381:L396)</f>
        <v>3.4529726710670574</v>
      </c>
      <c r="F384" s="2">
        <f>($E$384 - $F$381)/$E$384</f>
        <v>0.75340901000325888</v>
      </c>
      <c r="L384" s="2">
        <f t="shared" si="37"/>
        <v>0.94695094076444031</v>
      </c>
    </row>
    <row r="385" spans="1:12">
      <c r="A385" s="16" t="s">
        <v>55</v>
      </c>
      <c r="B385" s="16"/>
      <c r="C385" s="16"/>
      <c r="L385" s="2">
        <f t="shared" si="37"/>
        <v>0.25365817169990434</v>
      </c>
    </row>
    <row r="386" spans="1:12">
      <c r="A386" s="1" t="s">
        <v>42</v>
      </c>
      <c r="B386" s="1" t="s">
        <v>11</v>
      </c>
      <c r="C386" s="1" t="s">
        <v>10</v>
      </c>
      <c r="L386" s="2">
        <f t="shared" si="37"/>
        <v>6.7020287708697654E-2</v>
      </c>
    </row>
    <row r="387" spans="1:12">
      <c r="A387" s="2">
        <f>B300*$C$319+$D$319</f>
        <v>-4.0882100000000001</v>
      </c>
      <c r="B387" s="2">
        <f>$A387-$E$381*SQRT(($F$381/14)*(1 + 1/16+((B299-$G$381)^2)/$H$381))</f>
        <v>-5.3734266350839803</v>
      </c>
      <c r="C387" s="2">
        <f>$A387+$E$381*SQRT(($F$381/14)*(1 + 1/16+((C299-$G$381)^2)/$H$381))</f>
        <v>-2.8029933649160195</v>
      </c>
      <c r="L387" s="2">
        <f t="shared" si="37"/>
        <v>9.9425880270746628E-2</v>
      </c>
    </row>
    <row r="388" spans="1:12">
      <c r="A388" s="2">
        <f t="shared" ref="A388:A402" si="38">B301*$C$319+$D$319</f>
        <v>-3.90788</v>
      </c>
      <c r="B388" s="2">
        <f t="shared" ref="B388:B402" si="39">$A388-$E$381*SQRT(($F$381/14)*(1 + 1/16+((B300-$G$381)^2)/$H$381))</f>
        <v>-5.1949014123073756</v>
      </c>
      <c r="C388" s="2">
        <f t="shared" ref="C388:C402" si="40">$A388+$E$381*SQRT(($F$381/14)*(1 + 1/16+((C300-$G$381)^2)/$H$381))</f>
        <v>-3.3465264192319299</v>
      </c>
      <c r="L388" s="2">
        <f t="shared" si="37"/>
        <v>0.46303704959218905</v>
      </c>
    </row>
    <row r="389" spans="1:12">
      <c r="A389" s="2">
        <f t="shared" si="38"/>
        <v>-3.5472199999999998</v>
      </c>
      <c r="B389" s="2">
        <f t="shared" si="39"/>
        <v>-4.8339835530279993</v>
      </c>
      <c r="C389" s="2">
        <f t="shared" si="40"/>
        <v>-2.9991945605869383</v>
      </c>
      <c r="L389" s="2">
        <f t="shared" si="37"/>
        <v>0.30880197547680222</v>
      </c>
    </row>
    <row r="390" spans="1:12">
      <c r="A390" s="2">
        <f t="shared" si="38"/>
        <v>-3.3668899999999997</v>
      </c>
      <c r="B390" s="2">
        <f t="shared" si="39"/>
        <v>-4.6531378684037641</v>
      </c>
      <c r="C390" s="2">
        <f t="shared" si="40"/>
        <v>-2.8044430103247504</v>
      </c>
      <c r="L390" s="2">
        <f t="shared" si="37"/>
        <v>0.11879757267709837</v>
      </c>
    </row>
    <row r="391" spans="1:12">
      <c r="A391" s="2">
        <f t="shared" si="38"/>
        <v>-4.2685399999999998</v>
      </c>
      <c r="B391" s="2">
        <f t="shared" si="39"/>
        <v>-5.5545300430725133</v>
      </c>
      <c r="C391" s="2">
        <f t="shared" si="40"/>
        <v>-3.6569332269396622</v>
      </c>
      <c r="L391" s="2">
        <f t="shared" si="37"/>
        <v>1.2574295394181329E-2</v>
      </c>
    </row>
    <row r="392" spans="1:12">
      <c r="A392" s="2">
        <f t="shared" si="38"/>
        <v>-4.0882100000000001</v>
      </c>
      <c r="B392" s="2">
        <f t="shared" si="39"/>
        <v>-5.3754892828891947</v>
      </c>
      <c r="C392" s="2">
        <f t="shared" si="40"/>
        <v>-3.5244034385100078</v>
      </c>
      <c r="L392" s="2">
        <f t="shared" si="37"/>
        <v>0.1397470611964417</v>
      </c>
    </row>
    <row r="393" spans="1:12">
      <c r="A393" s="2">
        <f t="shared" si="38"/>
        <v>-3.7275499999999999</v>
      </c>
      <c r="B393" s="2">
        <f t="shared" si="39"/>
        <v>-5.0145714123073759</v>
      </c>
      <c r="C393" s="2">
        <f t="shared" si="40"/>
        <v>-3.1773204534586403</v>
      </c>
      <c r="L393" s="2">
        <f t="shared" si="37"/>
        <v>0.33021192976406294</v>
      </c>
    </row>
    <row r="394" spans="1:12">
      <c r="A394" s="2">
        <f t="shared" si="38"/>
        <v>-3.5472199999999998</v>
      </c>
      <c r="B394" s="2">
        <f t="shared" si="39"/>
        <v>-4.8337257050578621</v>
      </c>
      <c r="C394" s="2">
        <f t="shared" si="40"/>
        <v>-2.9946091701324984</v>
      </c>
      <c r="L394" s="2">
        <f t="shared" si="37"/>
        <v>0.13920713819234778</v>
      </c>
    </row>
    <row r="395" spans="1:12">
      <c r="A395" s="2">
        <f t="shared" si="38"/>
        <v>-4.6292</v>
      </c>
      <c r="B395" s="2">
        <f t="shared" si="39"/>
        <v>-5.9154478684037644</v>
      </c>
      <c r="C395" s="2">
        <f t="shared" si="40"/>
        <v>-4.0505411435154235</v>
      </c>
      <c r="L395" s="2">
        <f t="shared" si="37"/>
        <v>2.5753661540950171E-3</v>
      </c>
    </row>
    <row r="396" spans="1:12">
      <c r="A396" s="2">
        <f t="shared" si="38"/>
        <v>-4.4488700000000003</v>
      </c>
      <c r="B396" s="2">
        <f t="shared" si="39"/>
        <v>-5.7366650579329992</v>
      </c>
      <c r="C396" s="2">
        <f t="shared" si="40"/>
        <v>-3.8811141218405769</v>
      </c>
      <c r="L396" s="2">
        <f t="shared" si="37"/>
        <v>7.944948976858085E-2</v>
      </c>
    </row>
    <row r="397" spans="1:12">
      <c r="A397" s="2">
        <f t="shared" si="38"/>
        <v>-4.0882100000000001</v>
      </c>
      <c r="B397" s="2">
        <f t="shared" si="39"/>
        <v>-5.3757471647666639</v>
      </c>
      <c r="C397" s="2">
        <f t="shared" si="40"/>
        <v>-3.5341805541321176</v>
      </c>
    </row>
    <row r="398" spans="1:12">
      <c r="A398" s="2">
        <f t="shared" si="38"/>
        <v>-3.90788</v>
      </c>
      <c r="B398" s="2">
        <f t="shared" si="39"/>
        <v>-5.1949014123073756</v>
      </c>
      <c r="C398" s="2">
        <f t="shared" si="40"/>
        <v>-3.3616747211108895</v>
      </c>
    </row>
    <row r="399" spans="1:12">
      <c r="A399" s="2">
        <f t="shared" si="38"/>
        <v>-4.8095299999999996</v>
      </c>
      <c r="B399" s="2">
        <f t="shared" si="39"/>
        <v>-6.0962935530279996</v>
      </c>
      <c r="C399" s="2">
        <f t="shared" si="40"/>
        <v>-4.2539704709105415</v>
      </c>
    </row>
    <row r="400" spans="1:12">
      <c r="A400" s="2">
        <f t="shared" si="38"/>
        <v>-4.6292</v>
      </c>
      <c r="B400" s="2">
        <f t="shared" si="39"/>
        <v>-5.9172529623814185</v>
      </c>
      <c r="C400" s="2">
        <f t="shared" si="40"/>
        <v>-4.0599181566431088</v>
      </c>
    </row>
    <row r="401" spans="1:3">
      <c r="A401" s="2">
        <f t="shared" si="38"/>
        <v>-4.2685399999999998</v>
      </c>
      <c r="B401" s="2">
        <f t="shared" si="39"/>
        <v>-5.5563350579329986</v>
      </c>
      <c r="C401" s="2">
        <f t="shared" si="40"/>
        <v>-3.7130198522414535</v>
      </c>
    </row>
    <row r="402" spans="1:3">
      <c r="A402" s="2">
        <f t="shared" si="38"/>
        <v>-4.0882100000000001</v>
      </c>
      <c r="B402" s="2">
        <f t="shared" si="39"/>
        <v>-5.3754892828891947</v>
      </c>
      <c r="C402" s="2">
        <f t="shared" si="40"/>
        <v>-3.5427469990703431</v>
      </c>
    </row>
  </sheetData>
  <sortState xmlns:xlrd2="http://schemas.microsoft.com/office/spreadsheetml/2017/richdata2" ref="A323:A338">
    <sortCondition ref="A323:A338"/>
  </sortState>
  <mergeCells count="8">
    <mergeCell ref="A380:C380"/>
    <mergeCell ref="A385:C385"/>
    <mergeCell ref="A274:C274"/>
    <mergeCell ref="A297:D297"/>
    <mergeCell ref="C317:D317"/>
    <mergeCell ref="A321:C321"/>
    <mergeCell ref="A340:B340"/>
    <mergeCell ref="A359:B35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8249050D244AB3291E25E44E9E61" ma:contentTypeVersion="8" ma:contentTypeDescription="Create a new document." ma:contentTypeScope="" ma:versionID="de66317dd7ce282fecab2c27c9f14507">
  <xsd:schema xmlns:xsd="http://www.w3.org/2001/XMLSchema" xmlns:xs="http://www.w3.org/2001/XMLSchema" xmlns:p="http://schemas.microsoft.com/office/2006/metadata/properties" xmlns:ns2="66de5014-e8da-4796-bdfb-c10b0cfdf816" xmlns:ns3="a004e035-50b8-418f-b096-b0421c71bc5c" targetNamespace="http://schemas.microsoft.com/office/2006/metadata/properties" ma:root="true" ma:fieldsID="1fbdb41caee633568256cb29b570d179" ns2:_="" ns3:_="">
    <xsd:import namespace="66de5014-e8da-4796-bdfb-c10b0cfdf816"/>
    <xsd:import namespace="a004e035-50b8-418f-b096-b0421c71bc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e5014-e8da-4796-bdfb-c10b0cfdf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4e035-50b8-418f-b096-b0421c71b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5F7C0-E8E1-44BF-B8B2-3A2B648ED7E6}"/>
</file>

<file path=customXml/itemProps2.xml><?xml version="1.0" encoding="utf-8"?>
<ds:datastoreItem xmlns:ds="http://schemas.openxmlformats.org/officeDocument/2006/customXml" ds:itemID="{01850E47-3786-447E-AA15-DE19446676A2}"/>
</file>

<file path=customXml/itemProps3.xml><?xml version="1.0" encoding="utf-8"?>
<ds:datastoreItem xmlns:ds="http://schemas.openxmlformats.org/officeDocument/2006/customXml" ds:itemID="{0E006B5A-4E17-4AD1-AF4F-EDA6890F57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Alessio Vivani</cp:lastModifiedBy>
  <cp:revision/>
  <dcterms:created xsi:type="dcterms:W3CDTF">2022-01-05T17:03:48Z</dcterms:created>
  <dcterms:modified xsi:type="dcterms:W3CDTF">2022-01-09T10:25:34Z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0x0101008A9D8249050D244AB3291E25E44E9E61</vt:lpwstr>
  </property>
</Properties>
</file>